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KrosData\Export\"/>
    </mc:Choice>
  </mc:AlternateContent>
  <xr:revisionPtr revIDLastSave="0" documentId="13_ncr:1_{440A2DA7-04E5-426D-852A-0191ECC376B0}" xr6:coauthVersionLast="47" xr6:coauthVersionMax="47" xr10:uidLastSave="{00000000-0000-0000-0000-000000000000}"/>
  <bookViews>
    <workbookView xWindow="-120" yWindow="-120" windowWidth="29040" windowHeight="15840" tabRatio="823" xr2:uid="{00000000-000D-0000-FFFF-FFFF00000000}"/>
  </bookViews>
  <sheets>
    <sheet name="Rekapitulace stavby" sheetId="1" r:id="rId1"/>
    <sheet name="ARS - STAVEBNÍ A KONSTRUK..." sheetId="2" r:id="rId2"/>
    <sheet name="ÚT - ZAŘÍZENÍ PRO VYTÁPĚN..." sheetId="3" r:id="rId3"/>
    <sheet name="ZTI - ZDRAVOTECHNIKA" sheetId="4" r:id="rId4"/>
    <sheet name="01 - Kanceláře jih" sheetId="5" r:id="rId5"/>
    <sheet name="02 - Badatelna a kancelář" sheetId="6" r:id="rId6"/>
    <sheet name="03 - Konferenční sál" sheetId="7" r:id="rId7"/>
    <sheet name="04 - Kanceláře východ a p..." sheetId="8" r:id="rId8"/>
    <sheet name="06 - Hala 3.NP" sheetId="9" r:id="rId9"/>
    <sheet name="07 - Větrání depozitářů" sheetId="10" r:id="rId10"/>
    <sheet name="08 - Odvětrání hyg. zázem..." sheetId="11" r:id="rId11"/>
    <sheet name="09 - Odvětrání hyg. zázemí" sheetId="12" r:id="rId12"/>
    <sheet name="10 - Odvětrání kotelny" sheetId="13" r:id="rId13"/>
    <sheet name="11 - Odvětrání serverů" sheetId="14" r:id="rId14"/>
    <sheet name="12 - Odvětrání technickýc..." sheetId="15" r:id="rId15"/>
    <sheet name="13 - Odvětrání technickýc..." sheetId="16" r:id="rId16"/>
    <sheet name="14 - Odvětrání hyg. zázemí" sheetId="17" r:id="rId17"/>
    <sheet name="SIL - ZAŘÍZENÍ SILNOPROUD..." sheetId="18" r:id="rId18"/>
    <sheet name="SLP - SLABOPROUD" sheetId="19" r:id="rId19"/>
    <sheet name="MAR - ZAŘÍZENÍ PRO MĚŘENÍ..." sheetId="20" r:id="rId20"/>
    <sheet name="PLYN - PLYNOINSTALACE" sheetId="21" r:id="rId21"/>
    <sheet name="101 - Chlazení pro VZT je..." sheetId="22" r:id="rId22"/>
    <sheet name="102 - Chlazení pro VZT je..." sheetId="23" r:id="rId23"/>
    <sheet name="103 - Chlazení pro VZT je..." sheetId="24" r:id="rId24"/>
    <sheet name="104 - Chlazení pro VZT je..." sheetId="25" r:id="rId25"/>
    <sheet name="106 - Chlazení pro VZT je..." sheetId="26" r:id="rId26"/>
    <sheet name="107.1 - Chlazení pro VZT ..." sheetId="27" r:id="rId27"/>
    <sheet name="107.2 - Chlazení pro VZT ..." sheetId="28" r:id="rId28"/>
    <sheet name="107.3 - Chlazení pro VZT ..." sheetId="29" r:id="rId29"/>
    <sheet name="107.4 - Chlazení pro VZT ..." sheetId="30" r:id="rId30"/>
    <sheet name="107.5 - Chlazení pro VZT ..." sheetId="31" r:id="rId31"/>
    <sheet name="107.6 - Chlazení pro VZT ..." sheetId="32" r:id="rId32"/>
    <sheet name="107.7 - Chlazení pro VZT ..." sheetId="33" r:id="rId33"/>
    <sheet name="107.8 - Chlazení pro VZT ..." sheetId="34" r:id="rId34"/>
    <sheet name="208 - Okruh server - M3.17" sheetId="35" r:id="rId35"/>
    <sheet name="209 - Okruh server - M2.16" sheetId="36" r:id="rId36"/>
    <sheet name="313 - Okruh badatelna a k..." sheetId="37" r:id="rId37"/>
    <sheet name="314 - Okruh konferenční m..." sheetId="38" r:id="rId38"/>
    <sheet name="316 - Okruh kanceláře - M..." sheetId="39" r:id="rId39"/>
    <sheet name="410 - Okruh kanceláře - M..." sheetId="40" r:id="rId40"/>
    <sheet name="411 - Okruh kanceláře - M..." sheetId="41" r:id="rId41"/>
    <sheet name="412 - Okruh kanceláře - M..." sheetId="42" r:id="rId42"/>
    <sheet name="415 - Okruh depozitáře - ..." sheetId="43" r:id="rId43"/>
    <sheet name="417 - Okruh depozitáře - ..." sheetId="44" r:id="rId44"/>
    <sheet name="418 - Okruh depozitáře - ..." sheetId="45" r:id="rId45"/>
    <sheet name="419 - Okruh depozitáře - ..." sheetId="46" r:id="rId46"/>
    <sheet name="420 - Okruh depozitáře - ..." sheetId="47" r:id="rId47"/>
    <sheet name="421 - Okruh depozitáře - ..." sheetId="48" r:id="rId48"/>
    <sheet name="422 - Okruh depozitáře - ..." sheetId="49" r:id="rId49"/>
    <sheet name="EPS - ELEKTRONICKÁ POŽÁRN..." sheetId="50" r:id="rId50"/>
    <sheet name="SO 02 - DEMOLICE" sheetId="51" r:id="rId51"/>
    <sheet name="IO 01 - KOMUNIKACE A ZPEV..." sheetId="52" r:id="rId52"/>
    <sheet name="IO 02 - KANALIZACE" sheetId="53" r:id="rId53"/>
    <sheet name="IO 03 - VODOVODNÍ PŘÍPOJKA" sheetId="54" r:id="rId54"/>
    <sheet name="IO 04 - PŘÍPOJKA METROPOL..." sheetId="55" r:id="rId55"/>
    <sheet name="IO 05 - SADOVÉ ÚPRAVY" sheetId="56" r:id="rId56"/>
    <sheet name="PS 01 - AUTOMATICKÁ TLAKO..." sheetId="57" r:id="rId57"/>
    <sheet name="PS 02 - STABILNÍ HASÍCÍ Z..." sheetId="58" r:id="rId58"/>
    <sheet name="PS 03 - REGÁLOVÉ SYSTÉMY" sheetId="59" r:id="rId59"/>
    <sheet name="VRN - VEDLEJŠÍ ROZPOČTOVÉ..." sheetId="60" r:id="rId60"/>
    <sheet name="Seznam figur" sheetId="61" r:id="rId61"/>
    <sheet name="Pokyny pro vyplnění" sheetId="62" r:id="rId62"/>
    <sheet name="Příloha P1_Podlahy" sheetId="63" r:id="rId63"/>
    <sheet name="Příloha P1_Stropy" sheetId="64" r:id="rId64"/>
    <sheet name="Příloha P1_Stěny" sheetId="65" r:id="rId65"/>
    <sheet name="Příloha P1_Sokly" sheetId="66" r:id="rId66"/>
  </sheets>
  <definedNames>
    <definedName name="_xlnm._FilterDatabase" localSheetId="4" hidden="1">'01 - Kanceláře jih'!$C$94:$K$254</definedName>
    <definedName name="_xlnm._FilterDatabase" localSheetId="5" hidden="1">'02 - Badatelna a kancelář'!$C$95:$K$160</definedName>
    <definedName name="_xlnm._FilterDatabase" localSheetId="6" hidden="1">'03 - Konferenční sál'!$C$95:$K$160</definedName>
    <definedName name="_xlnm._FilterDatabase" localSheetId="7" hidden="1">'04 - Kanceláře východ a p...'!$C$95:$K$175</definedName>
    <definedName name="_xlnm._FilterDatabase" localSheetId="8" hidden="1">'06 - Hala 3.NP'!$C$94:$K$173</definedName>
    <definedName name="_xlnm._FilterDatabase" localSheetId="9" hidden="1">'07 - Větrání depozitářů'!$C$94:$K$230</definedName>
    <definedName name="_xlnm._FilterDatabase" localSheetId="10" hidden="1">'08 - Odvětrání hyg. zázem...'!$C$94:$K$175</definedName>
    <definedName name="_xlnm._FilterDatabase" localSheetId="11" hidden="1">'09 - Odvětrání hyg. zázemí'!$C$94:$K$184</definedName>
    <definedName name="_xlnm._FilterDatabase" localSheetId="12" hidden="1">'10 - Odvětrání kotelny'!$C$94:$K$139</definedName>
    <definedName name="_xlnm._FilterDatabase" localSheetId="21" hidden="1">'101 - Chlazení pro VZT je...'!$C$95:$K$126</definedName>
    <definedName name="_xlnm._FilterDatabase" localSheetId="22" hidden="1">'102 - Chlazení pro VZT je...'!$C$95:$K$126</definedName>
    <definedName name="_xlnm._FilterDatabase" localSheetId="23" hidden="1">'103 - Chlazení pro VZT je...'!$C$95:$K$126</definedName>
    <definedName name="_xlnm._FilterDatabase" localSheetId="24" hidden="1">'104 - Chlazení pro VZT je...'!$C$95:$K$126</definedName>
    <definedName name="_xlnm._FilterDatabase" localSheetId="25" hidden="1">'106 - Chlazení pro VZT je...'!$C$95:$K$126</definedName>
    <definedName name="_xlnm._FilterDatabase" localSheetId="26" hidden="1">'107.1 - Chlazení pro VZT ...'!$C$95:$K$126</definedName>
    <definedName name="_xlnm._FilterDatabase" localSheetId="27" hidden="1">'107.2 - Chlazení pro VZT ...'!$C$95:$K$126</definedName>
    <definedName name="_xlnm._FilterDatabase" localSheetId="28" hidden="1">'107.3 - Chlazení pro VZT ...'!$C$95:$K$126</definedName>
    <definedName name="_xlnm._FilterDatabase" localSheetId="29" hidden="1">'107.4 - Chlazení pro VZT ...'!$C$95:$K$126</definedName>
    <definedName name="_xlnm._FilterDatabase" localSheetId="30" hidden="1">'107.5 - Chlazení pro VZT ...'!$C$95:$K$126</definedName>
    <definedName name="_xlnm._FilterDatabase" localSheetId="31" hidden="1">'107.6 - Chlazení pro VZT ...'!$C$95:$K$126</definedName>
    <definedName name="_xlnm._FilterDatabase" localSheetId="32" hidden="1">'107.7 - Chlazení pro VZT ...'!$C$95:$K$126</definedName>
    <definedName name="_xlnm._FilterDatabase" localSheetId="33" hidden="1">'107.8 - Chlazení pro VZT ...'!$C$95:$K$126</definedName>
    <definedName name="_xlnm._FilterDatabase" localSheetId="13" hidden="1">'11 - Odvětrání serverů'!$C$94:$K$156</definedName>
    <definedName name="_xlnm._FilterDatabase" localSheetId="14" hidden="1">'12 - Odvětrání technickýc...'!$C$94:$K$140</definedName>
    <definedName name="_xlnm._FilterDatabase" localSheetId="15" hidden="1">'13 - Odvětrání technickýc...'!$C$94:$K$150</definedName>
    <definedName name="_xlnm._FilterDatabase" localSheetId="16" hidden="1">'14 - Odvětrání hyg. zázemí'!$C$94:$K$137</definedName>
    <definedName name="_xlnm._FilterDatabase" localSheetId="34" hidden="1">'208 - Okruh server - M3.17'!$C$96:$K$126</definedName>
    <definedName name="_xlnm._FilterDatabase" localSheetId="35" hidden="1">'209 - Okruh server - M2.16'!$C$96:$K$126</definedName>
    <definedName name="_xlnm._FilterDatabase" localSheetId="36" hidden="1">'313 - Okruh badatelna a k...'!$C$95:$K$138</definedName>
    <definedName name="_xlnm._FilterDatabase" localSheetId="37" hidden="1">'314 - Okruh konferenční m...'!$C$95:$K$134</definedName>
    <definedName name="_xlnm._FilterDatabase" localSheetId="38" hidden="1">'316 - Okruh kanceláře - M...'!$C$95:$K$134</definedName>
    <definedName name="_xlnm._FilterDatabase" localSheetId="39" hidden="1">'410 - Okruh kanceláře - M...'!$C$96:$K$136</definedName>
    <definedName name="_xlnm._FilterDatabase" localSheetId="40" hidden="1">'411 - Okruh kanceláře - M...'!$C$96:$K$138</definedName>
    <definedName name="_xlnm._FilterDatabase" localSheetId="41" hidden="1">'412 - Okruh kanceláře - M...'!$C$96:$K$136</definedName>
    <definedName name="_xlnm._FilterDatabase" localSheetId="42" hidden="1">'415 - Okruh depozitáře - ...'!$C$95:$K$132</definedName>
    <definedName name="_xlnm._FilterDatabase" localSheetId="43" hidden="1">'417 - Okruh depozitáře - ...'!$C$96:$K$140</definedName>
    <definedName name="_xlnm._FilterDatabase" localSheetId="44" hidden="1">'418 - Okruh depozitáře - ...'!$C$96:$K$140</definedName>
    <definedName name="_xlnm._FilterDatabase" localSheetId="45" hidden="1">'419 - Okruh depozitáře - ...'!$C$96:$K$140</definedName>
    <definedName name="_xlnm._FilterDatabase" localSheetId="46" hidden="1">'420 - Okruh depozitáře - ...'!$C$96:$K$140</definedName>
    <definedName name="_xlnm._FilterDatabase" localSheetId="47" hidden="1">'421 - Okruh depozitáře - ...'!$C$96:$K$140</definedName>
    <definedName name="_xlnm._FilterDatabase" localSheetId="48" hidden="1">'422 - Okruh depozitáře - ...'!$C$96:$K$140</definedName>
    <definedName name="_xlnm._FilterDatabase" localSheetId="1" hidden="1">'ARS - STAVEBNÍ A KONSTRUK...'!$C$113:$K$1632</definedName>
    <definedName name="_xlnm._FilterDatabase" localSheetId="49" hidden="1">'EPS - ELEKTRONICKÁ POŽÁRN...'!$C$86:$K$142</definedName>
    <definedName name="_xlnm._FilterDatabase" localSheetId="51" hidden="1">'IO 01 - KOMUNIKACE A ZPEV...'!$C$88:$K$233</definedName>
    <definedName name="_xlnm._FilterDatabase" localSheetId="52" hidden="1">'IO 02 - KANALIZACE'!$C$83:$K$301</definedName>
    <definedName name="_xlnm._FilterDatabase" localSheetId="53" hidden="1">'IO 03 - VODOVODNÍ PŘÍPOJKA'!$C$82:$K$150</definedName>
    <definedName name="_xlnm._FilterDatabase" localSheetId="54" hidden="1">'IO 04 - PŘÍPOJKA METROPOL...'!$C$83:$K$183</definedName>
    <definedName name="_xlnm._FilterDatabase" localSheetId="55" hidden="1">'IO 05 - SADOVÉ ÚPRAVY'!$C$83:$K$137</definedName>
    <definedName name="_xlnm._FilterDatabase" localSheetId="19" hidden="1">'MAR - ZAŘÍZENÍ PRO MĚŘENÍ...'!$C$90:$K$194</definedName>
    <definedName name="_xlnm._FilterDatabase" localSheetId="20" hidden="1">'PLYN - PLYNOINSTALACE'!$C$87:$K$134</definedName>
    <definedName name="_xlnm._FilterDatabase" localSheetId="56" hidden="1">'PS 01 - AUTOMATICKÁ TLAKO...'!$C$80:$K$89</definedName>
    <definedName name="_xlnm._FilterDatabase" localSheetId="57" hidden="1">'PS 02 - STABILNÍ HASÍCÍ Z...'!$C$86:$K$149</definedName>
    <definedName name="_xlnm._FilterDatabase" localSheetId="58" hidden="1">'PS 03 - REGÁLOVÉ SYSTÉMY'!$C$82:$K$97</definedName>
    <definedName name="_xlnm._FilterDatabase" localSheetId="17" hidden="1">'SIL - ZAŘÍZENÍ SILNOPROUD...'!$C$91:$K$355</definedName>
    <definedName name="_xlnm._FilterDatabase" localSheetId="18" hidden="1">'SLP - SLABOPROUD'!$C$96:$K$254</definedName>
    <definedName name="_xlnm._FilterDatabase" localSheetId="50" hidden="1">'SO 02 - DEMOLICE'!$C$82:$K$137</definedName>
    <definedName name="_xlnm._FilterDatabase" localSheetId="2" hidden="1">'ÚT - ZAŘÍZENÍ PRO VYTÁPĚN...'!$C$99:$K$438</definedName>
    <definedName name="_xlnm._FilterDatabase" localSheetId="59" hidden="1">'VRN - VEDLEJŠÍ ROZPOČTOVÉ...'!$C$80:$K$93</definedName>
    <definedName name="_xlnm._FilterDatabase" localSheetId="3" hidden="1">'ZTI - ZDRAVOTECHNIKA'!$C$95:$K$542</definedName>
    <definedName name="_xlnm.Print_Titles" localSheetId="4">'01 - Kanceláře jih'!$94:$94</definedName>
    <definedName name="_xlnm.Print_Titles" localSheetId="5">'02 - Badatelna a kancelář'!$95:$95</definedName>
    <definedName name="_xlnm.Print_Titles" localSheetId="6">'03 - Konferenční sál'!$95:$95</definedName>
    <definedName name="_xlnm.Print_Titles" localSheetId="7">'04 - Kanceláře východ a p...'!$95:$95</definedName>
    <definedName name="_xlnm.Print_Titles" localSheetId="8">'06 - Hala 3.NP'!$94:$94</definedName>
    <definedName name="_xlnm.Print_Titles" localSheetId="9">'07 - Větrání depozitářů'!$94:$94</definedName>
    <definedName name="_xlnm.Print_Titles" localSheetId="10">'08 - Odvětrání hyg. zázem...'!$94:$94</definedName>
    <definedName name="_xlnm.Print_Titles" localSheetId="11">'09 - Odvětrání hyg. zázemí'!$94:$94</definedName>
    <definedName name="_xlnm.Print_Titles" localSheetId="12">'10 - Odvětrání kotelny'!$94:$94</definedName>
    <definedName name="_xlnm.Print_Titles" localSheetId="21">'101 - Chlazení pro VZT je...'!$95:$95</definedName>
    <definedName name="_xlnm.Print_Titles" localSheetId="22">'102 - Chlazení pro VZT je...'!$95:$95</definedName>
    <definedName name="_xlnm.Print_Titles" localSheetId="23">'103 - Chlazení pro VZT je...'!$95:$95</definedName>
    <definedName name="_xlnm.Print_Titles" localSheetId="24">'104 - Chlazení pro VZT je...'!$95:$95</definedName>
    <definedName name="_xlnm.Print_Titles" localSheetId="25">'106 - Chlazení pro VZT je...'!$95:$95</definedName>
    <definedName name="_xlnm.Print_Titles" localSheetId="26">'107.1 - Chlazení pro VZT ...'!$95:$95</definedName>
    <definedName name="_xlnm.Print_Titles" localSheetId="27">'107.2 - Chlazení pro VZT ...'!$95:$95</definedName>
    <definedName name="_xlnm.Print_Titles" localSheetId="28">'107.3 - Chlazení pro VZT ...'!$95:$95</definedName>
    <definedName name="_xlnm.Print_Titles" localSheetId="29">'107.4 - Chlazení pro VZT ...'!$95:$95</definedName>
    <definedName name="_xlnm.Print_Titles" localSheetId="30">'107.5 - Chlazení pro VZT ...'!$95:$95</definedName>
    <definedName name="_xlnm.Print_Titles" localSheetId="31">'107.6 - Chlazení pro VZT ...'!$95:$95</definedName>
    <definedName name="_xlnm.Print_Titles" localSheetId="32">'107.7 - Chlazení pro VZT ...'!$95:$95</definedName>
    <definedName name="_xlnm.Print_Titles" localSheetId="33">'107.8 - Chlazení pro VZT ...'!$95:$95</definedName>
    <definedName name="_xlnm.Print_Titles" localSheetId="13">'11 - Odvětrání serverů'!$94:$94</definedName>
    <definedName name="_xlnm.Print_Titles" localSheetId="14">'12 - Odvětrání technickýc...'!$94:$94</definedName>
    <definedName name="_xlnm.Print_Titles" localSheetId="15">'13 - Odvětrání technickýc...'!$94:$94</definedName>
    <definedName name="_xlnm.Print_Titles" localSheetId="16">'14 - Odvětrání hyg. zázemí'!$94:$94</definedName>
    <definedName name="_xlnm.Print_Titles" localSheetId="34">'208 - Okruh server - M3.17'!$96:$96</definedName>
    <definedName name="_xlnm.Print_Titles" localSheetId="35">'209 - Okruh server - M2.16'!$96:$96</definedName>
    <definedName name="_xlnm.Print_Titles" localSheetId="36">'313 - Okruh badatelna a k...'!$95:$95</definedName>
    <definedName name="_xlnm.Print_Titles" localSheetId="37">'314 - Okruh konferenční m...'!$95:$95</definedName>
    <definedName name="_xlnm.Print_Titles" localSheetId="38">'316 - Okruh kanceláře - M...'!$95:$95</definedName>
    <definedName name="_xlnm.Print_Titles" localSheetId="39">'410 - Okruh kanceláře - M...'!$96:$96</definedName>
    <definedName name="_xlnm.Print_Titles" localSheetId="40">'411 - Okruh kanceláře - M...'!$96:$96</definedName>
    <definedName name="_xlnm.Print_Titles" localSheetId="41">'412 - Okruh kanceláře - M...'!$96:$96</definedName>
    <definedName name="_xlnm.Print_Titles" localSheetId="42">'415 - Okruh depozitáře - ...'!$95:$95</definedName>
    <definedName name="_xlnm.Print_Titles" localSheetId="43">'417 - Okruh depozitáře - ...'!$96:$96</definedName>
    <definedName name="_xlnm.Print_Titles" localSheetId="44">'418 - Okruh depozitáře - ...'!$96:$96</definedName>
    <definedName name="_xlnm.Print_Titles" localSheetId="45">'419 - Okruh depozitáře - ...'!$96:$96</definedName>
    <definedName name="_xlnm.Print_Titles" localSheetId="46">'420 - Okruh depozitáře - ...'!$96:$96</definedName>
    <definedName name="_xlnm.Print_Titles" localSheetId="47">'421 - Okruh depozitáře - ...'!$96:$96</definedName>
    <definedName name="_xlnm.Print_Titles" localSheetId="48">'422 - Okruh depozitáře - ...'!$96:$96</definedName>
    <definedName name="_xlnm.Print_Titles" localSheetId="1">'ARS - STAVEBNÍ A KONSTRUK...'!$113:$113</definedName>
    <definedName name="_xlnm.Print_Titles" localSheetId="49">'EPS - ELEKTRONICKÁ POŽÁRN...'!$86:$86</definedName>
    <definedName name="_xlnm.Print_Titles" localSheetId="51">'IO 01 - KOMUNIKACE A ZPEV...'!$88:$88</definedName>
    <definedName name="_xlnm.Print_Titles" localSheetId="52">'IO 02 - KANALIZACE'!$83:$83</definedName>
    <definedName name="_xlnm.Print_Titles" localSheetId="53">'IO 03 - VODOVODNÍ PŘÍPOJKA'!$82:$82</definedName>
    <definedName name="_xlnm.Print_Titles" localSheetId="54">'IO 04 - PŘÍPOJKA METROPOL...'!$83:$83</definedName>
    <definedName name="_xlnm.Print_Titles" localSheetId="55">'IO 05 - SADOVÉ ÚPRAVY'!$83:$83</definedName>
    <definedName name="_xlnm.Print_Titles" localSheetId="19">'MAR - ZAŘÍZENÍ PRO MĚŘENÍ...'!$90:$90</definedName>
    <definedName name="_xlnm.Print_Titles" localSheetId="20">'PLYN - PLYNOINSTALACE'!$87:$87</definedName>
    <definedName name="_xlnm.Print_Titles" localSheetId="56">'PS 01 - AUTOMATICKÁ TLAKO...'!$80:$80</definedName>
    <definedName name="_xlnm.Print_Titles" localSheetId="57">'PS 02 - STABILNÍ HASÍCÍ Z...'!$86:$86</definedName>
    <definedName name="_xlnm.Print_Titles" localSheetId="58">'PS 03 - REGÁLOVÉ SYSTÉMY'!$82:$82</definedName>
    <definedName name="_xlnm.Print_Titles" localSheetId="0">'Rekapitulace stavby'!$52:$52</definedName>
    <definedName name="_xlnm.Print_Titles" localSheetId="60">'Seznam figur'!$9:$9</definedName>
    <definedName name="_xlnm.Print_Titles" localSheetId="17">'SIL - ZAŘÍZENÍ SILNOPROUD...'!$91:$91</definedName>
    <definedName name="_xlnm.Print_Titles" localSheetId="18">'SLP - SLABOPROUD'!$96:$96</definedName>
    <definedName name="_xlnm.Print_Titles" localSheetId="50">'SO 02 - DEMOLICE'!$82:$82</definedName>
    <definedName name="_xlnm.Print_Titles" localSheetId="2">'ÚT - ZAŘÍZENÍ PRO VYTÁPĚN...'!$99:$99</definedName>
    <definedName name="_xlnm.Print_Titles" localSheetId="59">'VRN - VEDLEJŠÍ ROZPOČTOVÉ...'!$80:$80</definedName>
    <definedName name="_xlnm.Print_Titles" localSheetId="3">'ZTI - ZDRAVOTECHNIKA'!$95:$95</definedName>
    <definedName name="_xlnm.Print_Area" localSheetId="4">'01 - Kanceláře jih'!$C$4:$J$43,'01 - Kanceláře jih'!$C$49:$J$72,'01 - Kanceláře jih'!$C$78:$K$254</definedName>
    <definedName name="_xlnm.Print_Area" localSheetId="5">'02 - Badatelna a kancelář'!$C$4:$J$43,'02 - Badatelna a kancelář'!$C$49:$J$73,'02 - Badatelna a kancelář'!$C$79:$K$160</definedName>
    <definedName name="_xlnm.Print_Area" localSheetId="6">'03 - Konferenční sál'!$C$4:$J$43,'03 - Konferenční sál'!$C$49:$J$73,'03 - Konferenční sál'!$C$79:$K$160</definedName>
    <definedName name="_xlnm.Print_Area" localSheetId="7">'04 - Kanceláře východ a p...'!$C$4:$J$43,'04 - Kanceláře východ a p...'!$C$49:$J$73,'04 - Kanceláře východ a p...'!$C$79:$K$175</definedName>
    <definedName name="_xlnm.Print_Area" localSheetId="8">'06 - Hala 3.NP'!$C$4:$J$43,'06 - Hala 3.NP'!$C$49:$J$72,'06 - Hala 3.NP'!$C$78:$K$173</definedName>
    <definedName name="_xlnm.Print_Area" localSheetId="9">'07 - Větrání depozitářů'!$C$4:$J$43,'07 - Větrání depozitářů'!$C$49:$J$72,'07 - Větrání depozitářů'!$C$78:$K$230</definedName>
    <definedName name="_xlnm.Print_Area" localSheetId="10">'08 - Odvětrání hyg. zázem...'!$C$4:$J$43,'08 - Odvětrání hyg. zázem...'!$C$49:$J$72,'08 - Odvětrání hyg. zázem...'!$C$78:$K$175</definedName>
    <definedName name="_xlnm.Print_Area" localSheetId="11">'09 - Odvětrání hyg. zázemí'!$C$4:$J$43,'09 - Odvětrání hyg. zázemí'!$C$49:$J$72,'09 - Odvětrání hyg. zázemí'!$C$78:$K$184</definedName>
    <definedName name="_xlnm.Print_Area" localSheetId="12">'10 - Odvětrání kotelny'!$C$4:$J$43,'10 - Odvětrání kotelny'!$C$49:$J$72,'10 - Odvětrání kotelny'!$C$78:$K$139</definedName>
    <definedName name="_xlnm.Print_Area" localSheetId="21">'101 - Chlazení pro VZT je...'!$C$4:$J$43,'101 - Chlazení pro VZT je...'!$C$49:$J$73,'101 - Chlazení pro VZT je...'!$C$79:$K$126</definedName>
    <definedName name="_xlnm.Print_Area" localSheetId="22">'102 - Chlazení pro VZT je...'!$C$4:$J$43,'102 - Chlazení pro VZT je...'!$C$49:$J$73,'102 - Chlazení pro VZT je...'!$C$79:$K$126</definedName>
    <definedName name="_xlnm.Print_Area" localSheetId="23">'103 - Chlazení pro VZT je...'!$C$4:$J$43,'103 - Chlazení pro VZT je...'!$C$49:$J$73,'103 - Chlazení pro VZT je...'!$C$79:$K$126</definedName>
    <definedName name="_xlnm.Print_Area" localSheetId="24">'104 - Chlazení pro VZT je...'!$C$4:$J$43,'104 - Chlazení pro VZT je...'!$C$49:$J$73,'104 - Chlazení pro VZT je...'!$C$79:$K$126</definedName>
    <definedName name="_xlnm.Print_Area" localSheetId="25">'106 - Chlazení pro VZT je...'!$C$4:$J$43,'106 - Chlazení pro VZT je...'!$C$49:$J$73,'106 - Chlazení pro VZT je...'!$C$79:$K$126</definedName>
    <definedName name="_xlnm.Print_Area" localSheetId="26">'107.1 - Chlazení pro VZT ...'!$C$4:$J$43,'107.1 - Chlazení pro VZT ...'!$C$49:$J$73,'107.1 - Chlazení pro VZT ...'!$C$79:$K$126</definedName>
    <definedName name="_xlnm.Print_Area" localSheetId="27">'107.2 - Chlazení pro VZT ...'!$C$4:$J$43,'107.2 - Chlazení pro VZT ...'!$C$49:$J$73,'107.2 - Chlazení pro VZT ...'!$C$79:$K$126</definedName>
    <definedName name="_xlnm.Print_Area" localSheetId="28">'107.3 - Chlazení pro VZT ...'!$C$4:$J$43,'107.3 - Chlazení pro VZT ...'!$C$49:$J$73,'107.3 - Chlazení pro VZT ...'!$C$79:$K$126</definedName>
    <definedName name="_xlnm.Print_Area" localSheetId="29">'107.4 - Chlazení pro VZT ...'!$C$4:$J$43,'107.4 - Chlazení pro VZT ...'!$C$49:$J$73,'107.4 - Chlazení pro VZT ...'!$C$79:$K$126</definedName>
    <definedName name="_xlnm.Print_Area" localSheetId="30">'107.5 - Chlazení pro VZT ...'!$C$4:$J$43,'107.5 - Chlazení pro VZT ...'!$C$49:$J$73,'107.5 - Chlazení pro VZT ...'!$C$79:$K$126</definedName>
    <definedName name="_xlnm.Print_Area" localSheetId="31">'107.6 - Chlazení pro VZT ...'!$C$4:$J$43,'107.6 - Chlazení pro VZT ...'!$C$49:$J$73,'107.6 - Chlazení pro VZT ...'!$C$79:$K$126</definedName>
    <definedName name="_xlnm.Print_Area" localSheetId="32">'107.7 - Chlazení pro VZT ...'!$C$4:$J$43,'107.7 - Chlazení pro VZT ...'!$C$49:$J$73,'107.7 - Chlazení pro VZT ...'!$C$79:$K$126</definedName>
    <definedName name="_xlnm.Print_Area" localSheetId="33">'107.8 - Chlazení pro VZT ...'!$C$4:$J$43,'107.8 - Chlazení pro VZT ...'!$C$49:$J$73,'107.8 - Chlazení pro VZT ...'!$C$79:$K$126</definedName>
    <definedName name="_xlnm.Print_Area" localSheetId="13">'11 - Odvětrání serverů'!$C$4:$J$43,'11 - Odvětrání serverů'!$C$49:$J$72,'11 - Odvětrání serverů'!$C$78:$K$156</definedName>
    <definedName name="_xlnm.Print_Area" localSheetId="14">'12 - Odvětrání technickýc...'!$C$4:$J$43,'12 - Odvětrání technickýc...'!$C$49:$J$72,'12 - Odvětrání technickýc...'!$C$78:$K$140</definedName>
    <definedName name="_xlnm.Print_Area" localSheetId="15">'13 - Odvětrání technickýc...'!$C$4:$J$43,'13 - Odvětrání technickýc...'!$C$49:$J$72,'13 - Odvětrání technickýc...'!$C$78:$K$150</definedName>
    <definedName name="_xlnm.Print_Area" localSheetId="16">'14 - Odvětrání hyg. zázemí'!$C$4:$J$43,'14 - Odvětrání hyg. zázemí'!$C$49:$J$72,'14 - Odvětrání hyg. zázemí'!$C$78:$K$137</definedName>
    <definedName name="_xlnm.Print_Area" localSheetId="34">'208 - Okruh server - M3.17'!$C$4:$J$43,'208 - Okruh server - M3.17'!$C$49:$J$74,'208 - Okruh server - M3.17'!$C$80:$K$126</definedName>
    <definedName name="_xlnm.Print_Area" localSheetId="35">'209 - Okruh server - M2.16'!$C$4:$J$43,'209 - Okruh server - M2.16'!$C$49:$J$74,'209 - Okruh server - M2.16'!$C$80:$K$126</definedName>
    <definedName name="_xlnm.Print_Area" localSheetId="36">'313 - Okruh badatelna a k...'!$C$4:$J$43,'313 - Okruh badatelna a k...'!$C$49:$J$73,'313 - Okruh badatelna a k...'!$C$79:$K$138</definedName>
    <definedName name="_xlnm.Print_Area" localSheetId="37">'314 - Okruh konferenční m...'!$C$4:$J$43,'314 - Okruh konferenční m...'!$C$49:$J$73,'314 - Okruh konferenční m...'!$C$79:$K$134</definedName>
    <definedName name="_xlnm.Print_Area" localSheetId="38">'316 - Okruh kanceláře - M...'!$C$4:$J$43,'316 - Okruh kanceláře - M...'!$C$49:$J$73,'316 - Okruh kanceláře - M...'!$C$79:$K$134</definedName>
    <definedName name="_xlnm.Print_Area" localSheetId="39">'410 - Okruh kanceláře - M...'!$C$4:$J$43,'410 - Okruh kanceláře - M...'!$C$49:$J$74,'410 - Okruh kanceláře - M...'!$C$80:$K$136</definedName>
    <definedName name="_xlnm.Print_Area" localSheetId="40">'411 - Okruh kanceláře - M...'!$C$4:$J$43,'411 - Okruh kanceláře - M...'!$C$49:$J$74,'411 - Okruh kanceláře - M...'!$C$80:$K$138</definedName>
    <definedName name="_xlnm.Print_Area" localSheetId="41">'412 - Okruh kanceláře - M...'!$C$4:$J$43,'412 - Okruh kanceláře - M...'!$C$49:$J$74,'412 - Okruh kanceláře - M...'!$C$80:$K$136</definedName>
    <definedName name="_xlnm.Print_Area" localSheetId="42">'415 - Okruh depozitáře - ...'!$C$4:$J$43,'415 - Okruh depozitáře - ...'!$C$49:$J$73,'415 - Okruh depozitáře - ...'!$C$79:$K$132</definedName>
    <definedName name="_xlnm.Print_Area" localSheetId="43">'417 - Okruh depozitáře - ...'!$C$4:$J$43,'417 - Okruh depozitáře - ...'!$C$49:$J$74,'417 - Okruh depozitáře - ...'!$C$80:$K$140</definedName>
    <definedName name="_xlnm.Print_Area" localSheetId="44">'418 - Okruh depozitáře - ...'!$C$4:$J$43,'418 - Okruh depozitáře - ...'!$C$49:$J$74,'418 - Okruh depozitáře - ...'!$C$80:$K$140</definedName>
    <definedName name="_xlnm.Print_Area" localSheetId="45">'419 - Okruh depozitáře - ...'!$C$4:$J$43,'419 - Okruh depozitáře - ...'!$C$49:$J$74,'419 - Okruh depozitáře - ...'!$C$80:$K$140</definedName>
    <definedName name="_xlnm.Print_Area" localSheetId="46">'420 - Okruh depozitáře - ...'!$C$4:$J$43,'420 - Okruh depozitáře - ...'!$C$49:$J$74,'420 - Okruh depozitáře - ...'!$C$80:$K$140</definedName>
    <definedName name="_xlnm.Print_Area" localSheetId="47">'421 - Okruh depozitáře - ...'!$C$4:$J$43,'421 - Okruh depozitáře - ...'!$C$49:$J$74,'421 - Okruh depozitáře - ...'!$C$80:$K$140</definedName>
    <definedName name="_xlnm.Print_Area" localSheetId="48">'422 - Okruh depozitáře - ...'!$C$4:$J$43,'422 - Okruh depozitáře - ...'!$C$49:$J$74,'422 - Okruh depozitáře - ...'!$C$80:$K$140</definedName>
    <definedName name="_xlnm.Print_Area" localSheetId="1">'ARS - STAVEBNÍ A KONSTRUK...'!$C$4:$J$41,'ARS - STAVEBNÍ A KONSTRUK...'!$C$47:$J$93,'ARS - STAVEBNÍ A KONSTRUK...'!$C$99:$K$1632</definedName>
    <definedName name="_xlnm.Print_Area" localSheetId="49">'EPS - ELEKTRONICKÁ POŽÁRN...'!$C$4:$J$41,'EPS - ELEKTRONICKÁ POŽÁRN...'!$C$47:$J$66,'EPS - ELEKTRONICKÁ POŽÁRN...'!$C$72:$K$142</definedName>
    <definedName name="_xlnm.Print_Area" localSheetId="51">'IO 01 - KOMUNIKACE A ZPEV...'!$C$4:$J$39,'IO 01 - KOMUNIKACE A ZPEV...'!$C$45:$J$70,'IO 01 - KOMUNIKACE A ZPEV...'!$C$76:$K$233</definedName>
    <definedName name="_xlnm.Print_Area" localSheetId="52">'IO 02 - KANALIZACE'!$C$4:$J$39,'IO 02 - KANALIZACE'!$C$45:$J$65,'IO 02 - KANALIZACE'!$C$71:$K$301</definedName>
    <definedName name="_xlnm.Print_Area" localSheetId="53">'IO 03 - VODOVODNÍ PŘÍPOJKA'!$C$4:$J$39,'IO 03 - VODOVODNÍ PŘÍPOJKA'!$C$45:$J$64,'IO 03 - VODOVODNÍ PŘÍPOJKA'!$C$70:$K$150</definedName>
    <definedName name="_xlnm.Print_Area" localSheetId="54">'IO 04 - PŘÍPOJKA METROPOL...'!$C$4:$J$39,'IO 04 - PŘÍPOJKA METROPOL...'!$C$45:$J$65,'IO 04 - PŘÍPOJKA METROPOL...'!$C$71:$K$183</definedName>
    <definedName name="_xlnm.Print_Area" localSheetId="55">'IO 05 - SADOVÉ ÚPRAVY'!$C$4:$J$39,'IO 05 - SADOVÉ ÚPRAVY'!$C$45:$J$65,'IO 05 - SADOVÉ ÚPRAVY'!$C$71:$K$137</definedName>
    <definedName name="_xlnm.Print_Area" localSheetId="19">'MAR - ZAŘÍZENÍ PRO MĚŘENÍ...'!$C$4:$J$41,'MAR - ZAŘÍZENÍ PRO MĚŘENÍ...'!$C$47:$J$70,'MAR - ZAŘÍZENÍ PRO MĚŘENÍ...'!$C$76:$K$194</definedName>
    <definedName name="_xlnm.Print_Area" localSheetId="20">'PLYN - PLYNOINSTALACE'!$C$4:$J$41,'PLYN - PLYNOINSTALACE'!$C$47:$J$67,'PLYN - PLYNOINSTALACE'!$C$73:$K$134</definedName>
    <definedName name="_xlnm.Print_Area" localSheetId="61">'Pokyny pro vyplnění'!$B$2:$K$71,'Pokyny pro vyplnění'!$B$74:$K$118,'Pokyny pro vyplnění'!$B$121:$K$161,'Pokyny pro vyplnění'!$B$164:$K$218</definedName>
    <definedName name="_xlnm.Print_Area" localSheetId="62">'Příloha P1_Podlahy'!$A$1:$H$120</definedName>
    <definedName name="_xlnm.Print_Area" localSheetId="65">'Příloha P1_Sokly'!$A$1:$K$73</definedName>
    <definedName name="_xlnm.Print_Area" localSheetId="64">'Příloha P1_Stěny'!$A$1:$P$93</definedName>
    <definedName name="_xlnm.Print_Area" localSheetId="63">'Příloha P1_Stropy'!$A$1:$H$99</definedName>
    <definedName name="_xlnm.Print_Area" localSheetId="56">'PS 01 - AUTOMATICKÁ TLAKO...'!$C$4:$J$39,'PS 01 - AUTOMATICKÁ TLAKO...'!$C$45:$J$62,'PS 01 - AUTOMATICKÁ TLAKO...'!$C$68:$K$89</definedName>
    <definedName name="_xlnm.Print_Area" localSheetId="57">'PS 02 - STABILNÍ HASÍCÍ Z...'!$C$4:$J$39,'PS 02 - STABILNÍ HASÍCÍ Z...'!$C$45:$J$68,'PS 02 - STABILNÍ HASÍCÍ Z...'!$C$74:$K$149</definedName>
    <definedName name="_xlnm.Print_Area" localSheetId="58">'PS 03 - REGÁLOVÉ SYSTÉMY'!$C$4:$J$39,'PS 03 - REGÁLOVÉ SYSTÉMY'!$C$45:$J$64,'PS 03 - REGÁLOVÉ SYSTÉMY'!$C$70:$K$97</definedName>
    <definedName name="_xlnm.Print_Area" localSheetId="0">'Rekapitulace stavby'!$D$4:$AO$36,'Rekapitulace stavby'!$C$42:$AQ$117</definedName>
    <definedName name="_xlnm.Print_Area" localSheetId="60">'Seznam figur'!$C$4:$G$289</definedName>
    <definedName name="_xlnm.Print_Area" localSheetId="17">'SIL - ZAŘÍZENÍ SILNOPROUD...'!$C$4:$J$41,'SIL - ZAŘÍZENÍ SILNOPROUD...'!$C$47:$J$71,'SIL - ZAŘÍZENÍ SILNOPROUD...'!$C$77:$K$355</definedName>
    <definedName name="_xlnm.Print_Area" localSheetId="18">'SLP - SLABOPROUD'!$C$4:$J$41,'SLP - SLABOPROUD'!$C$47:$J$76,'SLP - SLABOPROUD'!$C$82:$K$254</definedName>
    <definedName name="_xlnm.Print_Area" localSheetId="50">'SO 02 - DEMOLICE'!$C$4:$J$39,'SO 02 - DEMOLICE'!$C$45:$J$64,'SO 02 - DEMOLICE'!$C$70:$K$137</definedName>
    <definedName name="_xlnm.Print_Area" localSheetId="2">'ÚT - ZAŘÍZENÍ PRO VYTÁPĚN...'!$C$4:$J$41,'ÚT - ZAŘÍZENÍ PRO VYTÁPĚN...'!$C$47:$J$79,'ÚT - ZAŘÍZENÍ PRO VYTÁPĚN...'!$C$85:$K$438</definedName>
    <definedName name="_xlnm.Print_Area" localSheetId="59">'VRN - VEDLEJŠÍ ROZPOČTOVÉ...'!$C$4:$J$39,'VRN - VEDLEJŠÍ ROZPOČTOVÉ...'!$C$45:$J$62,'VRN - VEDLEJŠÍ ROZPOČTOVÉ...'!$C$68:$K$93</definedName>
    <definedName name="_xlnm.Print_Area" localSheetId="3">'ZTI - ZDRAVOTECHNIKA'!$C$4:$J$41,'ZTI - ZDRAVOTECHNIKA'!$C$47:$J$75,'ZTI - ZDRAVOTECHNIKA'!$C$81:$K$542</definedName>
  </definedNames>
  <calcPr calcId="181029"/>
</workbook>
</file>

<file path=xl/calcChain.xml><?xml version="1.0" encoding="utf-8"?>
<calcChain xmlns="http://schemas.openxmlformats.org/spreadsheetml/2006/main">
  <c r="G68" i="66" l="1"/>
  <c r="D68" i="66"/>
  <c r="K68" i="66" s="1"/>
  <c r="K67" i="66"/>
  <c r="G67" i="66"/>
  <c r="D67" i="66"/>
  <c r="G66" i="66"/>
  <c r="D66" i="66"/>
  <c r="K66" i="66" s="1"/>
  <c r="D65" i="66"/>
  <c r="K65" i="66" s="1"/>
  <c r="K64" i="66"/>
  <c r="G64" i="66"/>
  <c r="D64" i="66"/>
  <c r="K63" i="66"/>
  <c r="G63" i="66"/>
  <c r="K62" i="66"/>
  <c r="G62" i="66"/>
  <c r="K61" i="66"/>
  <c r="K60" i="66"/>
  <c r="K59" i="66"/>
  <c r="K58" i="66"/>
  <c r="K57" i="66"/>
  <c r="G57" i="66"/>
  <c r="K56" i="66"/>
  <c r="G56" i="66"/>
  <c r="G55" i="66"/>
  <c r="K55" i="66" s="1"/>
  <c r="I54" i="66"/>
  <c r="G54" i="66"/>
  <c r="I53" i="66"/>
  <c r="G53" i="66"/>
  <c r="I52" i="66"/>
  <c r="G52" i="66"/>
  <c r="I51" i="66"/>
  <c r="G51" i="66"/>
  <c r="I50" i="66"/>
  <c r="G50" i="66"/>
  <c r="I49" i="66"/>
  <c r="G49" i="66"/>
  <c r="I48" i="66"/>
  <c r="G48" i="66"/>
  <c r="I47" i="66"/>
  <c r="G47" i="66"/>
  <c r="I46" i="66"/>
  <c r="G46" i="66"/>
  <c r="I45" i="66"/>
  <c r="G45" i="66"/>
  <c r="I44" i="66"/>
  <c r="G44" i="66"/>
  <c r="I43" i="66"/>
  <c r="G43" i="66"/>
  <c r="I42" i="66"/>
  <c r="G42" i="66"/>
  <c r="I41" i="66"/>
  <c r="G41" i="66"/>
  <c r="I40" i="66"/>
  <c r="G40" i="66"/>
  <c r="I39" i="66"/>
  <c r="G39" i="66"/>
  <c r="I38" i="66"/>
  <c r="G38" i="66"/>
  <c r="G37" i="66"/>
  <c r="D37" i="66"/>
  <c r="K37" i="66" s="1"/>
  <c r="G36" i="66"/>
  <c r="D36" i="66"/>
  <c r="K36" i="66" s="1"/>
  <c r="K35" i="66"/>
  <c r="D35" i="66"/>
  <c r="K34" i="66"/>
  <c r="D34" i="66"/>
  <c r="G33" i="66"/>
  <c r="D33" i="66"/>
  <c r="K33" i="66" s="1"/>
  <c r="K32" i="66"/>
  <c r="G32" i="66"/>
  <c r="D32" i="66"/>
  <c r="G31" i="66"/>
  <c r="D31" i="66"/>
  <c r="K31" i="66" s="1"/>
  <c r="G30" i="66"/>
  <c r="K30" i="66" s="1"/>
  <c r="K29" i="66"/>
  <c r="G29" i="66"/>
  <c r="G28" i="66"/>
  <c r="K28" i="66" s="1"/>
  <c r="D28" i="66"/>
  <c r="G27" i="66"/>
  <c r="D27" i="66"/>
  <c r="K27" i="66" s="1"/>
  <c r="K26" i="66"/>
  <c r="G26" i="66"/>
  <c r="G25" i="66"/>
  <c r="K25" i="66" s="1"/>
  <c r="G24" i="66"/>
  <c r="K24" i="66" s="1"/>
  <c r="G23" i="66"/>
  <c r="K23" i="66" s="1"/>
  <c r="K22" i="66"/>
  <c r="G22" i="66"/>
  <c r="G21" i="66"/>
  <c r="K21" i="66" s="1"/>
  <c r="D20" i="66"/>
  <c r="K20" i="66" s="1"/>
  <c r="D19" i="66"/>
  <c r="K19" i="66" s="1"/>
  <c r="K18" i="66"/>
  <c r="D18" i="66"/>
  <c r="D17" i="66"/>
  <c r="K17" i="66" s="1"/>
  <c r="G16" i="66"/>
  <c r="K16" i="66" s="1"/>
  <c r="G15" i="66"/>
  <c r="D15" i="66"/>
  <c r="K15" i="66" s="1"/>
  <c r="F71" i="66" s="1"/>
  <c r="K14" i="66"/>
  <c r="G14" i="66"/>
  <c r="K13" i="66"/>
  <c r="G13" i="66"/>
  <c r="G12" i="66"/>
  <c r="D12" i="66"/>
  <c r="K12" i="66" s="1"/>
  <c r="K11" i="66"/>
  <c r="D11" i="66"/>
  <c r="G10" i="66"/>
  <c r="K10" i="66" s="1"/>
  <c r="G9" i="66"/>
  <c r="K9" i="66" s="1"/>
  <c r="D8" i="66"/>
  <c r="K8" i="66" s="1"/>
  <c r="K7" i="66"/>
  <c r="D7" i="66"/>
  <c r="G6" i="66"/>
  <c r="K6" i="66" s="1"/>
  <c r="G5" i="66"/>
  <c r="K5" i="66" s="1"/>
  <c r="G4" i="66"/>
  <c r="K4" i="66" s="1"/>
  <c r="K3" i="66"/>
  <c r="D3" i="66"/>
  <c r="R89" i="65"/>
  <c r="R88" i="65"/>
  <c r="R87" i="65"/>
  <c r="R86" i="65"/>
  <c r="R85" i="65"/>
  <c r="R84" i="65"/>
  <c r="P83" i="65"/>
  <c r="J83" i="65"/>
  <c r="R83" i="65" s="1"/>
  <c r="R82" i="65"/>
  <c r="J82" i="65"/>
  <c r="P82" i="65" s="1"/>
  <c r="J81" i="65"/>
  <c r="E81" i="65"/>
  <c r="R81" i="65" s="1"/>
  <c r="R80" i="65"/>
  <c r="O80" i="65"/>
  <c r="J80" i="65"/>
  <c r="E80" i="65"/>
  <c r="J79" i="65"/>
  <c r="E79" i="65"/>
  <c r="R79" i="65" s="1"/>
  <c r="R78" i="65"/>
  <c r="O78" i="65"/>
  <c r="J78" i="65"/>
  <c r="E78" i="65"/>
  <c r="J77" i="65"/>
  <c r="E77" i="65"/>
  <c r="R77" i="65" s="1"/>
  <c r="R76" i="65"/>
  <c r="O76" i="65"/>
  <c r="J76" i="65"/>
  <c r="E76" i="65"/>
  <c r="J75" i="65"/>
  <c r="E75" i="65"/>
  <c r="R75" i="65" s="1"/>
  <c r="R74" i="65"/>
  <c r="M74" i="65"/>
  <c r="J74" i="65"/>
  <c r="R73" i="65"/>
  <c r="J73" i="65"/>
  <c r="M73" i="65" s="1"/>
  <c r="R72" i="65"/>
  <c r="M72" i="65"/>
  <c r="R71" i="65"/>
  <c r="M71" i="65"/>
  <c r="R70" i="65"/>
  <c r="M70" i="65"/>
  <c r="R69" i="65"/>
  <c r="M69" i="65"/>
  <c r="J68" i="65"/>
  <c r="E68" i="65"/>
  <c r="R68" i="65" s="1"/>
  <c r="R67" i="65"/>
  <c r="J67" i="65"/>
  <c r="E67" i="65"/>
  <c r="J66" i="65"/>
  <c r="R66" i="65" s="1"/>
  <c r="E66" i="65"/>
  <c r="R65" i="65"/>
  <c r="J65" i="65"/>
  <c r="E65" i="65"/>
  <c r="R64" i="65"/>
  <c r="M64" i="65"/>
  <c r="R63" i="65"/>
  <c r="M63" i="65"/>
  <c r="E62" i="65"/>
  <c r="R62" i="65" s="1"/>
  <c r="E61" i="65"/>
  <c r="R61" i="65" s="1"/>
  <c r="E60" i="65"/>
  <c r="R60" i="65" s="1"/>
  <c r="E59" i="65"/>
  <c r="R59" i="65" s="1"/>
  <c r="L58" i="65"/>
  <c r="J58" i="65"/>
  <c r="R58" i="65" s="1"/>
  <c r="R57" i="65"/>
  <c r="N57" i="65"/>
  <c r="L57" i="65"/>
  <c r="J57" i="65"/>
  <c r="N56" i="65"/>
  <c r="L56" i="65"/>
  <c r="J56" i="65"/>
  <c r="R56" i="65" s="1"/>
  <c r="R55" i="65"/>
  <c r="N55" i="65"/>
  <c r="L55" i="65"/>
  <c r="J55" i="65"/>
  <c r="N54" i="65"/>
  <c r="L54" i="65"/>
  <c r="J54" i="65"/>
  <c r="R54" i="65" s="1"/>
  <c r="R53" i="65"/>
  <c r="N53" i="65"/>
  <c r="L53" i="65"/>
  <c r="J53" i="65"/>
  <c r="N52" i="65"/>
  <c r="L52" i="65"/>
  <c r="J52" i="65"/>
  <c r="R52" i="65" s="1"/>
  <c r="R51" i="65"/>
  <c r="N51" i="65"/>
  <c r="L51" i="65"/>
  <c r="J51" i="65"/>
  <c r="N50" i="65"/>
  <c r="L50" i="65"/>
  <c r="K50" i="65"/>
  <c r="J50" i="65"/>
  <c r="R50" i="65" s="1"/>
  <c r="R49" i="65"/>
  <c r="N49" i="65"/>
  <c r="L49" i="65" s="1"/>
  <c r="K49" i="65"/>
  <c r="J49" i="65"/>
  <c r="R48" i="65"/>
  <c r="N48" i="65"/>
  <c r="L48" i="65"/>
  <c r="K48" i="65"/>
  <c r="J48" i="65"/>
  <c r="N47" i="65"/>
  <c r="J47" i="65"/>
  <c r="R47" i="65" s="1"/>
  <c r="R46" i="65"/>
  <c r="N46" i="65"/>
  <c r="J46" i="65"/>
  <c r="L46" i="65" s="1"/>
  <c r="N45" i="65"/>
  <c r="J45" i="65"/>
  <c r="R45" i="65" s="1"/>
  <c r="R44" i="65"/>
  <c r="N44" i="65"/>
  <c r="J44" i="65"/>
  <c r="L44" i="65" s="1"/>
  <c r="N43" i="65"/>
  <c r="J43" i="65"/>
  <c r="R43" i="65" s="1"/>
  <c r="R42" i="65"/>
  <c r="N42" i="65"/>
  <c r="J42" i="65"/>
  <c r="L42" i="65" s="1"/>
  <c r="N41" i="65"/>
  <c r="K41" i="65"/>
  <c r="J41" i="65"/>
  <c r="R41" i="65" s="1"/>
  <c r="R40" i="65"/>
  <c r="N40" i="65"/>
  <c r="L40" i="65"/>
  <c r="K40" i="65"/>
  <c r="J40" i="65"/>
  <c r="N39" i="65"/>
  <c r="K39" i="65"/>
  <c r="L39" i="65" s="1"/>
  <c r="J39" i="65"/>
  <c r="R39" i="65" s="1"/>
  <c r="N38" i="65"/>
  <c r="K38" i="65"/>
  <c r="J38" i="65"/>
  <c r="R38" i="65" s="1"/>
  <c r="R37" i="65"/>
  <c r="N37" i="65"/>
  <c r="J37" i="65"/>
  <c r="L37" i="65" s="1"/>
  <c r="N36" i="65"/>
  <c r="J36" i="65"/>
  <c r="R36" i="65" s="1"/>
  <c r="R35" i="65"/>
  <c r="N35" i="65"/>
  <c r="J35" i="65"/>
  <c r="L35" i="65" s="1"/>
  <c r="N34" i="65"/>
  <c r="J34" i="65"/>
  <c r="R34" i="65" s="1"/>
  <c r="R33" i="65"/>
  <c r="N33" i="65"/>
  <c r="D93" i="65" s="1"/>
  <c r="K33" i="65"/>
  <c r="L33" i="65" s="1"/>
  <c r="J33" i="65"/>
  <c r="J32" i="65"/>
  <c r="E32" i="65"/>
  <c r="R32" i="65" s="1"/>
  <c r="R31" i="65"/>
  <c r="J31" i="65"/>
  <c r="L31" i="65" s="1"/>
  <c r="E31" i="65"/>
  <c r="K30" i="65"/>
  <c r="R30" i="65" s="1"/>
  <c r="R29" i="65"/>
  <c r="L29" i="65"/>
  <c r="K29" i="65"/>
  <c r="R28" i="65"/>
  <c r="J28" i="65"/>
  <c r="L28" i="65" s="1"/>
  <c r="K27" i="65"/>
  <c r="J27" i="65"/>
  <c r="R27" i="65" s="1"/>
  <c r="R26" i="65"/>
  <c r="L26" i="65"/>
  <c r="J26" i="65"/>
  <c r="J25" i="65"/>
  <c r="R25" i="65" s="1"/>
  <c r="R24" i="65"/>
  <c r="L24" i="65"/>
  <c r="J24" i="65"/>
  <c r="R23" i="65"/>
  <c r="J23" i="65"/>
  <c r="L23" i="65" s="1"/>
  <c r="E23" i="65"/>
  <c r="K22" i="65"/>
  <c r="R22" i="65" s="1"/>
  <c r="J22" i="65"/>
  <c r="E22" i="65"/>
  <c r="K21" i="65"/>
  <c r="J21" i="65"/>
  <c r="E21" i="65"/>
  <c r="R21" i="65" s="1"/>
  <c r="R20" i="65"/>
  <c r="K20" i="65"/>
  <c r="L20" i="65" s="1"/>
  <c r="R19" i="65"/>
  <c r="L19" i="65"/>
  <c r="K19" i="65"/>
  <c r="J18" i="65"/>
  <c r="R18" i="65" s="1"/>
  <c r="R17" i="65"/>
  <c r="L17" i="65"/>
  <c r="J17" i="65"/>
  <c r="J16" i="65"/>
  <c r="R16" i="65" s="1"/>
  <c r="R15" i="65"/>
  <c r="L15" i="65"/>
  <c r="J15" i="65"/>
  <c r="R14" i="65"/>
  <c r="K14" i="65"/>
  <c r="L14" i="65" s="1"/>
  <c r="J14" i="65"/>
  <c r="K13" i="65"/>
  <c r="R13" i="65" s="1"/>
  <c r="J13" i="65"/>
  <c r="R12" i="65"/>
  <c r="J12" i="65"/>
  <c r="L12" i="65" s="1"/>
  <c r="L11" i="65"/>
  <c r="J11" i="65"/>
  <c r="R11" i="65" s="1"/>
  <c r="R10" i="65"/>
  <c r="J10" i="65"/>
  <c r="L10" i="65" s="1"/>
  <c r="K9" i="65"/>
  <c r="J9" i="65"/>
  <c r="R9" i="65" s="1"/>
  <c r="L8" i="65"/>
  <c r="K8" i="65"/>
  <c r="J8" i="65"/>
  <c r="R8" i="65" s="1"/>
  <c r="R7" i="65"/>
  <c r="L7" i="65"/>
  <c r="J7" i="65"/>
  <c r="J6" i="65"/>
  <c r="R6" i="65" s="1"/>
  <c r="E6" i="65"/>
  <c r="R5" i="65"/>
  <c r="L5" i="65"/>
  <c r="J5" i="65"/>
  <c r="E5" i="65"/>
  <c r="J4" i="65"/>
  <c r="R4" i="65" s="1"/>
  <c r="R3" i="65"/>
  <c r="L3" i="65"/>
  <c r="J3" i="65"/>
  <c r="B98" i="64"/>
  <c r="B97" i="64"/>
  <c r="B96" i="64"/>
  <c r="B95" i="64"/>
  <c r="B94" i="64"/>
  <c r="B93" i="64"/>
  <c r="B120" i="63"/>
  <c r="B119" i="63"/>
  <c r="B118" i="63"/>
  <c r="B116" i="63"/>
  <c r="B115" i="63"/>
  <c r="B114" i="63"/>
  <c r="B113" i="63"/>
  <c r="B111" i="63"/>
  <c r="B110" i="63"/>
  <c r="B109" i="63"/>
  <c r="B108" i="63"/>
  <c r="B105" i="63"/>
  <c r="B104" i="63"/>
  <c r="C79" i="63"/>
  <c r="C78" i="63"/>
  <c r="B117" i="63" s="1"/>
  <c r="C35" i="63"/>
  <c r="C34" i="63"/>
  <c r="B112" i="63" s="1"/>
  <c r="C19" i="63"/>
  <c r="C18" i="63"/>
  <c r="C17" i="63"/>
  <c r="C16" i="63"/>
  <c r="B107" i="63" s="1"/>
  <c r="C15" i="63"/>
  <c r="C14" i="63"/>
  <c r="C13" i="63"/>
  <c r="C12" i="63"/>
  <c r="C11" i="63"/>
  <c r="C10" i="63"/>
  <c r="B106" i="63" s="1"/>
  <c r="C9" i="63"/>
  <c r="C8" i="63"/>
  <c r="C6" i="63"/>
  <c r="C5" i="63"/>
  <c r="D7" i="61"/>
  <c r="J37" i="60"/>
  <c r="J36" i="60"/>
  <c r="AY116" i="1" s="1"/>
  <c r="J35" i="60"/>
  <c r="AX116" i="1" s="1"/>
  <c r="BI92" i="60"/>
  <c r="BH92" i="60"/>
  <c r="BG92" i="60"/>
  <c r="BF92" i="60"/>
  <c r="T92" i="60"/>
  <c r="R92" i="60"/>
  <c r="P92" i="60"/>
  <c r="BI91" i="60"/>
  <c r="BH91" i="60"/>
  <c r="BG91" i="60"/>
  <c r="BF91" i="60"/>
  <c r="T91" i="60"/>
  <c r="R91" i="60"/>
  <c r="P91" i="60"/>
  <c r="BI90" i="60"/>
  <c r="BH90" i="60"/>
  <c r="BG90" i="60"/>
  <c r="BF90" i="60"/>
  <c r="T90" i="60"/>
  <c r="R90" i="60"/>
  <c r="P90" i="60"/>
  <c r="BI89" i="60"/>
  <c r="BH89" i="60"/>
  <c r="BG89" i="60"/>
  <c r="BF89" i="60"/>
  <c r="T89" i="60"/>
  <c r="R89" i="60"/>
  <c r="P89" i="60"/>
  <c r="BI88" i="60"/>
  <c r="BH88" i="60"/>
  <c r="BG88" i="60"/>
  <c r="BF88" i="60"/>
  <c r="T88" i="60"/>
  <c r="R88" i="60"/>
  <c r="P88" i="60"/>
  <c r="BI87" i="60"/>
  <c r="BH87" i="60"/>
  <c r="BG87" i="60"/>
  <c r="BF87" i="60"/>
  <c r="T87" i="60"/>
  <c r="R87" i="60"/>
  <c r="P87" i="60"/>
  <c r="BI86" i="60"/>
  <c r="BH86" i="60"/>
  <c r="BG86" i="60"/>
  <c r="BF86" i="60"/>
  <c r="T86" i="60"/>
  <c r="R86" i="60"/>
  <c r="P86" i="60"/>
  <c r="BI85" i="60"/>
  <c r="BH85" i="60"/>
  <c r="BG85" i="60"/>
  <c r="BF85" i="60"/>
  <c r="T85" i="60"/>
  <c r="R85" i="60"/>
  <c r="P85" i="60"/>
  <c r="BI84" i="60"/>
  <c r="BH84" i="60"/>
  <c r="BG84" i="60"/>
  <c r="BF84" i="60"/>
  <c r="T84" i="60"/>
  <c r="R84" i="60"/>
  <c r="P84" i="60"/>
  <c r="J78" i="60"/>
  <c r="J77" i="60"/>
  <c r="F77" i="60"/>
  <c r="F75" i="60"/>
  <c r="E73" i="60"/>
  <c r="J55" i="60"/>
  <c r="J54" i="60"/>
  <c r="F54" i="60"/>
  <c r="F52" i="60"/>
  <c r="E50" i="60"/>
  <c r="J18" i="60"/>
  <c r="E18" i="60"/>
  <c r="F55" i="60" s="1"/>
  <c r="J17" i="60"/>
  <c r="J12" i="60"/>
  <c r="J75" i="60" s="1"/>
  <c r="E7" i="60"/>
  <c r="E71" i="60"/>
  <c r="J37" i="59"/>
  <c r="J36" i="59"/>
  <c r="AY115" i="1" s="1"/>
  <c r="J35" i="59"/>
  <c r="AX115" i="1" s="1"/>
  <c r="BI97" i="59"/>
  <c r="BH97" i="59"/>
  <c r="BG97" i="59"/>
  <c r="BF97" i="59"/>
  <c r="T97" i="59"/>
  <c r="R97" i="59"/>
  <c r="P97" i="59"/>
  <c r="BI96" i="59"/>
  <c r="BH96" i="59"/>
  <c r="BG96" i="59"/>
  <c r="BF96" i="59"/>
  <c r="T96" i="59"/>
  <c r="R96" i="59"/>
  <c r="P96" i="59"/>
  <c r="BI94" i="59"/>
  <c r="BH94" i="59"/>
  <c r="BG94" i="59"/>
  <c r="BF94" i="59"/>
  <c r="T94" i="59"/>
  <c r="R94" i="59"/>
  <c r="P94" i="59"/>
  <c r="BI93" i="59"/>
  <c r="BH93" i="59"/>
  <c r="BG93" i="59"/>
  <c r="BF93" i="59"/>
  <c r="T93" i="59"/>
  <c r="R93" i="59"/>
  <c r="P93" i="59"/>
  <c r="BI91" i="59"/>
  <c r="BH91" i="59"/>
  <c r="BG91" i="59"/>
  <c r="BF91" i="59"/>
  <c r="T91" i="59"/>
  <c r="R91" i="59"/>
  <c r="P91" i="59"/>
  <c r="BI90" i="59"/>
  <c r="BH90" i="59"/>
  <c r="BG90" i="59"/>
  <c r="BF90" i="59"/>
  <c r="T90" i="59"/>
  <c r="R90" i="59"/>
  <c r="P90" i="59"/>
  <c r="BI88" i="59"/>
  <c r="BH88" i="59"/>
  <c r="BG88" i="59"/>
  <c r="BF88" i="59"/>
  <c r="T88" i="59"/>
  <c r="R88" i="59"/>
  <c r="P88" i="59"/>
  <c r="BI87" i="59"/>
  <c r="BH87" i="59"/>
  <c r="BG87" i="59"/>
  <c r="BF87" i="59"/>
  <c r="T87" i="59"/>
  <c r="R87" i="59"/>
  <c r="P87" i="59"/>
  <c r="BI86" i="59"/>
  <c r="BH86" i="59"/>
  <c r="BG86" i="59"/>
  <c r="BF86" i="59"/>
  <c r="T86" i="59"/>
  <c r="R86" i="59"/>
  <c r="P86" i="59"/>
  <c r="BI85" i="59"/>
  <c r="BH85" i="59"/>
  <c r="BG85" i="59"/>
  <c r="BF85" i="59"/>
  <c r="T85" i="59"/>
  <c r="R85" i="59"/>
  <c r="P85" i="59"/>
  <c r="F77" i="59"/>
  <c r="E75" i="59"/>
  <c r="F52" i="59"/>
  <c r="E50" i="59"/>
  <c r="J24" i="59"/>
  <c r="E24" i="59"/>
  <c r="J80" i="59"/>
  <c r="J23" i="59"/>
  <c r="J21" i="59"/>
  <c r="E21" i="59"/>
  <c r="J79" i="59" s="1"/>
  <c r="J20" i="59"/>
  <c r="J18" i="59"/>
  <c r="E18" i="59"/>
  <c r="F80" i="59"/>
  <c r="J17" i="59"/>
  <c r="J15" i="59"/>
  <c r="E15" i="59"/>
  <c r="F79" i="59" s="1"/>
  <c r="J14" i="59"/>
  <c r="J12" i="59"/>
  <c r="J77" i="59" s="1"/>
  <c r="E7" i="59"/>
  <c r="E73" i="59" s="1"/>
  <c r="J37" i="58"/>
  <c r="J36" i="58"/>
  <c r="AY114" i="1" s="1"/>
  <c r="J35" i="58"/>
  <c r="AX114" i="1"/>
  <c r="BI149" i="58"/>
  <c r="BH149" i="58"/>
  <c r="BG149" i="58"/>
  <c r="BF149" i="58"/>
  <c r="T149" i="58"/>
  <c r="R149" i="58"/>
  <c r="P149" i="58"/>
  <c r="BI148" i="58"/>
  <c r="BH148" i="58"/>
  <c r="BG148" i="58"/>
  <c r="BF148" i="58"/>
  <c r="T148" i="58"/>
  <c r="R148" i="58"/>
  <c r="P148" i="58"/>
  <c r="BI147" i="58"/>
  <c r="BH147" i="58"/>
  <c r="BG147" i="58"/>
  <c r="BF147" i="58"/>
  <c r="T147" i="58"/>
  <c r="R147" i="58"/>
  <c r="P147" i="58"/>
  <c r="BI146" i="58"/>
  <c r="BH146" i="58"/>
  <c r="BG146" i="58"/>
  <c r="BF146" i="58"/>
  <c r="T146" i="58"/>
  <c r="R146" i="58"/>
  <c r="P146" i="58"/>
  <c r="BI145" i="58"/>
  <c r="BH145" i="58"/>
  <c r="BG145" i="58"/>
  <c r="BF145" i="58"/>
  <c r="T145" i="58"/>
  <c r="R145" i="58"/>
  <c r="P145" i="58"/>
  <c r="BI144" i="58"/>
  <c r="BH144" i="58"/>
  <c r="BG144" i="58"/>
  <c r="BF144" i="58"/>
  <c r="T144" i="58"/>
  <c r="R144" i="58"/>
  <c r="P144" i="58"/>
  <c r="BI143" i="58"/>
  <c r="BH143" i="58"/>
  <c r="BG143" i="58"/>
  <c r="BF143" i="58"/>
  <c r="T143" i="58"/>
  <c r="R143" i="58"/>
  <c r="P143" i="58"/>
  <c r="BI142" i="58"/>
  <c r="BH142" i="58"/>
  <c r="BG142" i="58"/>
  <c r="BF142" i="58"/>
  <c r="T142" i="58"/>
  <c r="R142" i="58"/>
  <c r="P142" i="58"/>
  <c r="BI141" i="58"/>
  <c r="BH141" i="58"/>
  <c r="BG141" i="58"/>
  <c r="BF141" i="58"/>
  <c r="T141" i="58"/>
  <c r="R141" i="58"/>
  <c r="P141" i="58"/>
  <c r="BI140" i="58"/>
  <c r="BH140" i="58"/>
  <c r="BG140" i="58"/>
  <c r="BF140" i="58"/>
  <c r="T140" i="58"/>
  <c r="R140" i="58"/>
  <c r="P140" i="58"/>
  <c r="BI139" i="58"/>
  <c r="BH139" i="58"/>
  <c r="BG139" i="58"/>
  <c r="BF139" i="58"/>
  <c r="T139" i="58"/>
  <c r="R139" i="58"/>
  <c r="P139" i="58"/>
  <c r="BI137" i="58"/>
  <c r="BH137" i="58"/>
  <c r="BG137" i="58"/>
  <c r="BF137" i="58"/>
  <c r="T137" i="58"/>
  <c r="R137" i="58"/>
  <c r="P137" i="58"/>
  <c r="BI136" i="58"/>
  <c r="BH136" i="58"/>
  <c r="BG136" i="58"/>
  <c r="BF136" i="58"/>
  <c r="T136" i="58"/>
  <c r="R136" i="58"/>
  <c r="P136" i="58"/>
  <c r="BI135" i="58"/>
  <c r="BH135" i="58"/>
  <c r="BG135" i="58"/>
  <c r="BF135" i="58"/>
  <c r="T135" i="58"/>
  <c r="R135" i="58"/>
  <c r="P135" i="58"/>
  <c r="BI134" i="58"/>
  <c r="BH134" i="58"/>
  <c r="BG134" i="58"/>
  <c r="BF134" i="58"/>
  <c r="T134" i="58"/>
  <c r="R134" i="58"/>
  <c r="P134" i="58"/>
  <c r="BI133" i="58"/>
  <c r="BH133" i="58"/>
  <c r="BG133" i="58"/>
  <c r="BF133" i="58"/>
  <c r="T133" i="58"/>
  <c r="R133" i="58"/>
  <c r="P133" i="58"/>
  <c r="BI132" i="58"/>
  <c r="BH132" i="58"/>
  <c r="BG132" i="58"/>
  <c r="BF132" i="58"/>
  <c r="T132" i="58"/>
  <c r="R132" i="58"/>
  <c r="P132" i="58"/>
  <c r="BI131" i="58"/>
  <c r="BH131" i="58"/>
  <c r="BG131" i="58"/>
  <c r="BF131" i="58"/>
  <c r="T131" i="58"/>
  <c r="R131" i="58"/>
  <c r="P131" i="58"/>
  <c r="BI130" i="58"/>
  <c r="BH130" i="58"/>
  <c r="BG130" i="58"/>
  <c r="BF130" i="58"/>
  <c r="T130" i="58"/>
  <c r="R130" i="58"/>
  <c r="P130" i="58"/>
  <c r="BI129" i="58"/>
  <c r="BH129" i="58"/>
  <c r="BG129" i="58"/>
  <c r="BF129" i="58"/>
  <c r="T129" i="58"/>
  <c r="R129" i="58"/>
  <c r="P129" i="58"/>
  <c r="BI128" i="58"/>
  <c r="BH128" i="58"/>
  <c r="BG128" i="58"/>
  <c r="BF128" i="58"/>
  <c r="T128" i="58"/>
  <c r="R128" i="58"/>
  <c r="P128" i="58"/>
  <c r="BI127" i="58"/>
  <c r="BH127" i="58"/>
  <c r="BG127" i="58"/>
  <c r="BF127" i="58"/>
  <c r="T127" i="58"/>
  <c r="R127" i="58"/>
  <c r="P127" i="58"/>
  <c r="BI126" i="58"/>
  <c r="BH126" i="58"/>
  <c r="BG126" i="58"/>
  <c r="BF126" i="58"/>
  <c r="T126" i="58"/>
  <c r="R126" i="58"/>
  <c r="P126" i="58"/>
  <c r="BI125" i="58"/>
  <c r="BH125" i="58"/>
  <c r="BG125" i="58"/>
  <c r="BF125" i="58"/>
  <c r="T125" i="58"/>
  <c r="R125" i="58"/>
  <c r="P125" i="58"/>
  <c r="BI123" i="58"/>
  <c r="BH123" i="58"/>
  <c r="BG123" i="58"/>
  <c r="BF123" i="58"/>
  <c r="T123" i="58"/>
  <c r="R123" i="58"/>
  <c r="P123" i="58"/>
  <c r="BI122" i="58"/>
  <c r="BH122" i="58"/>
  <c r="BG122" i="58"/>
  <c r="BF122" i="58"/>
  <c r="T122" i="58"/>
  <c r="R122" i="58"/>
  <c r="P122" i="58"/>
  <c r="BI121" i="58"/>
  <c r="BH121" i="58"/>
  <c r="BG121" i="58"/>
  <c r="BF121" i="58"/>
  <c r="T121" i="58"/>
  <c r="R121" i="58"/>
  <c r="P121" i="58"/>
  <c r="BI118" i="58"/>
  <c r="BH118" i="58"/>
  <c r="BG118" i="58"/>
  <c r="BF118" i="58"/>
  <c r="T118" i="58"/>
  <c r="R118" i="58"/>
  <c r="P118" i="58"/>
  <c r="BI117" i="58"/>
  <c r="BH117" i="58"/>
  <c r="BG117" i="58"/>
  <c r="BF117" i="58"/>
  <c r="T117" i="58"/>
  <c r="R117" i="58"/>
  <c r="P117" i="58"/>
  <c r="BI116" i="58"/>
  <c r="BH116" i="58"/>
  <c r="BG116" i="58"/>
  <c r="BF116" i="58"/>
  <c r="T116" i="58"/>
  <c r="R116" i="58"/>
  <c r="P116" i="58"/>
  <c r="BI115" i="58"/>
  <c r="BH115" i="58"/>
  <c r="BG115" i="58"/>
  <c r="BF115" i="58"/>
  <c r="T115" i="58"/>
  <c r="R115" i="58"/>
  <c r="P115" i="58"/>
  <c r="BI114" i="58"/>
  <c r="BH114" i="58"/>
  <c r="BG114" i="58"/>
  <c r="BF114" i="58"/>
  <c r="T114" i="58"/>
  <c r="R114" i="58"/>
  <c r="P114" i="58"/>
  <c r="BI113" i="58"/>
  <c r="BH113" i="58"/>
  <c r="BG113" i="58"/>
  <c r="BF113" i="58"/>
  <c r="T113" i="58"/>
  <c r="R113" i="58"/>
  <c r="P113" i="58"/>
  <c r="BI112" i="58"/>
  <c r="BH112" i="58"/>
  <c r="BG112" i="58"/>
  <c r="BF112" i="58"/>
  <c r="T112" i="58"/>
  <c r="R112" i="58"/>
  <c r="P112" i="58"/>
  <c r="BI111" i="58"/>
  <c r="BH111" i="58"/>
  <c r="BG111" i="58"/>
  <c r="BF111" i="58"/>
  <c r="T111" i="58"/>
  <c r="R111" i="58"/>
  <c r="P111" i="58"/>
  <c r="BI110" i="58"/>
  <c r="BH110" i="58"/>
  <c r="BG110" i="58"/>
  <c r="BF110" i="58"/>
  <c r="T110" i="58"/>
  <c r="R110" i="58"/>
  <c r="P110" i="58"/>
  <c r="BI109" i="58"/>
  <c r="BH109" i="58"/>
  <c r="BG109" i="58"/>
  <c r="BF109" i="58"/>
  <c r="T109" i="58"/>
  <c r="R109" i="58"/>
  <c r="P109" i="58"/>
  <c r="BI108" i="58"/>
  <c r="BH108" i="58"/>
  <c r="BG108" i="58"/>
  <c r="BF108" i="58"/>
  <c r="T108" i="58"/>
  <c r="R108" i="58"/>
  <c r="P108" i="58"/>
  <c r="BI106" i="58"/>
  <c r="BH106" i="58"/>
  <c r="BG106" i="58"/>
  <c r="BF106" i="58"/>
  <c r="T106" i="58"/>
  <c r="R106" i="58"/>
  <c r="P106" i="58"/>
  <c r="BI105" i="58"/>
  <c r="BH105" i="58"/>
  <c r="BG105" i="58"/>
  <c r="BF105" i="58"/>
  <c r="T105" i="58"/>
  <c r="R105" i="58"/>
  <c r="P105" i="58"/>
  <c r="BI104" i="58"/>
  <c r="BH104" i="58"/>
  <c r="BG104" i="58"/>
  <c r="BF104" i="58"/>
  <c r="T104" i="58"/>
  <c r="R104" i="58"/>
  <c r="P104" i="58"/>
  <c r="BI103" i="58"/>
  <c r="BH103" i="58"/>
  <c r="BG103" i="58"/>
  <c r="BF103" i="58"/>
  <c r="T103" i="58"/>
  <c r="R103" i="58"/>
  <c r="P103" i="58"/>
  <c r="BI102" i="58"/>
  <c r="BH102" i="58"/>
  <c r="BG102" i="58"/>
  <c r="BF102" i="58"/>
  <c r="T102" i="58"/>
  <c r="R102" i="58"/>
  <c r="P102" i="58"/>
  <c r="BI101" i="58"/>
  <c r="BH101" i="58"/>
  <c r="BG101" i="58"/>
  <c r="BF101" i="58"/>
  <c r="T101" i="58"/>
  <c r="R101" i="58"/>
  <c r="P101" i="58"/>
  <c r="BI100" i="58"/>
  <c r="BH100" i="58"/>
  <c r="BG100" i="58"/>
  <c r="BF100" i="58"/>
  <c r="T100" i="58"/>
  <c r="R100" i="58"/>
  <c r="P100" i="58"/>
  <c r="BI99" i="58"/>
  <c r="BH99" i="58"/>
  <c r="BG99" i="58"/>
  <c r="BF99" i="58"/>
  <c r="T99" i="58"/>
  <c r="R99" i="58"/>
  <c r="P99" i="58"/>
  <c r="BI98" i="58"/>
  <c r="BH98" i="58"/>
  <c r="BG98" i="58"/>
  <c r="BF98" i="58"/>
  <c r="T98" i="58"/>
  <c r="R98" i="58"/>
  <c r="P98" i="58"/>
  <c r="BI97" i="58"/>
  <c r="BH97" i="58"/>
  <c r="BG97" i="58"/>
  <c r="BF97" i="58"/>
  <c r="T97" i="58"/>
  <c r="R97" i="58"/>
  <c r="P97" i="58"/>
  <c r="BI96" i="58"/>
  <c r="BH96" i="58"/>
  <c r="BG96" i="58"/>
  <c r="BF96" i="58"/>
  <c r="T96" i="58"/>
  <c r="R96" i="58"/>
  <c r="P96" i="58"/>
  <c r="BI95" i="58"/>
  <c r="BH95" i="58"/>
  <c r="BG95" i="58"/>
  <c r="BF95" i="58"/>
  <c r="T95" i="58"/>
  <c r="R95" i="58"/>
  <c r="P95" i="58"/>
  <c r="BI94" i="58"/>
  <c r="BH94" i="58"/>
  <c r="BG94" i="58"/>
  <c r="BF94" i="58"/>
  <c r="T94" i="58"/>
  <c r="R94" i="58"/>
  <c r="P94" i="58"/>
  <c r="BI92" i="58"/>
  <c r="BH92" i="58"/>
  <c r="BG92" i="58"/>
  <c r="BF92" i="58"/>
  <c r="T92" i="58"/>
  <c r="R92" i="58"/>
  <c r="P92" i="58"/>
  <c r="BI91" i="58"/>
  <c r="BH91" i="58"/>
  <c r="BG91" i="58"/>
  <c r="BF91" i="58"/>
  <c r="T91" i="58"/>
  <c r="R91" i="58"/>
  <c r="P91" i="58"/>
  <c r="BI90" i="58"/>
  <c r="BH90" i="58"/>
  <c r="BG90" i="58"/>
  <c r="BF90" i="58"/>
  <c r="T90" i="58"/>
  <c r="R90" i="58"/>
  <c r="P90" i="58"/>
  <c r="F81" i="58"/>
  <c r="E79" i="58"/>
  <c r="F52" i="58"/>
  <c r="E50" i="58"/>
  <c r="J24" i="58"/>
  <c r="E24" i="58"/>
  <c r="J55" i="58" s="1"/>
  <c r="J23" i="58"/>
  <c r="J21" i="58"/>
  <c r="E21" i="58"/>
  <c r="J83" i="58" s="1"/>
  <c r="J20" i="58"/>
  <c r="J18" i="58"/>
  <c r="E18" i="58"/>
  <c r="F84" i="58" s="1"/>
  <c r="J17" i="58"/>
  <c r="J15" i="58"/>
  <c r="E15" i="58"/>
  <c r="F83" i="58" s="1"/>
  <c r="J14" i="58"/>
  <c r="J12" i="58"/>
  <c r="J52" i="58" s="1"/>
  <c r="E7" i="58"/>
  <c r="E48" i="58"/>
  <c r="J37" i="57"/>
  <c r="J36" i="57"/>
  <c r="AY113" i="1" s="1"/>
  <c r="J35" i="57"/>
  <c r="AX113" i="1" s="1"/>
  <c r="BI89" i="57"/>
  <c r="BH89" i="57"/>
  <c r="BG89" i="57"/>
  <c r="BF89" i="57"/>
  <c r="T89" i="57"/>
  <c r="R89" i="57"/>
  <c r="P89" i="57"/>
  <c r="BI88" i="57"/>
  <c r="BH88" i="57"/>
  <c r="BG88" i="57"/>
  <c r="BF88" i="57"/>
  <c r="T88" i="57"/>
  <c r="R88" i="57"/>
  <c r="P88" i="57"/>
  <c r="BI87" i="57"/>
  <c r="BH87" i="57"/>
  <c r="BG87" i="57"/>
  <c r="BF87" i="57"/>
  <c r="T87" i="57"/>
  <c r="R87" i="57"/>
  <c r="P87" i="57"/>
  <c r="BI85" i="57"/>
  <c r="BH85" i="57"/>
  <c r="BG85" i="57"/>
  <c r="BF85" i="57"/>
  <c r="T85" i="57"/>
  <c r="R85" i="57"/>
  <c r="P85" i="57"/>
  <c r="BI84" i="57"/>
  <c r="BH84" i="57"/>
  <c r="BG84" i="57"/>
  <c r="BF84" i="57"/>
  <c r="T84" i="57"/>
  <c r="R84" i="57"/>
  <c r="P84" i="57"/>
  <c r="F75" i="57"/>
  <c r="E73" i="57"/>
  <c r="F52" i="57"/>
  <c r="E50" i="57"/>
  <c r="J24" i="57"/>
  <c r="E24" i="57"/>
  <c r="J78" i="57" s="1"/>
  <c r="J23" i="57"/>
  <c r="J21" i="57"/>
  <c r="E21" i="57"/>
  <c r="J54" i="57" s="1"/>
  <c r="J20" i="57"/>
  <c r="J18" i="57"/>
  <c r="E18" i="57"/>
  <c r="F55" i="57" s="1"/>
  <c r="J17" i="57"/>
  <c r="J15" i="57"/>
  <c r="E15" i="57"/>
  <c r="F77" i="57" s="1"/>
  <c r="J14" i="57"/>
  <c r="J12" i="57"/>
  <c r="J75" i="57" s="1"/>
  <c r="E7" i="57"/>
  <c r="E71" i="57"/>
  <c r="J37" i="56"/>
  <c r="J36" i="56"/>
  <c r="AY112" i="1" s="1"/>
  <c r="J35" i="56"/>
  <c r="AX112" i="1" s="1"/>
  <c r="BI137" i="56"/>
  <c r="BH137" i="56"/>
  <c r="BG137" i="56"/>
  <c r="BF137" i="56"/>
  <c r="T137" i="56"/>
  <c r="R137" i="56"/>
  <c r="P137" i="56"/>
  <c r="BI136" i="56"/>
  <c r="BH136" i="56"/>
  <c r="BG136" i="56"/>
  <c r="BF136" i="56"/>
  <c r="T136" i="56"/>
  <c r="R136" i="56"/>
  <c r="P136" i="56"/>
  <c r="BI135" i="56"/>
  <c r="BH135" i="56"/>
  <c r="BG135" i="56"/>
  <c r="BF135" i="56"/>
  <c r="T135" i="56"/>
  <c r="R135" i="56"/>
  <c r="P135" i="56"/>
  <c r="BI134" i="56"/>
  <c r="BH134" i="56"/>
  <c r="BG134" i="56"/>
  <c r="BF134" i="56"/>
  <c r="T134" i="56"/>
  <c r="R134" i="56"/>
  <c r="P134"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BI127" i="56"/>
  <c r="BH127" i="56"/>
  <c r="BG127" i="56"/>
  <c r="BF127" i="56"/>
  <c r="T127" i="56"/>
  <c r="R127" i="56"/>
  <c r="P127" i="56"/>
  <c r="BI126" i="56"/>
  <c r="BH126" i="56"/>
  <c r="BG126" i="56"/>
  <c r="BF126" i="56"/>
  <c r="T126" i="56"/>
  <c r="R126" i="56"/>
  <c r="P126" i="56"/>
  <c r="BI125" i="56"/>
  <c r="BH125" i="56"/>
  <c r="BG125" i="56"/>
  <c r="BF125" i="56"/>
  <c r="T125" i="56"/>
  <c r="R125" i="56"/>
  <c r="P125" i="56"/>
  <c r="BI124" i="56"/>
  <c r="BH124" i="56"/>
  <c r="BG124" i="56"/>
  <c r="BF124" i="56"/>
  <c r="T124" i="56"/>
  <c r="R124" i="56"/>
  <c r="P124" i="56"/>
  <c r="BI123" i="56"/>
  <c r="BH123" i="56"/>
  <c r="BG123" i="56"/>
  <c r="BF123" i="56"/>
  <c r="T123" i="56"/>
  <c r="R123" i="56"/>
  <c r="P123" i="56"/>
  <c r="BI122" i="56"/>
  <c r="BH122" i="56"/>
  <c r="BG122" i="56"/>
  <c r="BF122" i="56"/>
  <c r="T122" i="56"/>
  <c r="R122" i="56"/>
  <c r="P122" i="56"/>
  <c r="BI121" i="56"/>
  <c r="BH121" i="56"/>
  <c r="BG121" i="56"/>
  <c r="BF121" i="56"/>
  <c r="T121" i="56"/>
  <c r="R121" i="56"/>
  <c r="P121" i="56"/>
  <c r="BI120" i="56"/>
  <c r="BH120" i="56"/>
  <c r="BG120" i="56"/>
  <c r="BF120" i="56"/>
  <c r="T120" i="56"/>
  <c r="R120" i="56"/>
  <c r="P120" i="56"/>
  <c r="BI119" i="56"/>
  <c r="BH119" i="56"/>
  <c r="BG119" i="56"/>
  <c r="BF119" i="56"/>
  <c r="T119" i="56"/>
  <c r="R119" i="56"/>
  <c r="P119" i="56"/>
  <c r="BI117" i="56"/>
  <c r="BH117" i="56"/>
  <c r="BG117" i="56"/>
  <c r="BF117" i="56"/>
  <c r="T117" i="56"/>
  <c r="R117" i="56"/>
  <c r="P117" i="56"/>
  <c r="BI116" i="56"/>
  <c r="BH116" i="56"/>
  <c r="BG116" i="56"/>
  <c r="BF116" i="56"/>
  <c r="T116" i="56"/>
  <c r="R116" i="56"/>
  <c r="P116" i="56"/>
  <c r="BI115" i="56"/>
  <c r="BH115" i="56"/>
  <c r="BG115" i="56"/>
  <c r="BF115" i="56"/>
  <c r="T115" i="56"/>
  <c r="R115" i="56"/>
  <c r="P115" i="56"/>
  <c r="BI114" i="56"/>
  <c r="BH114" i="56"/>
  <c r="BG114" i="56"/>
  <c r="BF114" i="56"/>
  <c r="T114" i="56"/>
  <c r="R114" i="56"/>
  <c r="P114" i="56"/>
  <c r="BI113" i="56"/>
  <c r="BH113" i="56"/>
  <c r="BG113" i="56"/>
  <c r="BF113" i="56"/>
  <c r="T113" i="56"/>
  <c r="R113" i="56"/>
  <c r="P113" i="56"/>
  <c r="BI112" i="56"/>
  <c r="BH112" i="56"/>
  <c r="BG112" i="56"/>
  <c r="BF112" i="56"/>
  <c r="T112" i="56"/>
  <c r="R112" i="56"/>
  <c r="P112" i="56"/>
  <c r="BI111" i="56"/>
  <c r="BH111" i="56"/>
  <c r="BG111" i="56"/>
  <c r="BF111" i="56"/>
  <c r="T111" i="56"/>
  <c r="R111" i="56"/>
  <c r="P111" i="56"/>
  <c r="BI109" i="56"/>
  <c r="BH109" i="56"/>
  <c r="BG109" i="56"/>
  <c r="BF109" i="56"/>
  <c r="T109" i="56"/>
  <c r="R109" i="56"/>
  <c r="P109" i="56"/>
  <c r="BI108" i="56"/>
  <c r="BH108" i="56"/>
  <c r="BG108" i="56"/>
  <c r="BF108" i="56"/>
  <c r="T108" i="56"/>
  <c r="R108" i="56"/>
  <c r="P108" i="56"/>
  <c r="BI106" i="56"/>
  <c r="BH106" i="56"/>
  <c r="BG106" i="56"/>
  <c r="BF106" i="56"/>
  <c r="T106" i="56"/>
  <c r="R106" i="56"/>
  <c r="P106" i="56"/>
  <c r="BI105" i="56"/>
  <c r="BH105" i="56"/>
  <c r="BG105" i="56"/>
  <c r="BF105" i="56"/>
  <c r="T105" i="56"/>
  <c r="R105" i="56"/>
  <c r="P105" i="56"/>
  <c r="BI104" i="56"/>
  <c r="BH104" i="56"/>
  <c r="BG104" i="56"/>
  <c r="BF104" i="56"/>
  <c r="T104" i="56"/>
  <c r="R104" i="56"/>
  <c r="P104" i="56"/>
  <c r="BI103" i="56"/>
  <c r="BH103" i="56"/>
  <c r="BG103" i="56"/>
  <c r="BF103" i="56"/>
  <c r="T103" i="56"/>
  <c r="R103" i="56"/>
  <c r="P103" i="56"/>
  <c r="BI102" i="56"/>
  <c r="BH102" i="56"/>
  <c r="BG102" i="56"/>
  <c r="BF102" i="56"/>
  <c r="T102" i="56"/>
  <c r="R102" i="56"/>
  <c r="P102" i="56"/>
  <c r="BI101" i="56"/>
  <c r="BH101" i="56"/>
  <c r="BG101" i="56"/>
  <c r="BF101" i="56"/>
  <c r="T101" i="56"/>
  <c r="R101" i="56"/>
  <c r="P101" i="56"/>
  <c r="BI100" i="56"/>
  <c r="BH100" i="56"/>
  <c r="BG100" i="56"/>
  <c r="BF100" i="56"/>
  <c r="T100" i="56"/>
  <c r="R100" i="56"/>
  <c r="P100" i="56"/>
  <c r="BI99" i="56"/>
  <c r="BH99" i="56"/>
  <c r="BG99" i="56"/>
  <c r="BF99" i="56"/>
  <c r="T99" i="56"/>
  <c r="R99" i="56"/>
  <c r="P99" i="56"/>
  <c r="BI98" i="56"/>
  <c r="BH98" i="56"/>
  <c r="BG98" i="56"/>
  <c r="BF98" i="56"/>
  <c r="T98" i="56"/>
  <c r="R98" i="56"/>
  <c r="P98" i="56"/>
  <c r="BI97" i="56"/>
  <c r="BH97" i="56"/>
  <c r="BG97" i="56"/>
  <c r="BF97" i="56"/>
  <c r="T97" i="56"/>
  <c r="R97" i="56"/>
  <c r="P97" i="56"/>
  <c r="BI96" i="56"/>
  <c r="BH96" i="56"/>
  <c r="BG96" i="56"/>
  <c r="BF96" i="56"/>
  <c r="T96" i="56"/>
  <c r="R96" i="56"/>
  <c r="P96" i="56"/>
  <c r="BI95" i="56"/>
  <c r="BH95" i="56"/>
  <c r="BG95" i="56"/>
  <c r="BF95" i="56"/>
  <c r="T95" i="56"/>
  <c r="R95" i="56"/>
  <c r="P95" i="56"/>
  <c r="BI94" i="56"/>
  <c r="BH94" i="56"/>
  <c r="BG94" i="56"/>
  <c r="BF94" i="56"/>
  <c r="T94" i="56"/>
  <c r="R94" i="56"/>
  <c r="P94" i="56"/>
  <c r="BI93" i="56"/>
  <c r="BH93" i="56"/>
  <c r="BG93" i="56"/>
  <c r="BF93" i="56"/>
  <c r="T93" i="56"/>
  <c r="R93" i="56"/>
  <c r="P93" i="56"/>
  <c r="BI92" i="56"/>
  <c r="BH92" i="56"/>
  <c r="BG92" i="56"/>
  <c r="BF92" i="56"/>
  <c r="T92" i="56"/>
  <c r="R92" i="56"/>
  <c r="P92" i="56"/>
  <c r="BI91" i="56"/>
  <c r="BH91" i="56"/>
  <c r="BG91" i="56"/>
  <c r="BF91" i="56"/>
  <c r="T91" i="56"/>
  <c r="R91" i="56"/>
  <c r="P91" i="56"/>
  <c r="BI90" i="56"/>
  <c r="BH90" i="56"/>
  <c r="BG90" i="56"/>
  <c r="BF90" i="56"/>
  <c r="T90" i="56"/>
  <c r="R90" i="56"/>
  <c r="P90" i="56"/>
  <c r="BI89" i="56"/>
  <c r="BH89" i="56"/>
  <c r="BG89" i="56"/>
  <c r="BF89" i="56"/>
  <c r="T89" i="56"/>
  <c r="R89" i="56"/>
  <c r="P89" i="56"/>
  <c r="BI88" i="56"/>
  <c r="BH88" i="56"/>
  <c r="BG88" i="56"/>
  <c r="BF88" i="56"/>
  <c r="T88" i="56"/>
  <c r="R88" i="56"/>
  <c r="P88" i="56"/>
  <c r="BI87" i="56"/>
  <c r="BH87" i="56"/>
  <c r="BG87" i="56"/>
  <c r="BF87" i="56"/>
  <c r="T87" i="56"/>
  <c r="R87" i="56"/>
  <c r="P87" i="56"/>
  <c r="BI86" i="56"/>
  <c r="BH86" i="56"/>
  <c r="BG86" i="56"/>
  <c r="BF86" i="56"/>
  <c r="T86" i="56"/>
  <c r="R86" i="56"/>
  <c r="P86" i="56"/>
  <c r="J80" i="56"/>
  <c r="F78" i="56"/>
  <c r="E76" i="56"/>
  <c r="J54" i="56"/>
  <c r="F52" i="56"/>
  <c r="E50" i="56"/>
  <c r="J24" i="56"/>
  <c r="E24" i="56"/>
  <c r="J55" i="56"/>
  <c r="J23" i="56"/>
  <c r="J18" i="56"/>
  <c r="E18" i="56"/>
  <c r="F81" i="56"/>
  <c r="J17" i="56"/>
  <c r="J15" i="56"/>
  <c r="E15" i="56"/>
  <c r="F54" i="56" s="1"/>
  <c r="J14" i="56"/>
  <c r="J12" i="56"/>
  <c r="J78" i="56" s="1"/>
  <c r="E7" i="56"/>
  <c r="E74" i="56" s="1"/>
  <c r="J37" i="55"/>
  <c r="J36" i="55"/>
  <c r="AY111" i="1"/>
  <c r="J35" i="55"/>
  <c r="AX111" i="1"/>
  <c r="BI183" i="55"/>
  <c r="BH183" i="55"/>
  <c r="BG183" i="55"/>
  <c r="BF183" i="55"/>
  <c r="T183" i="55"/>
  <c r="R183" i="55"/>
  <c r="P183" i="55"/>
  <c r="BI182" i="55"/>
  <c r="BH182" i="55"/>
  <c r="BG182" i="55"/>
  <c r="BF182" i="55"/>
  <c r="T182" i="55"/>
  <c r="R182" i="55"/>
  <c r="P182" i="55"/>
  <c r="BI181" i="55"/>
  <c r="BH181" i="55"/>
  <c r="BG181" i="55"/>
  <c r="BF181" i="55"/>
  <c r="T181" i="55"/>
  <c r="R181" i="55"/>
  <c r="P181" i="55"/>
  <c r="BI180" i="55"/>
  <c r="BH180" i="55"/>
  <c r="BG180" i="55"/>
  <c r="BF180" i="55"/>
  <c r="T180" i="55"/>
  <c r="R180" i="55"/>
  <c r="P180" i="55"/>
  <c r="BI179" i="55"/>
  <c r="BH179" i="55"/>
  <c r="BG179" i="55"/>
  <c r="BF179" i="55"/>
  <c r="T179" i="55"/>
  <c r="R179" i="55"/>
  <c r="P179" i="55"/>
  <c r="BI178" i="55"/>
  <c r="BH178" i="55"/>
  <c r="BG178" i="55"/>
  <c r="BF178" i="55"/>
  <c r="T178" i="55"/>
  <c r="R178" i="55"/>
  <c r="P178" i="55"/>
  <c r="BI177" i="55"/>
  <c r="BH177" i="55"/>
  <c r="BG177" i="55"/>
  <c r="BF177" i="55"/>
  <c r="T177" i="55"/>
  <c r="R177" i="55"/>
  <c r="P177" i="55"/>
  <c r="BI176" i="55"/>
  <c r="BH176" i="55"/>
  <c r="BG176" i="55"/>
  <c r="BF176" i="55"/>
  <c r="T176" i="55"/>
  <c r="R176" i="55"/>
  <c r="P176" i="55"/>
  <c r="BI175" i="55"/>
  <c r="BH175" i="55"/>
  <c r="BG175" i="55"/>
  <c r="BF175" i="55"/>
  <c r="T175" i="55"/>
  <c r="R175" i="55"/>
  <c r="P175" i="55"/>
  <c r="BI174" i="55"/>
  <c r="BH174" i="55"/>
  <c r="BG174" i="55"/>
  <c r="BF174" i="55"/>
  <c r="T174" i="55"/>
  <c r="R174" i="55"/>
  <c r="P174" i="55"/>
  <c r="BI173" i="55"/>
  <c r="BH173" i="55"/>
  <c r="BG173" i="55"/>
  <c r="BF173" i="55"/>
  <c r="T173" i="55"/>
  <c r="R173" i="55"/>
  <c r="P173" i="55"/>
  <c r="BI172" i="55"/>
  <c r="BH172" i="55"/>
  <c r="BG172" i="55"/>
  <c r="BF172" i="55"/>
  <c r="T172" i="55"/>
  <c r="R172" i="55"/>
  <c r="P172" i="55"/>
  <c r="BI171" i="55"/>
  <c r="BH171" i="55"/>
  <c r="BG171" i="55"/>
  <c r="BF171" i="55"/>
  <c r="T171" i="55"/>
  <c r="R171" i="55"/>
  <c r="P171" i="55"/>
  <c r="BI170" i="55"/>
  <c r="BH170" i="55"/>
  <c r="BG170" i="55"/>
  <c r="BF170" i="55"/>
  <c r="T170" i="55"/>
  <c r="R170" i="55"/>
  <c r="P170" i="55"/>
  <c r="BI169" i="55"/>
  <c r="BH169" i="55"/>
  <c r="BG169" i="55"/>
  <c r="BF169" i="55"/>
  <c r="T169" i="55"/>
  <c r="R169" i="55"/>
  <c r="P169" i="55"/>
  <c r="BI168" i="55"/>
  <c r="BH168" i="55"/>
  <c r="BG168" i="55"/>
  <c r="BF168" i="55"/>
  <c r="T168" i="55"/>
  <c r="R168" i="55"/>
  <c r="P168" i="55"/>
  <c r="BI167" i="55"/>
  <c r="BH167" i="55"/>
  <c r="BG167" i="55"/>
  <c r="BF167" i="55"/>
  <c r="T167" i="55"/>
  <c r="R167" i="55"/>
  <c r="P167" i="55"/>
  <c r="BI166" i="55"/>
  <c r="BH166" i="55"/>
  <c r="BG166" i="55"/>
  <c r="BF166" i="55"/>
  <c r="T166" i="55"/>
  <c r="R166" i="55"/>
  <c r="P166" i="55"/>
  <c r="BI165" i="55"/>
  <c r="BH165" i="55"/>
  <c r="BG165" i="55"/>
  <c r="BF165" i="55"/>
  <c r="T165" i="55"/>
  <c r="R165" i="55"/>
  <c r="P165" i="55"/>
  <c r="BI164" i="55"/>
  <c r="BH164" i="55"/>
  <c r="BG164" i="55"/>
  <c r="BF164" i="55"/>
  <c r="T164" i="55"/>
  <c r="R164" i="55"/>
  <c r="P164" i="55"/>
  <c r="BI163" i="55"/>
  <c r="BH163" i="55"/>
  <c r="BG163" i="55"/>
  <c r="BF163" i="55"/>
  <c r="T163" i="55"/>
  <c r="R163" i="55"/>
  <c r="P163" i="55"/>
  <c r="BI162" i="55"/>
  <c r="BH162" i="55"/>
  <c r="BG162" i="55"/>
  <c r="BF162" i="55"/>
  <c r="T162" i="55"/>
  <c r="R162" i="55"/>
  <c r="P162" i="55"/>
  <c r="BI161" i="55"/>
  <c r="BH161" i="55"/>
  <c r="BG161" i="55"/>
  <c r="BF161" i="55"/>
  <c r="T161" i="55"/>
  <c r="R161" i="55"/>
  <c r="P161" i="55"/>
  <c r="BI160" i="55"/>
  <c r="BH160" i="55"/>
  <c r="BG160" i="55"/>
  <c r="BF160" i="55"/>
  <c r="T160" i="55"/>
  <c r="R160" i="55"/>
  <c r="P160" i="55"/>
  <c r="BI159" i="55"/>
  <c r="BH159" i="55"/>
  <c r="BG159" i="55"/>
  <c r="BF159" i="55"/>
  <c r="T159" i="55"/>
  <c r="R159" i="55"/>
  <c r="P159" i="55"/>
  <c r="BI158" i="55"/>
  <c r="BH158" i="55"/>
  <c r="BG158" i="55"/>
  <c r="BF158" i="55"/>
  <c r="T158" i="55"/>
  <c r="R158" i="55"/>
  <c r="P158" i="55"/>
  <c r="BI157" i="55"/>
  <c r="BH157" i="55"/>
  <c r="BG157" i="55"/>
  <c r="BF157" i="55"/>
  <c r="T157" i="55"/>
  <c r="R157" i="55"/>
  <c r="P157" i="55"/>
  <c r="BI156" i="55"/>
  <c r="BH156" i="55"/>
  <c r="BG156" i="55"/>
  <c r="BF156" i="55"/>
  <c r="T156" i="55"/>
  <c r="R156" i="55"/>
  <c r="P156" i="55"/>
  <c r="BI155" i="55"/>
  <c r="BH155" i="55"/>
  <c r="BG155" i="55"/>
  <c r="BF155" i="55"/>
  <c r="T155" i="55"/>
  <c r="R155" i="55"/>
  <c r="P155" i="55"/>
  <c r="BI154" i="55"/>
  <c r="BH154" i="55"/>
  <c r="BG154" i="55"/>
  <c r="BF154" i="55"/>
  <c r="T154" i="55"/>
  <c r="R154" i="55"/>
  <c r="P154" i="55"/>
  <c r="BI153" i="55"/>
  <c r="BH153" i="55"/>
  <c r="BG153" i="55"/>
  <c r="BF153" i="55"/>
  <c r="T153" i="55"/>
  <c r="R153" i="55"/>
  <c r="P153" i="55"/>
  <c r="BI152" i="55"/>
  <c r="BH152" i="55"/>
  <c r="BG152" i="55"/>
  <c r="BF152" i="55"/>
  <c r="T152" i="55"/>
  <c r="R152" i="55"/>
  <c r="P152" i="55"/>
  <c r="BI151" i="55"/>
  <c r="BH151" i="55"/>
  <c r="BG151" i="55"/>
  <c r="BF151" i="55"/>
  <c r="T151" i="55"/>
  <c r="R151" i="55"/>
  <c r="P151" i="55"/>
  <c r="BI150" i="55"/>
  <c r="BH150" i="55"/>
  <c r="BG150" i="55"/>
  <c r="BF150" i="55"/>
  <c r="T150" i="55"/>
  <c r="R150" i="55"/>
  <c r="P150" i="55"/>
  <c r="BI149" i="55"/>
  <c r="BH149" i="55"/>
  <c r="BG149" i="55"/>
  <c r="BF149" i="55"/>
  <c r="T149" i="55"/>
  <c r="R149" i="55"/>
  <c r="P149" i="55"/>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4" i="55"/>
  <c r="BH134" i="55"/>
  <c r="BG134" i="55"/>
  <c r="BF134" i="55"/>
  <c r="T134" i="55"/>
  <c r="T133" i="55" s="1"/>
  <c r="R134" i="55"/>
  <c r="R133" i="55"/>
  <c r="P134"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BI120" i="55"/>
  <c r="BH120" i="55"/>
  <c r="BG120" i="55"/>
  <c r="BF120" i="55"/>
  <c r="T120" i="55"/>
  <c r="R120" i="55"/>
  <c r="P120" i="55"/>
  <c r="BI119" i="55"/>
  <c r="BH119" i="55"/>
  <c r="BG119" i="55"/>
  <c r="BF119" i="55"/>
  <c r="T119" i="55"/>
  <c r="R119" i="55"/>
  <c r="P119" i="55"/>
  <c r="BI118" i="55"/>
  <c r="BH118" i="55"/>
  <c r="BG118" i="55"/>
  <c r="BF118" i="55"/>
  <c r="T118" i="55"/>
  <c r="R118" i="55"/>
  <c r="P118" i="55"/>
  <c r="BI117" i="55"/>
  <c r="BH117" i="55"/>
  <c r="BG117" i="55"/>
  <c r="BF117" i="55"/>
  <c r="T117" i="55"/>
  <c r="R117" i="55"/>
  <c r="P117" i="55"/>
  <c r="BI116" i="55"/>
  <c r="BH116" i="55"/>
  <c r="BG116" i="55"/>
  <c r="BF116" i="55"/>
  <c r="T116" i="55"/>
  <c r="R116" i="55"/>
  <c r="P116" i="55"/>
  <c r="BI115" i="55"/>
  <c r="BH115" i="55"/>
  <c r="BG115" i="55"/>
  <c r="BF115" i="55"/>
  <c r="T115" i="55"/>
  <c r="R115" i="55"/>
  <c r="P115" i="55"/>
  <c r="BI114" i="55"/>
  <c r="BH114" i="55"/>
  <c r="BG114" i="55"/>
  <c r="BF114" i="55"/>
  <c r="T114" i="55"/>
  <c r="R114" i="55"/>
  <c r="P114" i="55"/>
  <c r="BI113" i="55"/>
  <c r="BH113" i="55"/>
  <c r="BG113" i="55"/>
  <c r="BF113" i="55"/>
  <c r="T113" i="55"/>
  <c r="R113" i="55"/>
  <c r="P113" i="55"/>
  <c r="BI112" i="55"/>
  <c r="BH112" i="55"/>
  <c r="BG112" i="55"/>
  <c r="BF112" i="55"/>
  <c r="T112" i="55"/>
  <c r="R112" i="55"/>
  <c r="P112" i="55"/>
  <c r="BI111" i="55"/>
  <c r="BH111" i="55"/>
  <c r="BG111" i="55"/>
  <c r="BF111" i="55"/>
  <c r="T111" i="55"/>
  <c r="R111" i="55"/>
  <c r="P111" i="55"/>
  <c r="BI110" i="55"/>
  <c r="BH110" i="55"/>
  <c r="BG110" i="55"/>
  <c r="BF110" i="55"/>
  <c r="T110" i="55"/>
  <c r="R110" i="55"/>
  <c r="P110" i="55"/>
  <c r="BI109" i="55"/>
  <c r="BH109" i="55"/>
  <c r="BG109" i="55"/>
  <c r="BF109" i="55"/>
  <c r="T109" i="55"/>
  <c r="R109" i="55"/>
  <c r="P109" i="55"/>
  <c r="BI108" i="55"/>
  <c r="BH108" i="55"/>
  <c r="BG108" i="55"/>
  <c r="BF108" i="55"/>
  <c r="T108" i="55"/>
  <c r="R108" i="55"/>
  <c r="P108" i="55"/>
  <c r="BI107" i="55"/>
  <c r="BH107" i="55"/>
  <c r="BG107" i="55"/>
  <c r="BF107" i="55"/>
  <c r="T107" i="55"/>
  <c r="R107" i="55"/>
  <c r="P107" i="55"/>
  <c r="BI106" i="55"/>
  <c r="BH106" i="55"/>
  <c r="BG106" i="55"/>
  <c r="BF106" i="55"/>
  <c r="T106" i="55"/>
  <c r="R106" i="55"/>
  <c r="P106" i="55"/>
  <c r="BI105" i="55"/>
  <c r="BH105" i="55"/>
  <c r="BG105" i="55"/>
  <c r="BF105" i="55"/>
  <c r="T105" i="55"/>
  <c r="R105" i="55"/>
  <c r="P105" i="55"/>
  <c r="BI104" i="55"/>
  <c r="BH104" i="55"/>
  <c r="BG104" i="55"/>
  <c r="BF104" i="55"/>
  <c r="T104" i="55"/>
  <c r="R104" i="55"/>
  <c r="P104" i="55"/>
  <c r="BI103" i="55"/>
  <c r="BH103" i="55"/>
  <c r="BG103" i="55"/>
  <c r="BF103" i="55"/>
  <c r="T103" i="55"/>
  <c r="R103" i="55"/>
  <c r="P103" i="55"/>
  <c r="BI102" i="55"/>
  <c r="BH102" i="55"/>
  <c r="BG102" i="55"/>
  <c r="BF102" i="55"/>
  <c r="T102" i="55"/>
  <c r="R102" i="55"/>
  <c r="P102" i="55"/>
  <c r="BI101" i="55"/>
  <c r="BH101" i="55"/>
  <c r="BG101" i="55"/>
  <c r="BF101" i="55"/>
  <c r="T101" i="55"/>
  <c r="R101" i="55"/>
  <c r="P101" i="55"/>
  <c r="BI99" i="55"/>
  <c r="BH99" i="55"/>
  <c r="BG99" i="55"/>
  <c r="BF99" i="55"/>
  <c r="T99" i="55"/>
  <c r="R99" i="55"/>
  <c r="P99" i="55"/>
  <c r="BI98" i="55"/>
  <c r="BH98" i="55"/>
  <c r="BG98" i="55"/>
  <c r="BF98" i="55"/>
  <c r="T98" i="55"/>
  <c r="R98" i="55"/>
  <c r="P98" i="55"/>
  <c r="BI97" i="55"/>
  <c r="BH97" i="55"/>
  <c r="BG97" i="55"/>
  <c r="BF97" i="55"/>
  <c r="T97" i="55"/>
  <c r="R97" i="55"/>
  <c r="P97" i="55"/>
  <c r="BI96" i="55"/>
  <c r="BH96" i="55"/>
  <c r="BG96" i="55"/>
  <c r="BF96" i="55"/>
  <c r="T96" i="55"/>
  <c r="R96" i="55"/>
  <c r="P96" i="55"/>
  <c r="BI95" i="55"/>
  <c r="BH95" i="55"/>
  <c r="BG95" i="55"/>
  <c r="BF95" i="55"/>
  <c r="T95" i="55"/>
  <c r="R95" i="55"/>
  <c r="P95" i="55"/>
  <c r="BI94" i="55"/>
  <c r="BH94" i="55"/>
  <c r="BG94" i="55"/>
  <c r="BF94" i="55"/>
  <c r="T94" i="55"/>
  <c r="R94" i="55"/>
  <c r="P94" i="55"/>
  <c r="BI93" i="55"/>
  <c r="BH93" i="55"/>
  <c r="BG93" i="55"/>
  <c r="BF93" i="55"/>
  <c r="T93" i="55"/>
  <c r="R93" i="55"/>
  <c r="P93" i="55"/>
  <c r="BI92" i="55"/>
  <c r="BH92" i="55"/>
  <c r="BG92" i="55"/>
  <c r="BF92" i="55"/>
  <c r="T92" i="55"/>
  <c r="R92" i="55"/>
  <c r="P92" i="55"/>
  <c r="BI91" i="55"/>
  <c r="BH91" i="55"/>
  <c r="BG91" i="55"/>
  <c r="BF91" i="55"/>
  <c r="T91" i="55"/>
  <c r="R91" i="55"/>
  <c r="P91" i="55"/>
  <c r="BI90" i="55"/>
  <c r="BH90" i="55"/>
  <c r="BG90" i="55"/>
  <c r="BF90" i="55"/>
  <c r="T90" i="55"/>
  <c r="R90" i="55"/>
  <c r="P90" i="55"/>
  <c r="BI89" i="55"/>
  <c r="BH89" i="55"/>
  <c r="BG89" i="55"/>
  <c r="BF89" i="55"/>
  <c r="T89" i="55"/>
  <c r="R89" i="55"/>
  <c r="P89" i="55"/>
  <c r="BI88" i="55"/>
  <c r="BH88" i="55"/>
  <c r="BG88" i="55"/>
  <c r="BF88" i="55"/>
  <c r="T88" i="55"/>
  <c r="R88" i="55"/>
  <c r="P88" i="55"/>
  <c r="BI87" i="55"/>
  <c r="BH87" i="55"/>
  <c r="BG87" i="55"/>
  <c r="BF87" i="55"/>
  <c r="T87" i="55"/>
  <c r="R87" i="55"/>
  <c r="P87" i="55"/>
  <c r="BI86" i="55"/>
  <c r="BH86" i="55"/>
  <c r="BG86" i="55"/>
  <c r="BF86" i="55"/>
  <c r="T86" i="55"/>
  <c r="R86" i="55"/>
  <c r="P86" i="55"/>
  <c r="F78" i="55"/>
  <c r="E76" i="55"/>
  <c r="F52" i="55"/>
  <c r="E50" i="55"/>
  <c r="J24" i="55"/>
  <c r="E24" i="55"/>
  <c r="J55" i="55" s="1"/>
  <c r="J23" i="55"/>
  <c r="J21" i="55"/>
  <c r="E21" i="55"/>
  <c r="J54" i="55"/>
  <c r="J20" i="55"/>
  <c r="J18" i="55"/>
  <c r="E18" i="55"/>
  <c r="F81" i="55" s="1"/>
  <c r="J17" i="55"/>
  <c r="J15" i="55"/>
  <c r="E15" i="55"/>
  <c r="F80" i="55"/>
  <c r="J14" i="55"/>
  <c r="J12" i="55"/>
  <c r="J78" i="55" s="1"/>
  <c r="E7" i="55"/>
  <c r="E48" i="55"/>
  <c r="J37" i="54"/>
  <c r="J36" i="54"/>
  <c r="AY110" i="1"/>
  <c r="J35" i="54"/>
  <c r="AX110" i="1"/>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39" i="54"/>
  <c r="BH139" i="54"/>
  <c r="BG139" i="54"/>
  <c r="BF139" i="54"/>
  <c r="T139" i="54"/>
  <c r="R139" i="54"/>
  <c r="P139" i="54"/>
  <c r="BI134" i="54"/>
  <c r="BH134" i="54"/>
  <c r="BG134" i="54"/>
  <c r="BF134" i="54"/>
  <c r="T134" i="54"/>
  <c r="R134" i="54"/>
  <c r="P134" i="54"/>
  <c r="BI130" i="54"/>
  <c r="BH130" i="54"/>
  <c r="BG130" i="54"/>
  <c r="BF130" i="54"/>
  <c r="T130" i="54"/>
  <c r="R130" i="54"/>
  <c r="P130" i="54"/>
  <c r="BI126" i="54"/>
  <c r="BH126" i="54"/>
  <c r="BG126" i="54"/>
  <c r="BF126" i="54"/>
  <c r="T126" i="54"/>
  <c r="R126" i="54"/>
  <c r="P126" i="54"/>
  <c r="BI122" i="54"/>
  <c r="BH122" i="54"/>
  <c r="BG122" i="54"/>
  <c r="BF122" i="54"/>
  <c r="T122" i="54"/>
  <c r="R122" i="54"/>
  <c r="P122" i="54"/>
  <c r="BI118" i="54"/>
  <c r="BH118" i="54"/>
  <c r="BG118" i="54"/>
  <c r="BF118" i="54"/>
  <c r="T118" i="54"/>
  <c r="R118" i="54"/>
  <c r="P118" i="54"/>
  <c r="BI114" i="54"/>
  <c r="BH114" i="54"/>
  <c r="BG114" i="54"/>
  <c r="BF114" i="54"/>
  <c r="T114" i="54"/>
  <c r="R114" i="54"/>
  <c r="P114" i="54"/>
  <c r="BI111" i="54"/>
  <c r="BH111" i="54"/>
  <c r="BG111" i="54"/>
  <c r="BF111" i="54"/>
  <c r="T111" i="54"/>
  <c r="R111" i="54"/>
  <c r="P111" i="54"/>
  <c r="BI108" i="54"/>
  <c r="BH108" i="54"/>
  <c r="BG108" i="54"/>
  <c r="BF108" i="54"/>
  <c r="T108" i="54"/>
  <c r="R108" i="54"/>
  <c r="P108" i="54"/>
  <c r="BI105" i="54"/>
  <c r="BH105" i="54"/>
  <c r="BG105" i="54"/>
  <c r="BF105" i="54"/>
  <c r="T105" i="54"/>
  <c r="R105" i="54"/>
  <c r="P105" i="54"/>
  <c r="BI102" i="54"/>
  <c r="BH102" i="54"/>
  <c r="BG102" i="54"/>
  <c r="BF102" i="54"/>
  <c r="T102" i="54"/>
  <c r="R102" i="54"/>
  <c r="P102" i="54"/>
  <c r="BI99" i="54"/>
  <c r="BH99" i="54"/>
  <c r="BG99" i="54"/>
  <c r="BF99" i="54"/>
  <c r="T99" i="54"/>
  <c r="R99" i="54"/>
  <c r="P99" i="54"/>
  <c r="BI98" i="54"/>
  <c r="BH98" i="54"/>
  <c r="BG98" i="54"/>
  <c r="BF98" i="54"/>
  <c r="T98" i="54"/>
  <c r="R98" i="54"/>
  <c r="P98"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F77" i="54"/>
  <c r="E75" i="54"/>
  <c r="F52" i="54"/>
  <c r="E50" i="54"/>
  <c r="J24" i="54"/>
  <c r="E24" i="54"/>
  <c r="J55" i="54" s="1"/>
  <c r="J23" i="54"/>
  <c r="J21" i="54"/>
  <c r="E21" i="54"/>
  <c r="J79" i="54" s="1"/>
  <c r="J20" i="54"/>
  <c r="J18" i="54"/>
  <c r="E18" i="54"/>
  <c r="F80" i="54" s="1"/>
  <c r="J17" i="54"/>
  <c r="J15" i="54"/>
  <c r="E15" i="54"/>
  <c r="F79" i="54" s="1"/>
  <c r="J14" i="54"/>
  <c r="J12" i="54"/>
  <c r="J52" i="54"/>
  <c r="E7" i="54"/>
  <c r="E48" i="54"/>
  <c r="J37" i="53"/>
  <c r="J36" i="53"/>
  <c r="AY109" i="1" s="1"/>
  <c r="J35" i="53"/>
  <c r="AX109" i="1" s="1"/>
  <c r="BI297" i="53"/>
  <c r="BH297" i="53"/>
  <c r="BG297" i="53"/>
  <c r="BF297" i="53"/>
  <c r="T297" i="53"/>
  <c r="R297" i="53"/>
  <c r="P297" i="53"/>
  <c r="BI296" i="53"/>
  <c r="BH296" i="53"/>
  <c r="BG296" i="53"/>
  <c r="BF296" i="53"/>
  <c r="T296" i="53"/>
  <c r="R296" i="53"/>
  <c r="P296" i="53"/>
  <c r="BI293" i="53"/>
  <c r="BH293" i="53"/>
  <c r="BG293" i="53"/>
  <c r="BF293" i="53"/>
  <c r="T293" i="53"/>
  <c r="R293" i="53"/>
  <c r="P293" i="53"/>
  <c r="BI288" i="53"/>
  <c r="BH288" i="53"/>
  <c r="BG288" i="53"/>
  <c r="BF288" i="53"/>
  <c r="T288" i="53"/>
  <c r="R288" i="53"/>
  <c r="P288" i="53"/>
  <c r="BI282" i="53"/>
  <c r="BH282" i="53"/>
  <c r="BG282" i="53"/>
  <c r="BF282" i="53"/>
  <c r="T282" i="53"/>
  <c r="R282" i="53"/>
  <c r="P282" i="53"/>
  <c r="BI276" i="53"/>
  <c r="BH276" i="53"/>
  <c r="BG276" i="53"/>
  <c r="BF276" i="53"/>
  <c r="T276" i="53"/>
  <c r="R276" i="53"/>
  <c r="P276" i="53"/>
  <c r="BI270" i="53"/>
  <c r="BH270" i="53"/>
  <c r="BG270" i="53"/>
  <c r="BF270" i="53"/>
  <c r="T270" i="53"/>
  <c r="R270" i="53"/>
  <c r="P270" i="53"/>
  <c r="BI266" i="53"/>
  <c r="BH266" i="53"/>
  <c r="BG266" i="53"/>
  <c r="BF266" i="53"/>
  <c r="T266" i="53"/>
  <c r="R266" i="53"/>
  <c r="P266" i="53"/>
  <c r="BI263" i="53"/>
  <c r="BH263" i="53"/>
  <c r="BG263" i="53"/>
  <c r="BF263" i="53"/>
  <c r="T263" i="53"/>
  <c r="R263" i="53"/>
  <c r="P263" i="53"/>
  <c r="BI259" i="53"/>
  <c r="BH259" i="53"/>
  <c r="BG259" i="53"/>
  <c r="BF259" i="53"/>
  <c r="T259" i="53"/>
  <c r="R259" i="53"/>
  <c r="P259" i="53"/>
  <c r="BI255" i="53"/>
  <c r="BH255" i="53"/>
  <c r="BG255" i="53"/>
  <c r="BF255" i="53"/>
  <c r="T255" i="53"/>
  <c r="R255" i="53"/>
  <c r="P255" i="53"/>
  <c r="BI252" i="53"/>
  <c r="BH252" i="53"/>
  <c r="BG252" i="53"/>
  <c r="BF252" i="53"/>
  <c r="T252" i="53"/>
  <c r="R252" i="53"/>
  <c r="P252" i="53"/>
  <c r="BI249" i="53"/>
  <c r="BH249" i="53"/>
  <c r="BG249" i="53"/>
  <c r="BF249" i="53"/>
  <c r="T249" i="53"/>
  <c r="R249" i="53"/>
  <c r="P249"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0" i="53"/>
  <c r="BH230" i="53"/>
  <c r="BG230" i="53"/>
  <c r="BF230" i="53"/>
  <c r="T230" i="53"/>
  <c r="R230" i="53"/>
  <c r="P230" i="53"/>
  <c r="BI227" i="53"/>
  <c r="BH227" i="53"/>
  <c r="BG227" i="53"/>
  <c r="BF227" i="53"/>
  <c r="T227" i="53"/>
  <c r="R227" i="53"/>
  <c r="P227" i="53"/>
  <c r="BI218" i="53"/>
  <c r="BH218" i="53"/>
  <c r="BG218" i="53"/>
  <c r="BF218" i="53"/>
  <c r="T218" i="53"/>
  <c r="R218" i="53"/>
  <c r="P218" i="53"/>
  <c r="BI202" i="53"/>
  <c r="BH202" i="53"/>
  <c r="BG202" i="53"/>
  <c r="BF202" i="53"/>
  <c r="T202" i="53"/>
  <c r="R202" i="53"/>
  <c r="P202" i="53"/>
  <c r="BI196" i="53"/>
  <c r="BH196" i="53"/>
  <c r="BG196" i="53"/>
  <c r="BF196" i="53"/>
  <c r="T196" i="53"/>
  <c r="R196" i="53"/>
  <c r="P196" i="53"/>
  <c r="BI191" i="53"/>
  <c r="BH191" i="53"/>
  <c r="BG191" i="53"/>
  <c r="BF191" i="53"/>
  <c r="T191" i="53"/>
  <c r="T190" i="53"/>
  <c r="R191" i="53"/>
  <c r="R190" i="53"/>
  <c r="P191" i="53"/>
  <c r="P190" i="53" s="1"/>
  <c r="BI176" i="53"/>
  <c r="BH176" i="53"/>
  <c r="BG176" i="53"/>
  <c r="BF176" i="53"/>
  <c r="T176" i="53"/>
  <c r="R176" i="53"/>
  <c r="P176" i="53"/>
  <c r="BI162" i="53"/>
  <c r="BH162" i="53"/>
  <c r="BG162" i="53"/>
  <c r="BF162" i="53"/>
  <c r="T162" i="53"/>
  <c r="R162" i="53"/>
  <c r="P162" i="53"/>
  <c r="BI159" i="53"/>
  <c r="BH159" i="53"/>
  <c r="BG159" i="53"/>
  <c r="BF159" i="53"/>
  <c r="T159" i="53"/>
  <c r="R159" i="53"/>
  <c r="P159" i="53"/>
  <c r="BI141" i="53"/>
  <c r="BH141" i="53"/>
  <c r="BG141" i="53"/>
  <c r="BF141" i="53"/>
  <c r="T141" i="53"/>
  <c r="R141" i="53"/>
  <c r="P141" i="53"/>
  <c r="BI123" i="53"/>
  <c r="BH123" i="53"/>
  <c r="BG123" i="53"/>
  <c r="BF123" i="53"/>
  <c r="T123" i="53"/>
  <c r="R123" i="53"/>
  <c r="P123" i="53"/>
  <c r="BI105" i="53"/>
  <c r="BH105" i="53"/>
  <c r="BG105" i="53"/>
  <c r="BF105" i="53"/>
  <c r="T105" i="53"/>
  <c r="R105" i="53"/>
  <c r="P105" i="53"/>
  <c r="BI87" i="53"/>
  <c r="BH87" i="53"/>
  <c r="BG87" i="53"/>
  <c r="BF87" i="53"/>
  <c r="T87" i="53"/>
  <c r="R87" i="53"/>
  <c r="P87" i="53"/>
  <c r="F78" i="53"/>
  <c r="E76" i="53"/>
  <c r="F52" i="53"/>
  <c r="E50" i="53"/>
  <c r="J24" i="53"/>
  <c r="E24" i="53"/>
  <c r="J81" i="53" s="1"/>
  <c r="J23" i="53"/>
  <c r="J21" i="53"/>
  <c r="E21" i="53"/>
  <c r="J80" i="53" s="1"/>
  <c r="J20" i="53"/>
  <c r="J18" i="53"/>
  <c r="E18" i="53"/>
  <c r="F55" i="53" s="1"/>
  <c r="J17" i="53"/>
  <c r="J15" i="53"/>
  <c r="E15" i="53"/>
  <c r="F80" i="53" s="1"/>
  <c r="J14" i="53"/>
  <c r="J12" i="53"/>
  <c r="J52" i="53"/>
  <c r="E7" i="53"/>
  <c r="E48" i="53"/>
  <c r="J37" i="52"/>
  <c r="J36" i="52"/>
  <c r="AY108" i="1" s="1"/>
  <c r="J35" i="52"/>
  <c r="AX108" i="1"/>
  <c r="BI232" i="52"/>
  <c r="BH232" i="52"/>
  <c r="BG232" i="52"/>
  <c r="BF232" i="52"/>
  <c r="T232" i="52"/>
  <c r="T231" i="52" s="1"/>
  <c r="R232" i="52"/>
  <c r="R231" i="52"/>
  <c r="P232" i="52"/>
  <c r="P231" i="52" s="1"/>
  <c r="BI228" i="52"/>
  <c r="BH228" i="52"/>
  <c r="BG228" i="52"/>
  <c r="BF228" i="52"/>
  <c r="T228" i="52"/>
  <c r="R228" i="52"/>
  <c r="P228" i="52"/>
  <c r="BI226" i="52"/>
  <c r="BH226" i="52"/>
  <c r="BG226" i="52"/>
  <c r="BF226" i="52"/>
  <c r="T226" i="52"/>
  <c r="R226" i="52"/>
  <c r="P226" i="52"/>
  <c r="BI223" i="52"/>
  <c r="BH223" i="52"/>
  <c r="BG223" i="52"/>
  <c r="BF223" i="52"/>
  <c r="T223" i="52"/>
  <c r="R223" i="52"/>
  <c r="P223" i="52"/>
  <c r="BI221" i="52"/>
  <c r="BH221" i="52"/>
  <c r="BG221" i="52"/>
  <c r="BF221" i="52"/>
  <c r="T221" i="52"/>
  <c r="R221" i="52"/>
  <c r="P221" i="52"/>
  <c r="BI218" i="52"/>
  <c r="BH218" i="52"/>
  <c r="BG218" i="52"/>
  <c r="BF218" i="52"/>
  <c r="T218" i="52"/>
  <c r="R218" i="52"/>
  <c r="P218" i="52"/>
  <c r="BI215" i="52"/>
  <c r="BH215" i="52"/>
  <c r="BG215" i="52"/>
  <c r="BF215" i="52"/>
  <c r="T215" i="52"/>
  <c r="R215" i="52"/>
  <c r="P215" i="52"/>
  <c r="BI212" i="52"/>
  <c r="BH212" i="52"/>
  <c r="BG212" i="52"/>
  <c r="BF212" i="52"/>
  <c r="T212" i="52"/>
  <c r="R212" i="52"/>
  <c r="P212" i="52"/>
  <c r="BI209" i="52"/>
  <c r="BH209" i="52"/>
  <c r="BG209" i="52"/>
  <c r="BF209" i="52"/>
  <c r="T209" i="52"/>
  <c r="R209" i="52"/>
  <c r="P209" i="52"/>
  <c r="BI207" i="52"/>
  <c r="BH207" i="52"/>
  <c r="BG207" i="52"/>
  <c r="BF207" i="52"/>
  <c r="T207" i="52"/>
  <c r="R207" i="52"/>
  <c r="P207" i="52"/>
  <c r="BI205" i="52"/>
  <c r="BH205" i="52"/>
  <c r="BG205" i="52"/>
  <c r="BF205" i="52"/>
  <c r="T205" i="52"/>
  <c r="R205" i="52"/>
  <c r="P205" i="52"/>
  <c r="BI203" i="52"/>
  <c r="BH203" i="52"/>
  <c r="BG203" i="52"/>
  <c r="BF203" i="52"/>
  <c r="T203" i="52"/>
  <c r="R203" i="52"/>
  <c r="P203" i="52"/>
  <c r="BI201" i="52"/>
  <c r="BH201" i="52"/>
  <c r="BG201" i="52"/>
  <c r="BF201" i="52"/>
  <c r="T201" i="52"/>
  <c r="R201" i="52"/>
  <c r="P201" i="52"/>
  <c r="BI199" i="52"/>
  <c r="BH199" i="52"/>
  <c r="BG199" i="52"/>
  <c r="BF199" i="52"/>
  <c r="T199" i="52"/>
  <c r="R199" i="52"/>
  <c r="P199" i="52"/>
  <c r="BI195" i="52"/>
  <c r="BH195" i="52"/>
  <c r="BG195" i="52"/>
  <c r="BF195" i="52"/>
  <c r="T195" i="52"/>
  <c r="R195" i="52"/>
  <c r="P195" i="52"/>
  <c r="BI193" i="52"/>
  <c r="BH193" i="52"/>
  <c r="BG193" i="52"/>
  <c r="BF193" i="52"/>
  <c r="T193" i="52"/>
  <c r="R193" i="52"/>
  <c r="P193" i="52"/>
  <c r="BI191" i="52"/>
  <c r="BH191" i="52"/>
  <c r="BG191" i="52"/>
  <c r="BF191" i="52"/>
  <c r="T191" i="52"/>
  <c r="R191" i="52"/>
  <c r="P191" i="52"/>
  <c r="BI188" i="52"/>
  <c r="BH188" i="52"/>
  <c r="BG188" i="52"/>
  <c r="BF188" i="52"/>
  <c r="T188" i="52"/>
  <c r="R188" i="52"/>
  <c r="P188" i="52"/>
  <c r="BI185" i="52"/>
  <c r="BH185" i="52"/>
  <c r="BG185" i="52"/>
  <c r="BF185" i="52"/>
  <c r="T185" i="52"/>
  <c r="R185" i="52"/>
  <c r="P185" i="52"/>
  <c r="BI182" i="52"/>
  <c r="BH182" i="52"/>
  <c r="BG182" i="52"/>
  <c r="BF182" i="52"/>
  <c r="T182" i="52"/>
  <c r="R182" i="52"/>
  <c r="P182" i="52"/>
  <c r="BI179" i="52"/>
  <c r="BH179" i="52"/>
  <c r="BG179" i="52"/>
  <c r="BF179" i="52"/>
  <c r="T179" i="52"/>
  <c r="R179" i="52"/>
  <c r="P179" i="52"/>
  <c r="BI177" i="52"/>
  <c r="BH177" i="52"/>
  <c r="BG177" i="52"/>
  <c r="BF177" i="52"/>
  <c r="T177" i="52"/>
  <c r="R177" i="52"/>
  <c r="P177" i="52"/>
  <c r="BI174" i="52"/>
  <c r="BH174" i="52"/>
  <c r="BG174" i="52"/>
  <c r="BF174" i="52"/>
  <c r="T174" i="52"/>
  <c r="R174" i="52"/>
  <c r="P174" i="52"/>
  <c r="BI171" i="52"/>
  <c r="BH171" i="52"/>
  <c r="BG171" i="52"/>
  <c r="BF171" i="52"/>
  <c r="T171" i="52"/>
  <c r="R171" i="52"/>
  <c r="P171" i="52"/>
  <c r="BI169" i="52"/>
  <c r="BH169" i="52"/>
  <c r="BG169" i="52"/>
  <c r="BF169" i="52"/>
  <c r="T169" i="52"/>
  <c r="R169" i="52"/>
  <c r="P169" i="52"/>
  <c r="BI167" i="52"/>
  <c r="BH167" i="52"/>
  <c r="BG167" i="52"/>
  <c r="BF167" i="52"/>
  <c r="T167" i="52"/>
  <c r="R167" i="52"/>
  <c r="P167" i="52"/>
  <c r="BI165" i="52"/>
  <c r="BH165" i="52"/>
  <c r="BG165" i="52"/>
  <c r="BF165" i="52"/>
  <c r="T165" i="52"/>
  <c r="R165" i="52"/>
  <c r="P165" i="52"/>
  <c r="BI163" i="52"/>
  <c r="BH163" i="52"/>
  <c r="BG163" i="52"/>
  <c r="BF163" i="52"/>
  <c r="T163" i="52"/>
  <c r="R163" i="52"/>
  <c r="P163" i="52"/>
  <c r="BI161" i="52"/>
  <c r="BH161" i="52"/>
  <c r="BG161" i="52"/>
  <c r="BF161" i="52"/>
  <c r="T161" i="52"/>
  <c r="R161" i="52"/>
  <c r="P161" i="52"/>
  <c r="BI159" i="52"/>
  <c r="BH159" i="52"/>
  <c r="BG159" i="52"/>
  <c r="BF159" i="52"/>
  <c r="T159" i="52"/>
  <c r="R159" i="52"/>
  <c r="P159" i="52"/>
  <c r="BI157" i="52"/>
  <c r="BH157" i="52"/>
  <c r="BG157" i="52"/>
  <c r="BF157" i="52"/>
  <c r="T157" i="52"/>
  <c r="R157" i="52"/>
  <c r="P157" i="52"/>
  <c r="BI154" i="52"/>
  <c r="BH154" i="52"/>
  <c r="BG154" i="52"/>
  <c r="BF154" i="52"/>
  <c r="T154" i="52"/>
  <c r="T153" i="52" s="1"/>
  <c r="R154" i="52"/>
  <c r="R153" i="52" s="1"/>
  <c r="P154" i="52"/>
  <c r="P153" i="52"/>
  <c r="BI150" i="52"/>
  <c r="BH150" i="52"/>
  <c r="BG150" i="52"/>
  <c r="BF150" i="52"/>
  <c r="T150" i="52"/>
  <c r="R150" i="52"/>
  <c r="P150" i="52"/>
  <c r="BI147" i="52"/>
  <c r="BH147" i="52"/>
  <c r="BG147" i="52"/>
  <c r="BF147" i="52"/>
  <c r="T147" i="52"/>
  <c r="R147" i="52"/>
  <c r="P147" i="52"/>
  <c r="BI145" i="52"/>
  <c r="BH145" i="52"/>
  <c r="BG145" i="52"/>
  <c r="BF145" i="52"/>
  <c r="T145" i="52"/>
  <c r="R145" i="52"/>
  <c r="P145" i="52"/>
  <c r="BI142" i="52"/>
  <c r="BH142" i="52"/>
  <c r="BG142" i="52"/>
  <c r="BF142" i="52"/>
  <c r="T142" i="52"/>
  <c r="R142" i="52"/>
  <c r="P142" i="52"/>
  <c r="BI139" i="52"/>
  <c r="BH139" i="52"/>
  <c r="BG139" i="52"/>
  <c r="BF139" i="52"/>
  <c r="T139" i="52"/>
  <c r="R139" i="52"/>
  <c r="P139" i="52"/>
  <c r="BI136" i="52"/>
  <c r="BH136" i="52"/>
  <c r="BG136" i="52"/>
  <c r="BF136" i="52"/>
  <c r="T136" i="52"/>
  <c r="R136" i="52"/>
  <c r="P136" i="52"/>
  <c r="BI133" i="52"/>
  <c r="BH133" i="52"/>
  <c r="BG133" i="52"/>
  <c r="BF133" i="52"/>
  <c r="T133" i="52"/>
  <c r="R133" i="52"/>
  <c r="P133" i="52"/>
  <c r="BI130" i="52"/>
  <c r="BH130" i="52"/>
  <c r="BG130" i="52"/>
  <c r="BF130" i="52"/>
  <c r="T130" i="52"/>
  <c r="R130" i="52"/>
  <c r="P130" i="52"/>
  <c r="BI128" i="52"/>
  <c r="BH128" i="52"/>
  <c r="BG128" i="52"/>
  <c r="BF128" i="52"/>
  <c r="T128" i="52"/>
  <c r="R128" i="52"/>
  <c r="P128" i="52"/>
  <c r="BI126" i="52"/>
  <c r="BH126" i="52"/>
  <c r="BG126" i="52"/>
  <c r="BF126" i="52"/>
  <c r="T126" i="52"/>
  <c r="R126" i="52"/>
  <c r="P126" i="52"/>
  <c r="BI119" i="52"/>
  <c r="BH119" i="52"/>
  <c r="BG119" i="52"/>
  <c r="BF119" i="52"/>
  <c r="T119" i="52"/>
  <c r="R119" i="52"/>
  <c r="P119" i="52"/>
  <c r="BI116" i="52"/>
  <c r="BH116" i="52"/>
  <c r="BG116" i="52"/>
  <c r="BF116" i="52"/>
  <c r="T116" i="52"/>
  <c r="R116" i="52"/>
  <c r="P116" i="52"/>
  <c r="BI113" i="52"/>
  <c r="BH113" i="52"/>
  <c r="BG113" i="52"/>
  <c r="BF113" i="52"/>
  <c r="T113" i="52"/>
  <c r="R113" i="52"/>
  <c r="P113" i="52"/>
  <c r="BI110" i="52"/>
  <c r="BH110" i="52"/>
  <c r="BG110" i="52"/>
  <c r="BF110" i="52"/>
  <c r="T110" i="52"/>
  <c r="R110" i="52"/>
  <c r="P110" i="52"/>
  <c r="BI108" i="52"/>
  <c r="BH108" i="52"/>
  <c r="BG108" i="52"/>
  <c r="BF108" i="52"/>
  <c r="T108" i="52"/>
  <c r="R108" i="52"/>
  <c r="P108" i="52"/>
  <c r="BI106" i="52"/>
  <c r="BH106" i="52"/>
  <c r="BG106" i="52"/>
  <c r="BF106" i="52"/>
  <c r="T106" i="52"/>
  <c r="R106" i="52"/>
  <c r="P106" i="52"/>
  <c r="BI103" i="52"/>
  <c r="BH103" i="52"/>
  <c r="BG103" i="52"/>
  <c r="BF103" i="52"/>
  <c r="T103" i="52"/>
  <c r="R103" i="52"/>
  <c r="P103" i="52"/>
  <c r="BI101" i="52"/>
  <c r="BH101" i="52"/>
  <c r="BG101" i="52"/>
  <c r="BF101" i="52"/>
  <c r="T101" i="52"/>
  <c r="R101" i="52"/>
  <c r="P101" i="52"/>
  <c r="BI98" i="52"/>
  <c r="BH98" i="52"/>
  <c r="BG98" i="52"/>
  <c r="BF98" i="52"/>
  <c r="T98" i="52"/>
  <c r="R98" i="52"/>
  <c r="P98" i="52"/>
  <c r="BI96" i="52"/>
  <c r="BH96" i="52"/>
  <c r="BG96" i="52"/>
  <c r="BF96" i="52"/>
  <c r="T96" i="52"/>
  <c r="R96" i="52"/>
  <c r="P96" i="52"/>
  <c r="BI93" i="52"/>
  <c r="BH93" i="52"/>
  <c r="BG93" i="52"/>
  <c r="BF93" i="52"/>
  <c r="T93" i="52"/>
  <c r="R93" i="52"/>
  <c r="P93" i="52"/>
  <c r="J86" i="52"/>
  <c r="J85" i="52"/>
  <c r="F85" i="52"/>
  <c r="F83" i="52"/>
  <c r="E81" i="52"/>
  <c r="J55" i="52"/>
  <c r="J54" i="52"/>
  <c r="F54" i="52"/>
  <c r="F52" i="52"/>
  <c r="E50" i="52"/>
  <c r="J18" i="52"/>
  <c r="E18" i="52"/>
  <c r="F55" i="52"/>
  <c r="J17" i="52"/>
  <c r="J12" i="52"/>
  <c r="J52" i="52"/>
  <c r="E7" i="52"/>
  <c r="E48" i="52"/>
  <c r="J37" i="51"/>
  <c r="J36" i="51"/>
  <c r="AY107" i="1"/>
  <c r="J35" i="51"/>
  <c r="AX107" i="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9" i="51"/>
  <c r="BH109" i="51"/>
  <c r="BG109" i="51"/>
  <c r="BF109" i="51"/>
  <c r="T109" i="51"/>
  <c r="R109" i="51"/>
  <c r="P109" i="51"/>
  <c r="BI108" i="51"/>
  <c r="BH108" i="51"/>
  <c r="BG108" i="51"/>
  <c r="BF108" i="51"/>
  <c r="T108" i="51"/>
  <c r="R108" i="51"/>
  <c r="P108" i="51"/>
  <c r="BI104" i="51"/>
  <c r="BH104" i="51"/>
  <c r="BG104" i="51"/>
  <c r="BF104" i="51"/>
  <c r="T104" i="51"/>
  <c r="R104" i="51"/>
  <c r="P104" i="51"/>
  <c r="BI99" i="51"/>
  <c r="BH99" i="51"/>
  <c r="BG99" i="51"/>
  <c r="BF99" i="51"/>
  <c r="T99" i="51"/>
  <c r="R99" i="51"/>
  <c r="P99" i="51"/>
  <c r="BI90" i="51"/>
  <c r="BH90" i="51"/>
  <c r="BG90" i="51"/>
  <c r="BF90" i="51"/>
  <c r="T90" i="51"/>
  <c r="R90" i="51"/>
  <c r="P90" i="51"/>
  <c r="BI87" i="51"/>
  <c r="BH87" i="51"/>
  <c r="BG87" i="51"/>
  <c r="BF87" i="51"/>
  <c r="T87" i="51"/>
  <c r="R87" i="51"/>
  <c r="P87" i="51"/>
  <c r="BI86" i="51"/>
  <c r="BH86" i="51"/>
  <c r="BG86" i="51"/>
  <c r="BF86" i="51"/>
  <c r="T86" i="51"/>
  <c r="R86" i="51"/>
  <c r="P86" i="51"/>
  <c r="J80" i="51"/>
  <c r="J79" i="51"/>
  <c r="F79" i="51"/>
  <c r="F77" i="51"/>
  <c r="E75" i="51"/>
  <c r="J55" i="51"/>
  <c r="J54" i="51"/>
  <c r="F54" i="51"/>
  <c r="F52" i="51"/>
  <c r="E50" i="51"/>
  <c r="J18" i="51"/>
  <c r="E18" i="51"/>
  <c r="F55" i="51"/>
  <c r="J17" i="51"/>
  <c r="J12" i="51"/>
  <c r="J52" i="51" s="1"/>
  <c r="E7" i="51"/>
  <c r="E73" i="51"/>
  <c r="J39" i="50"/>
  <c r="J38" i="50"/>
  <c r="AY106" i="1"/>
  <c r="J37" i="50"/>
  <c r="AX106" i="1"/>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31" i="50"/>
  <c r="BH131" i="50"/>
  <c r="BG131" i="50"/>
  <c r="BF131" i="50"/>
  <c r="T131" i="50"/>
  <c r="R131" i="50"/>
  <c r="P131" i="50"/>
  <c r="BI130" i="50"/>
  <c r="BH130" i="50"/>
  <c r="BG130" i="50"/>
  <c r="BF130" i="50"/>
  <c r="T130" i="50"/>
  <c r="R130" i="50"/>
  <c r="P130" i="50"/>
  <c r="BI129" i="50"/>
  <c r="BH129" i="50"/>
  <c r="BG129" i="50"/>
  <c r="BF129" i="50"/>
  <c r="T129" i="50"/>
  <c r="R129" i="50"/>
  <c r="P129" i="50"/>
  <c r="BI128" i="50"/>
  <c r="BH128" i="50"/>
  <c r="BG128" i="50"/>
  <c r="BF128" i="50"/>
  <c r="T128" i="50"/>
  <c r="R128" i="50"/>
  <c r="P128" i="50"/>
  <c r="BI127" i="50"/>
  <c r="BH127" i="50"/>
  <c r="BG127" i="50"/>
  <c r="BF127" i="50"/>
  <c r="T127" i="50"/>
  <c r="R127" i="50"/>
  <c r="P127" i="50"/>
  <c r="BI126" i="50"/>
  <c r="BH126" i="50"/>
  <c r="BG126" i="50"/>
  <c r="BF126" i="50"/>
  <c r="T126" i="50"/>
  <c r="R126" i="50"/>
  <c r="P126" i="50"/>
  <c r="BI125" i="50"/>
  <c r="BH125" i="50"/>
  <c r="BG125" i="50"/>
  <c r="BF125" i="50"/>
  <c r="T125" i="50"/>
  <c r="R125" i="50"/>
  <c r="P125" i="50"/>
  <c r="BI124" i="50"/>
  <c r="BH124" i="50"/>
  <c r="BG124" i="50"/>
  <c r="BF124" i="50"/>
  <c r="T124" i="50"/>
  <c r="R124" i="50"/>
  <c r="P124" i="50"/>
  <c r="BI122" i="50"/>
  <c r="BH122" i="50"/>
  <c r="BG122" i="50"/>
  <c r="BF122" i="50"/>
  <c r="T122" i="50"/>
  <c r="R122" i="50"/>
  <c r="P122" i="50"/>
  <c r="BI121" i="50"/>
  <c r="BH121" i="50"/>
  <c r="BG121" i="50"/>
  <c r="BF121" i="50"/>
  <c r="T121" i="50"/>
  <c r="R121" i="50"/>
  <c r="P121" i="50"/>
  <c r="BI120" i="50"/>
  <c r="BH120" i="50"/>
  <c r="BG120" i="50"/>
  <c r="BF120" i="50"/>
  <c r="T120" i="50"/>
  <c r="R120" i="50"/>
  <c r="P120" i="50"/>
  <c r="BI119" i="50"/>
  <c r="BH119" i="50"/>
  <c r="BG119" i="50"/>
  <c r="BF119" i="50"/>
  <c r="T119" i="50"/>
  <c r="R119" i="50"/>
  <c r="P119" i="50"/>
  <c r="BI118" i="50"/>
  <c r="BH118" i="50"/>
  <c r="BG118" i="50"/>
  <c r="BF118" i="50"/>
  <c r="T118" i="50"/>
  <c r="R118" i="50"/>
  <c r="P118" i="50"/>
  <c r="BI117" i="50"/>
  <c r="BH117" i="50"/>
  <c r="BG117" i="50"/>
  <c r="BF117" i="50"/>
  <c r="T117" i="50"/>
  <c r="R117" i="50"/>
  <c r="P117" i="50"/>
  <c r="BI116" i="50"/>
  <c r="BH116" i="50"/>
  <c r="BG116" i="50"/>
  <c r="BF116" i="50"/>
  <c r="T116" i="50"/>
  <c r="R116" i="50"/>
  <c r="P116" i="50"/>
  <c r="BI115" i="50"/>
  <c r="BH115" i="50"/>
  <c r="BG115" i="50"/>
  <c r="BF115" i="50"/>
  <c r="T115" i="50"/>
  <c r="R115" i="50"/>
  <c r="P115" i="50"/>
  <c r="BI114" i="50"/>
  <c r="BH114" i="50"/>
  <c r="BG114" i="50"/>
  <c r="BF114" i="50"/>
  <c r="T114" i="50"/>
  <c r="R114" i="50"/>
  <c r="P114" i="50"/>
  <c r="BI113" i="50"/>
  <c r="BH113" i="50"/>
  <c r="BG113" i="50"/>
  <c r="BF113" i="50"/>
  <c r="T113" i="50"/>
  <c r="R113" i="50"/>
  <c r="P113" i="50"/>
  <c r="BI112" i="50"/>
  <c r="BH112" i="50"/>
  <c r="BG112" i="50"/>
  <c r="BF112" i="50"/>
  <c r="T112" i="50"/>
  <c r="R112" i="50"/>
  <c r="P112" i="50"/>
  <c r="BI111" i="50"/>
  <c r="BH111" i="50"/>
  <c r="BG111" i="50"/>
  <c r="BF111" i="50"/>
  <c r="T111" i="50"/>
  <c r="R111" i="50"/>
  <c r="P111" i="50"/>
  <c r="BI110" i="50"/>
  <c r="BH110" i="50"/>
  <c r="BG110" i="50"/>
  <c r="BF110" i="50"/>
  <c r="T110" i="50"/>
  <c r="R110" i="50"/>
  <c r="P110" i="50"/>
  <c r="BI109" i="50"/>
  <c r="BH109" i="50"/>
  <c r="BG109" i="50"/>
  <c r="BF109" i="50"/>
  <c r="T109" i="50"/>
  <c r="R109" i="50"/>
  <c r="P109" i="50"/>
  <c r="BI108" i="50"/>
  <c r="BH108" i="50"/>
  <c r="BG108" i="50"/>
  <c r="BF108" i="50"/>
  <c r="T108" i="50"/>
  <c r="R108" i="50"/>
  <c r="P108" i="50"/>
  <c r="BI107" i="50"/>
  <c r="BH107" i="50"/>
  <c r="BG107" i="50"/>
  <c r="BF107" i="50"/>
  <c r="T107" i="50"/>
  <c r="R107" i="50"/>
  <c r="P107" i="50"/>
  <c r="BI106" i="50"/>
  <c r="BH106" i="50"/>
  <c r="BG106" i="50"/>
  <c r="BF106" i="50"/>
  <c r="T106" i="50"/>
  <c r="R106" i="50"/>
  <c r="P106" i="50"/>
  <c r="BI105" i="50"/>
  <c r="BH105" i="50"/>
  <c r="BG105" i="50"/>
  <c r="BF105" i="50"/>
  <c r="T105" i="50"/>
  <c r="R105" i="50"/>
  <c r="P105" i="50"/>
  <c r="BI104" i="50"/>
  <c r="BH104" i="50"/>
  <c r="BG104" i="50"/>
  <c r="BF104" i="50"/>
  <c r="T104" i="50"/>
  <c r="R104" i="50"/>
  <c r="P104" i="50"/>
  <c r="BI103" i="50"/>
  <c r="BH103" i="50"/>
  <c r="BG103" i="50"/>
  <c r="BF103" i="50"/>
  <c r="T103" i="50"/>
  <c r="R103" i="50"/>
  <c r="P103" i="50"/>
  <c r="BI102" i="50"/>
  <c r="BH102" i="50"/>
  <c r="BG102" i="50"/>
  <c r="BF102" i="50"/>
  <c r="T102" i="50"/>
  <c r="R102" i="50"/>
  <c r="P102" i="50"/>
  <c r="BI101" i="50"/>
  <c r="BH101" i="50"/>
  <c r="BG101" i="50"/>
  <c r="BF101" i="50"/>
  <c r="T101" i="50"/>
  <c r="R101" i="50"/>
  <c r="P101" i="50"/>
  <c r="BI100" i="50"/>
  <c r="BH100" i="50"/>
  <c r="BG100" i="50"/>
  <c r="BF100" i="50"/>
  <c r="T100" i="50"/>
  <c r="R100" i="50"/>
  <c r="P100" i="50"/>
  <c r="BI99" i="50"/>
  <c r="BH99" i="50"/>
  <c r="BG99" i="50"/>
  <c r="BF99" i="50"/>
  <c r="T99" i="50"/>
  <c r="R99" i="50"/>
  <c r="P99" i="50"/>
  <c r="BI98" i="50"/>
  <c r="BH98" i="50"/>
  <c r="BG98" i="50"/>
  <c r="BF98" i="50"/>
  <c r="T98" i="50"/>
  <c r="R98" i="50"/>
  <c r="P98" i="50"/>
  <c r="BI97" i="50"/>
  <c r="BH97" i="50"/>
  <c r="BG97" i="50"/>
  <c r="BF97" i="50"/>
  <c r="T97" i="50"/>
  <c r="R97" i="50"/>
  <c r="P97" i="50"/>
  <c r="BI96" i="50"/>
  <c r="BH96" i="50"/>
  <c r="BG96" i="50"/>
  <c r="BF96" i="50"/>
  <c r="T96" i="50"/>
  <c r="R96" i="50"/>
  <c r="P96" i="50"/>
  <c r="BI95" i="50"/>
  <c r="BH95" i="50"/>
  <c r="BG95" i="50"/>
  <c r="BF95" i="50"/>
  <c r="T95" i="50"/>
  <c r="R95" i="50"/>
  <c r="P95" i="50"/>
  <c r="BI94" i="50"/>
  <c r="BH94" i="50"/>
  <c r="BG94" i="50"/>
  <c r="BF94" i="50"/>
  <c r="T94" i="50"/>
  <c r="R94" i="50"/>
  <c r="P94" i="50"/>
  <c r="BI93" i="50"/>
  <c r="BH93" i="50"/>
  <c r="BG93" i="50"/>
  <c r="BF93" i="50"/>
  <c r="T93" i="50"/>
  <c r="R93" i="50"/>
  <c r="P93" i="50"/>
  <c r="BI92" i="50"/>
  <c r="BH92" i="50"/>
  <c r="BG92" i="50"/>
  <c r="BF92" i="50"/>
  <c r="T92" i="50"/>
  <c r="R92" i="50"/>
  <c r="P92" i="50"/>
  <c r="BI91" i="50"/>
  <c r="BH91" i="50"/>
  <c r="BG91" i="50"/>
  <c r="BF91" i="50"/>
  <c r="T91" i="50"/>
  <c r="R91" i="50"/>
  <c r="P91" i="50"/>
  <c r="BI90" i="50"/>
  <c r="BH90" i="50"/>
  <c r="BG90" i="50"/>
  <c r="BF90" i="50"/>
  <c r="T90" i="50"/>
  <c r="R90" i="50"/>
  <c r="P90" i="50"/>
  <c r="BI89" i="50"/>
  <c r="BH89" i="50"/>
  <c r="BG89" i="50"/>
  <c r="BF89" i="50"/>
  <c r="T89" i="50"/>
  <c r="R89" i="50"/>
  <c r="P89" i="50"/>
  <c r="F81" i="50"/>
  <c r="E79" i="50"/>
  <c r="F56" i="50"/>
  <c r="E54" i="50"/>
  <c r="J26" i="50"/>
  <c r="E26" i="50"/>
  <c r="J84" i="50" s="1"/>
  <c r="J25" i="50"/>
  <c r="J23" i="50"/>
  <c r="E23" i="50"/>
  <c r="J58" i="50"/>
  <c r="J22" i="50"/>
  <c r="J20" i="50"/>
  <c r="E20" i="50"/>
  <c r="F84" i="50" s="1"/>
  <c r="J19" i="50"/>
  <c r="J17" i="50"/>
  <c r="E17" i="50"/>
  <c r="F58" i="50"/>
  <c r="J16" i="50"/>
  <c r="J14" i="50"/>
  <c r="J81" i="50" s="1"/>
  <c r="E7" i="50"/>
  <c r="E75" i="50" s="1"/>
  <c r="J41" i="49"/>
  <c r="J40" i="49"/>
  <c r="AY105" i="1"/>
  <c r="J39" i="49"/>
  <c r="AX105" i="1"/>
  <c r="BI140" i="49"/>
  <c r="BH140" i="49"/>
  <c r="BG140" i="49"/>
  <c r="BF140" i="49"/>
  <c r="T140" i="49"/>
  <c r="T139" i="49"/>
  <c r="R140" i="49"/>
  <c r="R139" i="49"/>
  <c r="P140" i="49"/>
  <c r="P139" i="49"/>
  <c r="BI138" i="49"/>
  <c r="BH138" i="49"/>
  <c r="BG138" i="49"/>
  <c r="BF138" i="49"/>
  <c r="T138" i="49"/>
  <c r="R138" i="49"/>
  <c r="P138" i="49"/>
  <c r="BI136" i="49"/>
  <c r="BH136" i="49"/>
  <c r="BG136" i="49"/>
  <c r="BF136" i="49"/>
  <c r="T136" i="49"/>
  <c r="R136" i="49"/>
  <c r="P136" i="49"/>
  <c r="BI133" i="49"/>
  <c r="BH133" i="49"/>
  <c r="BG133" i="49"/>
  <c r="BF133" i="49"/>
  <c r="T133" i="49"/>
  <c r="R133" i="49"/>
  <c r="P133" i="49"/>
  <c r="BI131" i="49"/>
  <c r="BH131" i="49"/>
  <c r="BG131" i="49"/>
  <c r="BF131" i="49"/>
  <c r="T131" i="49"/>
  <c r="R131" i="49"/>
  <c r="P131" i="49"/>
  <c r="BI130" i="49"/>
  <c r="BH130" i="49"/>
  <c r="BG130" i="49"/>
  <c r="BF130" i="49"/>
  <c r="T130" i="49"/>
  <c r="R130" i="49"/>
  <c r="P130" i="49"/>
  <c r="BI127" i="49"/>
  <c r="BH127" i="49"/>
  <c r="BG127" i="49"/>
  <c r="BF127" i="49"/>
  <c r="T127" i="49"/>
  <c r="T126" i="49" s="1"/>
  <c r="R127" i="49"/>
  <c r="R126" i="49" s="1"/>
  <c r="P127" i="49"/>
  <c r="P126" i="49" s="1"/>
  <c r="BI124" i="49"/>
  <c r="BH124" i="49"/>
  <c r="BG124" i="49"/>
  <c r="BF124" i="49"/>
  <c r="T124" i="49"/>
  <c r="R124" i="49"/>
  <c r="P124" i="49"/>
  <c r="BI117" i="49"/>
  <c r="BH117" i="49"/>
  <c r="BG117" i="49"/>
  <c r="BF117" i="49"/>
  <c r="T117" i="49"/>
  <c r="R117" i="49"/>
  <c r="P117" i="49"/>
  <c r="BI115" i="49"/>
  <c r="BH115" i="49"/>
  <c r="BG115" i="49"/>
  <c r="BF115" i="49"/>
  <c r="T115" i="49"/>
  <c r="R115" i="49"/>
  <c r="P115" i="49"/>
  <c r="BI113" i="49"/>
  <c r="BH113" i="49"/>
  <c r="BG113" i="49"/>
  <c r="BF113" i="49"/>
  <c r="T113" i="49"/>
  <c r="R113" i="49"/>
  <c r="P113" i="49"/>
  <c r="BI111" i="49"/>
  <c r="BH111" i="49"/>
  <c r="BG111" i="49"/>
  <c r="BF111" i="49"/>
  <c r="T111" i="49"/>
  <c r="R111" i="49"/>
  <c r="P111" i="49"/>
  <c r="BI109" i="49"/>
  <c r="BH109" i="49"/>
  <c r="BG109" i="49"/>
  <c r="BF109" i="49"/>
  <c r="T109" i="49"/>
  <c r="R109" i="49"/>
  <c r="P109" i="49"/>
  <c r="BI108" i="49"/>
  <c r="BH108" i="49"/>
  <c r="BG108" i="49"/>
  <c r="BF108" i="49"/>
  <c r="T108" i="49"/>
  <c r="R108" i="49"/>
  <c r="P108" i="49"/>
  <c r="BI105" i="49"/>
  <c r="BH105" i="49"/>
  <c r="BG105" i="49"/>
  <c r="BF105" i="49"/>
  <c r="T105" i="49"/>
  <c r="R105" i="49"/>
  <c r="P105" i="49"/>
  <c r="BI104" i="49"/>
  <c r="BH104" i="49"/>
  <c r="BG104" i="49"/>
  <c r="BF104" i="49"/>
  <c r="T104" i="49"/>
  <c r="R104" i="49"/>
  <c r="P104" i="49"/>
  <c r="BI103" i="49"/>
  <c r="BH103" i="49"/>
  <c r="BG103" i="49"/>
  <c r="BF103" i="49"/>
  <c r="T103" i="49"/>
  <c r="R103" i="49"/>
  <c r="P103" i="49"/>
  <c r="BI101" i="49"/>
  <c r="BH101" i="49"/>
  <c r="BG101" i="49"/>
  <c r="BF101" i="49"/>
  <c r="T101" i="49"/>
  <c r="R101" i="49"/>
  <c r="P101" i="49"/>
  <c r="BI100" i="49"/>
  <c r="BH100" i="49"/>
  <c r="BG100" i="49"/>
  <c r="BF100" i="49"/>
  <c r="T100" i="49"/>
  <c r="R100" i="49"/>
  <c r="P100" i="49"/>
  <c r="J94" i="49"/>
  <c r="J93" i="49"/>
  <c r="F93" i="49"/>
  <c r="F91" i="49"/>
  <c r="E89" i="49"/>
  <c r="J63" i="49"/>
  <c r="J62" i="49"/>
  <c r="F62" i="49"/>
  <c r="F60" i="49"/>
  <c r="E58" i="49"/>
  <c r="J22" i="49"/>
  <c r="E22" i="49"/>
  <c r="F94" i="49"/>
  <c r="J21" i="49"/>
  <c r="J16" i="49"/>
  <c r="J60" i="49" s="1"/>
  <c r="E7" i="49"/>
  <c r="E83" i="49"/>
  <c r="J41" i="48"/>
  <c r="J40" i="48"/>
  <c r="AY104" i="1"/>
  <c r="J39" i="48"/>
  <c r="AX104" i="1"/>
  <c r="BI140" i="48"/>
  <c r="BH140" i="48"/>
  <c r="BG140" i="48"/>
  <c r="BF140" i="48"/>
  <c r="T140" i="48"/>
  <c r="T139" i="48"/>
  <c r="R140" i="48"/>
  <c r="R139" i="48"/>
  <c r="P140" i="48"/>
  <c r="P139" i="48" s="1"/>
  <c r="BI138" i="48"/>
  <c r="BH138" i="48"/>
  <c r="BG138" i="48"/>
  <c r="BF138" i="48"/>
  <c r="T138" i="48"/>
  <c r="R138" i="48"/>
  <c r="P138" i="48"/>
  <c r="BI136" i="48"/>
  <c r="BH136" i="48"/>
  <c r="BG136" i="48"/>
  <c r="BF136" i="48"/>
  <c r="T136" i="48"/>
  <c r="R136" i="48"/>
  <c r="P136" i="48"/>
  <c r="BI133" i="48"/>
  <c r="BH133" i="48"/>
  <c r="BG133" i="48"/>
  <c r="BF133" i="48"/>
  <c r="T133" i="48"/>
  <c r="R133" i="48"/>
  <c r="P133" i="48"/>
  <c r="BI131" i="48"/>
  <c r="BH131" i="48"/>
  <c r="BG131" i="48"/>
  <c r="BF131" i="48"/>
  <c r="T131" i="48"/>
  <c r="R131" i="48"/>
  <c r="P131" i="48"/>
  <c r="BI130" i="48"/>
  <c r="BH130" i="48"/>
  <c r="BG130" i="48"/>
  <c r="BF130" i="48"/>
  <c r="T130" i="48"/>
  <c r="R130" i="48"/>
  <c r="P130" i="48"/>
  <c r="BI127" i="48"/>
  <c r="BH127" i="48"/>
  <c r="BG127" i="48"/>
  <c r="BF127" i="48"/>
  <c r="T127" i="48"/>
  <c r="T126" i="48" s="1"/>
  <c r="R127" i="48"/>
  <c r="R126" i="48" s="1"/>
  <c r="P127" i="48"/>
  <c r="P126" i="48" s="1"/>
  <c r="BI124" i="48"/>
  <c r="BH124" i="48"/>
  <c r="BG124" i="48"/>
  <c r="BF124" i="48"/>
  <c r="T124" i="48"/>
  <c r="R124" i="48"/>
  <c r="P124" i="48"/>
  <c r="BI117" i="48"/>
  <c r="BH117" i="48"/>
  <c r="BG117" i="48"/>
  <c r="BF117" i="48"/>
  <c r="T117" i="48"/>
  <c r="R117" i="48"/>
  <c r="P117" i="48"/>
  <c r="BI115" i="48"/>
  <c r="BH115" i="48"/>
  <c r="BG115" i="48"/>
  <c r="BF115" i="48"/>
  <c r="T115" i="48"/>
  <c r="R115" i="48"/>
  <c r="P115" i="48"/>
  <c r="BI113" i="48"/>
  <c r="BH113" i="48"/>
  <c r="BG113" i="48"/>
  <c r="BF113" i="48"/>
  <c r="T113" i="48"/>
  <c r="R113" i="48"/>
  <c r="P113" i="48"/>
  <c r="BI111" i="48"/>
  <c r="BH111" i="48"/>
  <c r="BG111" i="48"/>
  <c r="BF111" i="48"/>
  <c r="T111" i="48"/>
  <c r="R111" i="48"/>
  <c r="P111" i="48"/>
  <c r="BI109" i="48"/>
  <c r="BH109" i="48"/>
  <c r="BG109" i="48"/>
  <c r="BF109" i="48"/>
  <c r="T109" i="48"/>
  <c r="R109" i="48"/>
  <c r="P109" i="48"/>
  <c r="BI108" i="48"/>
  <c r="BH108" i="48"/>
  <c r="BG108" i="48"/>
  <c r="BF108" i="48"/>
  <c r="T108" i="48"/>
  <c r="R108" i="48"/>
  <c r="P108" i="48"/>
  <c r="BI105" i="48"/>
  <c r="BH105" i="48"/>
  <c r="BG105" i="48"/>
  <c r="BF105" i="48"/>
  <c r="T105" i="48"/>
  <c r="R105" i="48"/>
  <c r="P105" i="48"/>
  <c r="BI104" i="48"/>
  <c r="BH104" i="48"/>
  <c r="BG104" i="48"/>
  <c r="BF104" i="48"/>
  <c r="T104" i="48"/>
  <c r="R104" i="48"/>
  <c r="P104" i="48"/>
  <c r="BI103" i="48"/>
  <c r="BH103" i="48"/>
  <c r="BG103" i="48"/>
  <c r="BF103" i="48"/>
  <c r="T103" i="48"/>
  <c r="R103" i="48"/>
  <c r="P103" i="48"/>
  <c r="BI101" i="48"/>
  <c r="BH101" i="48"/>
  <c r="BG101" i="48"/>
  <c r="BF101" i="48"/>
  <c r="T101" i="48"/>
  <c r="R101" i="48"/>
  <c r="P101" i="48"/>
  <c r="BI100" i="48"/>
  <c r="BH100" i="48"/>
  <c r="BG100" i="48"/>
  <c r="BF100" i="48"/>
  <c r="T100" i="48"/>
  <c r="R100" i="48"/>
  <c r="P100" i="48"/>
  <c r="J94" i="48"/>
  <c r="J93" i="48"/>
  <c r="F93" i="48"/>
  <c r="F91" i="48"/>
  <c r="E89" i="48"/>
  <c r="J63" i="48"/>
  <c r="J62" i="48"/>
  <c r="F62" i="48"/>
  <c r="F60" i="48"/>
  <c r="E58" i="48"/>
  <c r="J22" i="48"/>
  <c r="E22" i="48"/>
  <c r="F94" i="48"/>
  <c r="J21" i="48"/>
  <c r="J16" i="48"/>
  <c r="J60" i="48" s="1"/>
  <c r="E7" i="48"/>
  <c r="E83" i="48" s="1"/>
  <c r="J41" i="47"/>
  <c r="J40" i="47"/>
  <c r="AY103" i="1"/>
  <c r="J39" i="47"/>
  <c r="AX103" i="1" s="1"/>
  <c r="BI140" i="47"/>
  <c r="BH140" i="47"/>
  <c r="BG140" i="47"/>
  <c r="BF140" i="47"/>
  <c r="T140" i="47"/>
  <c r="T139" i="47"/>
  <c r="R140" i="47"/>
  <c r="R139" i="47" s="1"/>
  <c r="P140" i="47"/>
  <c r="P139" i="47"/>
  <c r="BI138" i="47"/>
  <c r="BH138" i="47"/>
  <c r="BG138" i="47"/>
  <c r="BF138" i="47"/>
  <c r="T138" i="47"/>
  <c r="R138" i="47"/>
  <c r="P138" i="47"/>
  <c r="BI136" i="47"/>
  <c r="BH136" i="47"/>
  <c r="BG136" i="47"/>
  <c r="BF136" i="47"/>
  <c r="T136" i="47"/>
  <c r="R136" i="47"/>
  <c r="P136" i="47"/>
  <c r="BI133" i="47"/>
  <c r="BH133" i="47"/>
  <c r="BG133" i="47"/>
  <c r="BF133" i="47"/>
  <c r="T133" i="47"/>
  <c r="R133" i="47"/>
  <c r="P133" i="47"/>
  <c r="BI131" i="47"/>
  <c r="BH131" i="47"/>
  <c r="BG131" i="47"/>
  <c r="BF131" i="47"/>
  <c r="T131" i="47"/>
  <c r="R131" i="47"/>
  <c r="P131" i="47"/>
  <c r="BI130" i="47"/>
  <c r="BH130" i="47"/>
  <c r="BG130" i="47"/>
  <c r="BF130" i="47"/>
  <c r="T130" i="47"/>
  <c r="R130" i="47"/>
  <c r="P130" i="47"/>
  <c r="BI127" i="47"/>
  <c r="BH127" i="47"/>
  <c r="BG127" i="47"/>
  <c r="BF127" i="47"/>
  <c r="T127" i="47"/>
  <c r="T126" i="47" s="1"/>
  <c r="R127" i="47"/>
  <c r="R126" i="47" s="1"/>
  <c r="P127" i="47"/>
  <c r="P126" i="47"/>
  <c r="BI124" i="47"/>
  <c r="BH124" i="47"/>
  <c r="BG124" i="47"/>
  <c r="BF124" i="47"/>
  <c r="T124" i="47"/>
  <c r="R124" i="47"/>
  <c r="P124" i="47"/>
  <c r="BI117" i="47"/>
  <c r="BH117" i="47"/>
  <c r="BG117" i="47"/>
  <c r="BF117" i="47"/>
  <c r="T117" i="47"/>
  <c r="R117" i="47"/>
  <c r="P117" i="47"/>
  <c r="BI115" i="47"/>
  <c r="BH115" i="47"/>
  <c r="BG115" i="47"/>
  <c r="BF115" i="47"/>
  <c r="T115" i="47"/>
  <c r="R115" i="47"/>
  <c r="P115" i="47"/>
  <c r="BI113" i="47"/>
  <c r="BH113" i="47"/>
  <c r="BG113" i="47"/>
  <c r="BF113" i="47"/>
  <c r="T113" i="47"/>
  <c r="R113" i="47"/>
  <c r="P113" i="47"/>
  <c r="BI111" i="47"/>
  <c r="BH111" i="47"/>
  <c r="BG111" i="47"/>
  <c r="BF111" i="47"/>
  <c r="T111" i="47"/>
  <c r="R111" i="47"/>
  <c r="P111" i="47"/>
  <c r="BI109" i="47"/>
  <c r="BH109" i="47"/>
  <c r="BG109" i="47"/>
  <c r="BF109" i="47"/>
  <c r="T109" i="47"/>
  <c r="R109" i="47"/>
  <c r="P109" i="47"/>
  <c r="BI108" i="47"/>
  <c r="BH108" i="47"/>
  <c r="BG108" i="47"/>
  <c r="BF108" i="47"/>
  <c r="T108" i="47"/>
  <c r="R108" i="47"/>
  <c r="P108" i="47"/>
  <c r="BI105" i="47"/>
  <c r="BH105" i="47"/>
  <c r="BG105" i="47"/>
  <c r="BF105" i="47"/>
  <c r="T105" i="47"/>
  <c r="R105" i="47"/>
  <c r="P105" i="47"/>
  <c r="BI104" i="47"/>
  <c r="BH104" i="47"/>
  <c r="BG104" i="47"/>
  <c r="BF104" i="47"/>
  <c r="T104" i="47"/>
  <c r="R104" i="47"/>
  <c r="P104" i="47"/>
  <c r="BI103" i="47"/>
  <c r="BH103" i="47"/>
  <c r="BG103" i="47"/>
  <c r="BF103" i="47"/>
  <c r="T103" i="47"/>
  <c r="R103" i="47"/>
  <c r="P103" i="47"/>
  <c r="BI101" i="47"/>
  <c r="BH101" i="47"/>
  <c r="BG101" i="47"/>
  <c r="BF101" i="47"/>
  <c r="T101" i="47"/>
  <c r="R101" i="47"/>
  <c r="P101" i="47"/>
  <c r="BI100" i="47"/>
  <c r="BH100" i="47"/>
  <c r="BG100" i="47"/>
  <c r="BF100" i="47"/>
  <c r="T100" i="47"/>
  <c r="R100" i="47"/>
  <c r="P100" i="47"/>
  <c r="J94" i="47"/>
  <c r="J93" i="47"/>
  <c r="F93" i="47"/>
  <c r="F91" i="47"/>
  <c r="E89" i="47"/>
  <c r="J63" i="47"/>
  <c r="J62" i="47"/>
  <c r="F62" i="47"/>
  <c r="F60" i="47"/>
  <c r="E58" i="47"/>
  <c r="J22" i="47"/>
  <c r="E22" i="47"/>
  <c r="F94" i="47"/>
  <c r="J21" i="47"/>
  <c r="J16" i="47"/>
  <c r="J91" i="47" s="1"/>
  <c r="E7" i="47"/>
  <c r="E52" i="47" s="1"/>
  <c r="J41" i="46"/>
  <c r="J40" i="46"/>
  <c r="AY102" i="1"/>
  <c r="J39" i="46"/>
  <c r="AX102" i="1"/>
  <c r="BI140" i="46"/>
  <c r="BH140" i="46"/>
  <c r="BG140" i="46"/>
  <c r="BF140" i="46"/>
  <c r="T140" i="46"/>
  <c r="T139" i="46"/>
  <c r="R140" i="46"/>
  <c r="R139" i="46"/>
  <c r="P140" i="46"/>
  <c r="P139" i="46"/>
  <c r="BI138" i="46"/>
  <c r="BH138" i="46"/>
  <c r="BG138" i="46"/>
  <c r="BF138" i="46"/>
  <c r="T138" i="46"/>
  <c r="R138" i="46"/>
  <c r="P138" i="46"/>
  <c r="BI136" i="46"/>
  <c r="BH136" i="46"/>
  <c r="BG136" i="46"/>
  <c r="BF136" i="46"/>
  <c r="T136" i="46"/>
  <c r="R136" i="46"/>
  <c r="P136" i="46"/>
  <c r="BI133" i="46"/>
  <c r="BH133" i="46"/>
  <c r="BG133" i="46"/>
  <c r="BF133" i="46"/>
  <c r="T133" i="46"/>
  <c r="R133" i="46"/>
  <c r="P133" i="46"/>
  <c r="BI131" i="46"/>
  <c r="BH131" i="46"/>
  <c r="BG131" i="46"/>
  <c r="BF131" i="46"/>
  <c r="T131" i="46"/>
  <c r="R131" i="46"/>
  <c r="P131" i="46"/>
  <c r="BI130" i="46"/>
  <c r="BH130" i="46"/>
  <c r="BG130" i="46"/>
  <c r="BF130" i="46"/>
  <c r="T130" i="46"/>
  <c r="R130" i="46"/>
  <c r="P130" i="46"/>
  <c r="BI127" i="46"/>
  <c r="BH127" i="46"/>
  <c r="BG127" i="46"/>
  <c r="BF127" i="46"/>
  <c r="T127" i="46"/>
  <c r="T126" i="46" s="1"/>
  <c r="R127" i="46"/>
  <c r="R126" i="46" s="1"/>
  <c r="P127" i="46"/>
  <c r="P126" i="46" s="1"/>
  <c r="BI124" i="46"/>
  <c r="BH124" i="46"/>
  <c r="BG124" i="46"/>
  <c r="BF124" i="46"/>
  <c r="T124" i="46"/>
  <c r="R124" i="46"/>
  <c r="P124" i="46"/>
  <c r="BI117" i="46"/>
  <c r="BH117" i="46"/>
  <c r="BG117" i="46"/>
  <c r="BF117" i="46"/>
  <c r="T117" i="46"/>
  <c r="R117" i="46"/>
  <c r="P117" i="46"/>
  <c r="BI115" i="46"/>
  <c r="BH115" i="46"/>
  <c r="BG115" i="46"/>
  <c r="BF115" i="46"/>
  <c r="T115" i="46"/>
  <c r="R115" i="46"/>
  <c r="P115" i="46"/>
  <c r="BI113" i="46"/>
  <c r="BH113" i="46"/>
  <c r="BG113" i="46"/>
  <c r="BF113" i="46"/>
  <c r="T113" i="46"/>
  <c r="R113" i="46"/>
  <c r="P113" i="46"/>
  <c r="BI111" i="46"/>
  <c r="BH111" i="46"/>
  <c r="BG111" i="46"/>
  <c r="BF111" i="46"/>
  <c r="T111" i="46"/>
  <c r="R111" i="46"/>
  <c r="P111" i="46"/>
  <c r="BI109" i="46"/>
  <c r="BH109" i="46"/>
  <c r="BG109" i="46"/>
  <c r="BF109" i="46"/>
  <c r="T109" i="46"/>
  <c r="R109" i="46"/>
  <c r="P109" i="46"/>
  <c r="BI108" i="46"/>
  <c r="BH108" i="46"/>
  <c r="BG108" i="46"/>
  <c r="BF108" i="46"/>
  <c r="T108" i="46"/>
  <c r="R108" i="46"/>
  <c r="P108" i="46"/>
  <c r="BI105" i="46"/>
  <c r="BH105" i="46"/>
  <c r="BG105" i="46"/>
  <c r="BF105" i="46"/>
  <c r="T105" i="46"/>
  <c r="R105" i="46"/>
  <c r="P105" i="46"/>
  <c r="BI104" i="46"/>
  <c r="BH104" i="46"/>
  <c r="BG104" i="46"/>
  <c r="BF104" i="46"/>
  <c r="T104" i="46"/>
  <c r="R104" i="46"/>
  <c r="P104" i="46"/>
  <c r="BI103" i="46"/>
  <c r="BH103" i="46"/>
  <c r="BG103" i="46"/>
  <c r="BF103" i="46"/>
  <c r="T103" i="46"/>
  <c r="R103" i="46"/>
  <c r="P103" i="46"/>
  <c r="BI101" i="46"/>
  <c r="BH101" i="46"/>
  <c r="BG101" i="46"/>
  <c r="BF101" i="46"/>
  <c r="T101" i="46"/>
  <c r="R101" i="46"/>
  <c r="P101" i="46"/>
  <c r="BI100" i="46"/>
  <c r="BH100" i="46"/>
  <c r="BG100" i="46"/>
  <c r="BF100" i="46"/>
  <c r="T100" i="46"/>
  <c r="R100" i="46"/>
  <c r="P100" i="46"/>
  <c r="J94" i="46"/>
  <c r="J93" i="46"/>
  <c r="F93" i="46"/>
  <c r="F91" i="46"/>
  <c r="E89" i="46"/>
  <c r="J63" i="46"/>
  <c r="J62" i="46"/>
  <c r="F62" i="46"/>
  <c r="F60" i="46"/>
  <c r="E58" i="46"/>
  <c r="J22" i="46"/>
  <c r="E22" i="46"/>
  <c r="F94" i="46"/>
  <c r="J21" i="46"/>
  <c r="J16" i="46"/>
  <c r="J91" i="46" s="1"/>
  <c r="E7" i="46"/>
  <c r="E83" i="46"/>
  <c r="J41" i="45"/>
  <c r="J40" i="45"/>
  <c r="AY101" i="1"/>
  <c r="J39" i="45"/>
  <c r="AX101" i="1"/>
  <c r="BI140" i="45"/>
  <c r="BH140" i="45"/>
  <c r="BG140" i="45"/>
  <c r="BF140" i="45"/>
  <c r="T140" i="45"/>
  <c r="T139" i="45"/>
  <c r="R140" i="45"/>
  <c r="R139" i="45"/>
  <c r="P140" i="45"/>
  <c r="P139" i="45" s="1"/>
  <c r="BI138" i="45"/>
  <c r="BH138" i="45"/>
  <c r="BG138" i="45"/>
  <c r="BF138" i="45"/>
  <c r="T138" i="45"/>
  <c r="R138" i="45"/>
  <c r="P138" i="45"/>
  <c r="BI136" i="45"/>
  <c r="BH136" i="45"/>
  <c r="BG136" i="45"/>
  <c r="BF136" i="45"/>
  <c r="T136" i="45"/>
  <c r="R136" i="45"/>
  <c r="P136" i="45"/>
  <c r="BI133" i="45"/>
  <c r="BH133" i="45"/>
  <c r="BG133" i="45"/>
  <c r="BF133" i="45"/>
  <c r="T133" i="45"/>
  <c r="R133" i="45"/>
  <c r="P133" i="45"/>
  <c r="BI131" i="45"/>
  <c r="BH131" i="45"/>
  <c r="BG131" i="45"/>
  <c r="BF131" i="45"/>
  <c r="T131" i="45"/>
  <c r="R131" i="45"/>
  <c r="P131" i="45"/>
  <c r="BI130" i="45"/>
  <c r="BH130" i="45"/>
  <c r="BG130" i="45"/>
  <c r="BF130" i="45"/>
  <c r="T130" i="45"/>
  <c r="R130" i="45"/>
  <c r="P130" i="45"/>
  <c r="BI127" i="45"/>
  <c r="BH127" i="45"/>
  <c r="BG127" i="45"/>
  <c r="BF127" i="45"/>
  <c r="T127" i="45"/>
  <c r="T126" i="45"/>
  <c r="R127" i="45"/>
  <c r="R126" i="45" s="1"/>
  <c r="P127" i="45"/>
  <c r="P126" i="45" s="1"/>
  <c r="BI124" i="45"/>
  <c r="BH124" i="45"/>
  <c r="BG124" i="45"/>
  <c r="BF124" i="45"/>
  <c r="T124" i="45"/>
  <c r="R124" i="45"/>
  <c r="P124" i="45"/>
  <c r="BI117" i="45"/>
  <c r="BH117" i="45"/>
  <c r="BG117" i="45"/>
  <c r="BF117" i="45"/>
  <c r="T117" i="45"/>
  <c r="R117" i="45"/>
  <c r="P117" i="45"/>
  <c r="BI115" i="45"/>
  <c r="BH115" i="45"/>
  <c r="BG115" i="45"/>
  <c r="BF115" i="45"/>
  <c r="T115" i="45"/>
  <c r="R115" i="45"/>
  <c r="P115" i="45"/>
  <c r="BI113" i="45"/>
  <c r="BH113" i="45"/>
  <c r="BG113" i="45"/>
  <c r="BF113" i="45"/>
  <c r="T113" i="45"/>
  <c r="R113" i="45"/>
  <c r="P113" i="45"/>
  <c r="BI111" i="45"/>
  <c r="BH111" i="45"/>
  <c r="BG111" i="45"/>
  <c r="BF111" i="45"/>
  <c r="T111" i="45"/>
  <c r="R111" i="45"/>
  <c r="P111" i="45"/>
  <c r="BI109" i="45"/>
  <c r="BH109" i="45"/>
  <c r="BG109" i="45"/>
  <c r="BF109" i="45"/>
  <c r="T109" i="45"/>
  <c r="R109" i="45"/>
  <c r="P109" i="45"/>
  <c r="BI108" i="45"/>
  <c r="BH108" i="45"/>
  <c r="BG108" i="45"/>
  <c r="BF108" i="45"/>
  <c r="T108" i="45"/>
  <c r="R108" i="45"/>
  <c r="P108" i="45"/>
  <c r="BI105" i="45"/>
  <c r="BH105" i="45"/>
  <c r="BG105" i="45"/>
  <c r="BF105" i="45"/>
  <c r="T105" i="45"/>
  <c r="R105" i="45"/>
  <c r="P105" i="45"/>
  <c r="BI104" i="45"/>
  <c r="BH104" i="45"/>
  <c r="BG104" i="45"/>
  <c r="BF104" i="45"/>
  <c r="T104" i="45"/>
  <c r="R104" i="45"/>
  <c r="P104" i="45"/>
  <c r="BI103" i="45"/>
  <c r="BH103" i="45"/>
  <c r="BG103" i="45"/>
  <c r="BF103" i="45"/>
  <c r="T103" i="45"/>
  <c r="R103" i="45"/>
  <c r="P103" i="45"/>
  <c r="BI101" i="45"/>
  <c r="BH101" i="45"/>
  <c r="BG101" i="45"/>
  <c r="BF101" i="45"/>
  <c r="T101" i="45"/>
  <c r="R101" i="45"/>
  <c r="P101" i="45"/>
  <c r="BI100" i="45"/>
  <c r="BH100" i="45"/>
  <c r="BG100" i="45"/>
  <c r="BF100" i="45"/>
  <c r="T100" i="45"/>
  <c r="R100" i="45"/>
  <c r="P100" i="45"/>
  <c r="J94" i="45"/>
  <c r="J93" i="45"/>
  <c r="F93" i="45"/>
  <c r="F91" i="45"/>
  <c r="E89" i="45"/>
  <c r="J63" i="45"/>
  <c r="J62" i="45"/>
  <c r="F62" i="45"/>
  <c r="F60" i="45"/>
  <c r="E58" i="45"/>
  <c r="J22" i="45"/>
  <c r="E22" i="45"/>
  <c r="F63" i="45"/>
  <c r="J21" i="45"/>
  <c r="J16" i="45"/>
  <c r="J60" i="45"/>
  <c r="E7" i="45"/>
  <c r="E83" i="45"/>
  <c r="J41" i="44"/>
  <c r="J40" i="44"/>
  <c r="AY100" i="1"/>
  <c r="J39" i="44"/>
  <c r="AX100" i="1"/>
  <c r="BI140" i="44"/>
  <c r="BH140" i="44"/>
  <c r="BG140" i="44"/>
  <c r="BF140" i="44"/>
  <c r="T140" i="44"/>
  <c r="T139" i="44"/>
  <c r="R140" i="44"/>
  <c r="R139" i="44"/>
  <c r="P140" i="44"/>
  <c r="P139" i="44" s="1"/>
  <c r="BI138" i="44"/>
  <c r="BH138" i="44"/>
  <c r="BG138" i="44"/>
  <c r="BF138" i="44"/>
  <c r="T138" i="44"/>
  <c r="R138" i="44"/>
  <c r="P138" i="44"/>
  <c r="BI136" i="44"/>
  <c r="BH136" i="44"/>
  <c r="BG136" i="44"/>
  <c r="BF136" i="44"/>
  <c r="T136" i="44"/>
  <c r="R136" i="44"/>
  <c r="P136" i="44"/>
  <c r="BI133" i="44"/>
  <c r="BH133" i="44"/>
  <c r="BG133" i="44"/>
  <c r="BF133" i="44"/>
  <c r="T133" i="44"/>
  <c r="R133" i="44"/>
  <c r="P133" i="44"/>
  <c r="BI131" i="44"/>
  <c r="BH131" i="44"/>
  <c r="BG131" i="44"/>
  <c r="BF131" i="44"/>
  <c r="T131" i="44"/>
  <c r="R131" i="44"/>
  <c r="P131" i="44"/>
  <c r="BI130" i="44"/>
  <c r="BH130" i="44"/>
  <c r="BG130" i="44"/>
  <c r="BF130" i="44"/>
  <c r="T130" i="44"/>
  <c r="R130" i="44"/>
  <c r="P130" i="44"/>
  <c r="BI127" i="44"/>
  <c r="BH127" i="44"/>
  <c r="BG127" i="44"/>
  <c r="BF127" i="44"/>
  <c r="T127" i="44"/>
  <c r="T126" i="44" s="1"/>
  <c r="R127" i="44"/>
  <c r="R126" i="44" s="1"/>
  <c r="P127" i="44"/>
  <c r="P126" i="44" s="1"/>
  <c r="BI124" i="44"/>
  <c r="BH124" i="44"/>
  <c r="BG124" i="44"/>
  <c r="BF124" i="44"/>
  <c r="T124" i="44"/>
  <c r="R124" i="44"/>
  <c r="P124"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8" i="44"/>
  <c r="BH108" i="44"/>
  <c r="BG108" i="44"/>
  <c r="BF108" i="44"/>
  <c r="T108" i="44"/>
  <c r="R108" i="44"/>
  <c r="P108" i="44"/>
  <c r="BI105" i="44"/>
  <c r="BH105" i="44"/>
  <c r="BG105" i="44"/>
  <c r="BF105" i="44"/>
  <c r="T105" i="44"/>
  <c r="R105" i="44"/>
  <c r="P105" i="44"/>
  <c r="BI104" i="44"/>
  <c r="BH104" i="44"/>
  <c r="BG104" i="44"/>
  <c r="BF104" i="44"/>
  <c r="T104" i="44"/>
  <c r="R104" i="44"/>
  <c r="P104" i="44"/>
  <c r="BI103" i="44"/>
  <c r="BH103" i="44"/>
  <c r="BG103" i="44"/>
  <c r="BF103" i="44"/>
  <c r="T103" i="44"/>
  <c r="R103" i="44"/>
  <c r="P103" i="44"/>
  <c r="BI101" i="44"/>
  <c r="BH101" i="44"/>
  <c r="BG101" i="44"/>
  <c r="BF101" i="44"/>
  <c r="T101" i="44"/>
  <c r="R101" i="44"/>
  <c r="P101" i="44"/>
  <c r="BI100" i="44"/>
  <c r="BH100" i="44"/>
  <c r="BG100" i="44"/>
  <c r="BF100" i="44"/>
  <c r="T100" i="44"/>
  <c r="R100" i="44"/>
  <c r="P100" i="44"/>
  <c r="J94" i="44"/>
  <c r="J93" i="44"/>
  <c r="F93" i="44"/>
  <c r="F91" i="44"/>
  <c r="E89" i="44"/>
  <c r="J63" i="44"/>
  <c r="J62" i="44"/>
  <c r="F62" i="44"/>
  <c r="F60" i="44"/>
  <c r="E58" i="44"/>
  <c r="J22" i="44"/>
  <c r="E22" i="44"/>
  <c r="F63" i="44" s="1"/>
  <c r="J21" i="44"/>
  <c r="J16" i="44"/>
  <c r="J60" i="44" s="1"/>
  <c r="E7" i="44"/>
  <c r="E83" i="44" s="1"/>
  <c r="J41" i="43"/>
  <c r="J40" i="43"/>
  <c r="AY99" i="1"/>
  <c r="J39" i="43"/>
  <c r="AX99" i="1" s="1"/>
  <c r="BI132" i="43"/>
  <c r="BH132" i="43"/>
  <c r="BG132" i="43"/>
  <c r="BF132" i="43"/>
  <c r="T132" i="43"/>
  <c r="T131" i="43"/>
  <c r="R132" i="43"/>
  <c r="R131" i="43" s="1"/>
  <c r="P132" i="43"/>
  <c r="P131" i="43"/>
  <c r="BI130" i="43"/>
  <c r="BH130" i="43"/>
  <c r="BG130" i="43"/>
  <c r="BF130" i="43"/>
  <c r="T130" i="43"/>
  <c r="R130" i="43"/>
  <c r="P130" i="43"/>
  <c r="BI128" i="43"/>
  <c r="BH128" i="43"/>
  <c r="BG128" i="43"/>
  <c r="BF128" i="43"/>
  <c r="T128" i="43"/>
  <c r="R128" i="43"/>
  <c r="P128" i="43"/>
  <c r="BI125" i="43"/>
  <c r="BH125" i="43"/>
  <c r="BG125" i="43"/>
  <c r="BF125" i="43"/>
  <c r="T125" i="43"/>
  <c r="R125" i="43"/>
  <c r="P125" i="43"/>
  <c r="BI123" i="43"/>
  <c r="BH123" i="43"/>
  <c r="BG123" i="43"/>
  <c r="BF123" i="43"/>
  <c r="T123" i="43"/>
  <c r="R123" i="43"/>
  <c r="P123" i="43"/>
  <c r="BI122" i="43"/>
  <c r="BH122" i="43"/>
  <c r="BG122" i="43"/>
  <c r="BF122" i="43"/>
  <c r="T122" i="43"/>
  <c r="R122" i="43"/>
  <c r="P122" i="43"/>
  <c r="BI119" i="43"/>
  <c r="BH119" i="43"/>
  <c r="BG119" i="43"/>
  <c r="BF119" i="43"/>
  <c r="T119" i="43"/>
  <c r="R119" i="43"/>
  <c r="P119" i="43"/>
  <c r="BI114" i="43"/>
  <c r="BH114" i="43"/>
  <c r="BG114" i="43"/>
  <c r="BF114" i="43"/>
  <c r="T114" i="43"/>
  <c r="R114" i="43"/>
  <c r="P114" i="43"/>
  <c r="BI112" i="43"/>
  <c r="BH112" i="43"/>
  <c r="BG112" i="43"/>
  <c r="BF112" i="43"/>
  <c r="T112" i="43"/>
  <c r="R112" i="43"/>
  <c r="P112" i="43"/>
  <c r="BI110" i="43"/>
  <c r="BH110" i="43"/>
  <c r="BG110" i="43"/>
  <c r="BF110" i="43"/>
  <c r="T110" i="43"/>
  <c r="R110" i="43"/>
  <c r="P110" i="43"/>
  <c r="BI108" i="43"/>
  <c r="BH108" i="43"/>
  <c r="BG108" i="43"/>
  <c r="BF108" i="43"/>
  <c r="T108" i="43"/>
  <c r="R108" i="43"/>
  <c r="P108" i="43"/>
  <c r="BI107" i="43"/>
  <c r="BH107" i="43"/>
  <c r="BG107" i="43"/>
  <c r="BF107" i="43"/>
  <c r="T107" i="43"/>
  <c r="R107" i="43"/>
  <c r="P107" i="43"/>
  <c r="BI104" i="43"/>
  <c r="BH104" i="43"/>
  <c r="BG104" i="43"/>
  <c r="BF104" i="43"/>
  <c r="T104" i="43"/>
  <c r="R104" i="43"/>
  <c r="P104" i="43"/>
  <c r="BI103" i="43"/>
  <c r="BH103" i="43"/>
  <c r="BG103" i="43"/>
  <c r="BF103" i="43"/>
  <c r="T103" i="43"/>
  <c r="R103" i="43"/>
  <c r="P103" i="43"/>
  <c r="BI102" i="43"/>
  <c r="BH102" i="43"/>
  <c r="BG102" i="43"/>
  <c r="BF102" i="43"/>
  <c r="T102" i="43"/>
  <c r="R102" i="43"/>
  <c r="P102" i="43"/>
  <c r="BI100" i="43"/>
  <c r="BH100" i="43"/>
  <c r="BG100" i="43"/>
  <c r="BF100" i="43"/>
  <c r="T100" i="43"/>
  <c r="R100" i="43"/>
  <c r="P100" i="43"/>
  <c r="BI99" i="43"/>
  <c r="BH99" i="43"/>
  <c r="BG99" i="43"/>
  <c r="BF99" i="43"/>
  <c r="T99" i="43"/>
  <c r="R99" i="43"/>
  <c r="P99" i="43"/>
  <c r="J93" i="43"/>
  <c r="J92" i="43"/>
  <c r="F92" i="43"/>
  <c r="F90" i="43"/>
  <c r="E88" i="43"/>
  <c r="J63" i="43"/>
  <c r="J62" i="43"/>
  <c r="F62" i="43"/>
  <c r="F60" i="43"/>
  <c r="E58" i="43"/>
  <c r="J22" i="43"/>
  <c r="E22" i="43"/>
  <c r="F93" i="43"/>
  <c r="J21" i="43"/>
  <c r="J16" i="43"/>
  <c r="J90" i="43"/>
  <c r="E7" i="43"/>
  <c r="E52" i="43"/>
  <c r="J41" i="42"/>
  <c r="J40" i="42"/>
  <c r="AY98" i="1"/>
  <c r="J39" i="42"/>
  <c r="AX98" i="1"/>
  <c r="BI136" i="42"/>
  <c r="BH136" i="42"/>
  <c r="BG136" i="42"/>
  <c r="BF136" i="42"/>
  <c r="T136" i="42"/>
  <c r="T135" i="42"/>
  <c r="R136" i="42"/>
  <c r="R135" i="42"/>
  <c r="P136" i="42"/>
  <c r="P135" i="42" s="1"/>
  <c r="BI134" i="42"/>
  <c r="BH134" i="42"/>
  <c r="BG134" i="42"/>
  <c r="BF134" i="42"/>
  <c r="T134" i="42"/>
  <c r="R134" i="42"/>
  <c r="P134" i="42"/>
  <c r="BI132" i="42"/>
  <c r="BH132" i="42"/>
  <c r="BG132" i="42"/>
  <c r="BF132" i="42"/>
  <c r="T132" i="42"/>
  <c r="R132" i="42"/>
  <c r="P132" i="42"/>
  <c r="BI129" i="42"/>
  <c r="BH129" i="42"/>
  <c r="BG129" i="42"/>
  <c r="BF129" i="42"/>
  <c r="T129" i="42"/>
  <c r="R129" i="42"/>
  <c r="P129" i="42"/>
  <c r="BI127" i="42"/>
  <c r="BH127" i="42"/>
  <c r="BG127" i="42"/>
  <c r="BF127" i="42"/>
  <c r="T127" i="42"/>
  <c r="R127" i="42"/>
  <c r="P127" i="42"/>
  <c r="BI126" i="42"/>
  <c r="BH126" i="42"/>
  <c r="BG126" i="42"/>
  <c r="BF126" i="42"/>
  <c r="T126" i="42"/>
  <c r="R126" i="42"/>
  <c r="P126" i="42"/>
  <c r="BI123" i="42"/>
  <c r="BH123" i="42"/>
  <c r="BG123" i="42"/>
  <c r="BF123" i="42"/>
  <c r="T123" i="42"/>
  <c r="T122" i="42"/>
  <c r="R123" i="42"/>
  <c r="R122" i="42" s="1"/>
  <c r="P123" i="42"/>
  <c r="P122" i="42" s="1"/>
  <c r="BI120" i="42"/>
  <c r="BH120" i="42"/>
  <c r="BG120" i="42"/>
  <c r="BF120" i="42"/>
  <c r="T120" i="42"/>
  <c r="R120" i="42"/>
  <c r="P120" i="42"/>
  <c r="BI115" i="42"/>
  <c r="BH115" i="42"/>
  <c r="BG115" i="42"/>
  <c r="BF115" i="42"/>
  <c r="T115" i="42"/>
  <c r="R115" i="42"/>
  <c r="P115" i="42"/>
  <c r="BI113" i="42"/>
  <c r="BH113" i="42"/>
  <c r="BG113" i="42"/>
  <c r="BF113" i="42"/>
  <c r="T113" i="42"/>
  <c r="R113" i="42"/>
  <c r="P113" i="42"/>
  <c r="BI111" i="42"/>
  <c r="BH111" i="42"/>
  <c r="BG111" i="42"/>
  <c r="BF111" i="42"/>
  <c r="T111" i="42"/>
  <c r="R111" i="42"/>
  <c r="P111" i="42"/>
  <c r="BI109" i="42"/>
  <c r="BH109" i="42"/>
  <c r="BG109" i="42"/>
  <c r="BF109" i="42"/>
  <c r="T109" i="42"/>
  <c r="R109" i="42"/>
  <c r="P109" i="42"/>
  <c r="BI108" i="42"/>
  <c r="BH108" i="42"/>
  <c r="BG108" i="42"/>
  <c r="BF108" i="42"/>
  <c r="T108" i="42"/>
  <c r="R108" i="42"/>
  <c r="P108" i="42"/>
  <c r="BI105" i="42"/>
  <c r="BH105" i="42"/>
  <c r="BG105" i="42"/>
  <c r="BF105" i="42"/>
  <c r="T105" i="42"/>
  <c r="R105" i="42"/>
  <c r="P105" i="42"/>
  <c r="BI104" i="42"/>
  <c r="BH104" i="42"/>
  <c r="BG104" i="42"/>
  <c r="BF104" i="42"/>
  <c r="T104" i="42"/>
  <c r="R104" i="42"/>
  <c r="P104" i="42"/>
  <c r="BI103" i="42"/>
  <c r="BH103" i="42"/>
  <c r="BG103" i="42"/>
  <c r="BF103" i="42"/>
  <c r="T103" i="42"/>
  <c r="R103" i="42"/>
  <c r="P103" i="42"/>
  <c r="BI101" i="42"/>
  <c r="BH101" i="42"/>
  <c r="BG101" i="42"/>
  <c r="BF101" i="42"/>
  <c r="T101" i="42"/>
  <c r="R101" i="42"/>
  <c r="P101" i="42"/>
  <c r="BI100" i="42"/>
  <c r="BH100" i="42"/>
  <c r="BG100" i="42"/>
  <c r="BF100" i="42"/>
  <c r="T100" i="42"/>
  <c r="R100" i="42"/>
  <c r="P100" i="42"/>
  <c r="J94" i="42"/>
  <c r="J93" i="42"/>
  <c r="F93" i="42"/>
  <c r="F91" i="42"/>
  <c r="E89" i="42"/>
  <c r="J63" i="42"/>
  <c r="J62" i="42"/>
  <c r="F62" i="42"/>
  <c r="F60" i="42"/>
  <c r="E58" i="42"/>
  <c r="J22" i="42"/>
  <c r="E22" i="42"/>
  <c r="F94" i="42"/>
  <c r="J21" i="42"/>
  <c r="J16" i="42"/>
  <c r="J60" i="42" s="1"/>
  <c r="E7" i="42"/>
  <c r="E83" i="42"/>
  <c r="J41" i="41"/>
  <c r="J40" i="41"/>
  <c r="AY97" i="1"/>
  <c r="J39" i="41"/>
  <c r="AX97" i="1"/>
  <c r="BI138" i="41"/>
  <c r="BH138" i="41"/>
  <c r="BG138" i="41"/>
  <c r="BF138" i="41"/>
  <c r="T138" i="41"/>
  <c r="T137" i="41"/>
  <c r="R138" i="41"/>
  <c r="R137" i="41"/>
  <c r="P138" i="41"/>
  <c r="P137" i="41"/>
  <c r="BI136" i="41"/>
  <c r="BH136" i="41"/>
  <c r="BG136" i="41"/>
  <c r="BF136" i="41"/>
  <c r="T136" i="41"/>
  <c r="R136" i="41"/>
  <c r="P136" i="41"/>
  <c r="BI134" i="41"/>
  <c r="BH134" i="41"/>
  <c r="BG134" i="41"/>
  <c r="BF134" i="41"/>
  <c r="T134" i="41"/>
  <c r="R134" i="41"/>
  <c r="P134" i="41"/>
  <c r="BI131" i="41"/>
  <c r="BH131" i="41"/>
  <c r="BG131" i="41"/>
  <c r="BF131" i="41"/>
  <c r="T131" i="41"/>
  <c r="R131" i="41"/>
  <c r="P131" i="41"/>
  <c r="BI129" i="41"/>
  <c r="BH129" i="41"/>
  <c r="BG129" i="41"/>
  <c r="BF129" i="41"/>
  <c r="T129" i="41"/>
  <c r="R129" i="41"/>
  <c r="P129" i="41"/>
  <c r="BI128" i="41"/>
  <c r="BH128" i="41"/>
  <c r="BG128" i="41"/>
  <c r="BF128" i="41"/>
  <c r="T128" i="41"/>
  <c r="R128" i="41"/>
  <c r="P128" i="41"/>
  <c r="BI125" i="41"/>
  <c r="BH125" i="41"/>
  <c r="BG125" i="41"/>
  <c r="BF125" i="41"/>
  <c r="T125" i="41"/>
  <c r="T124" i="41"/>
  <c r="R125" i="41"/>
  <c r="R124" i="41" s="1"/>
  <c r="P125" i="41"/>
  <c r="P124" i="41" s="1"/>
  <c r="BI122" i="41"/>
  <c r="BH122" i="41"/>
  <c r="BG122" i="41"/>
  <c r="BF122" i="41"/>
  <c r="T122" i="41"/>
  <c r="R122" i="41"/>
  <c r="P122" i="41"/>
  <c r="BI117" i="41"/>
  <c r="BH117" i="41"/>
  <c r="BG117" i="41"/>
  <c r="BF117" i="41"/>
  <c r="T117" i="41"/>
  <c r="R117" i="41"/>
  <c r="P117" i="41"/>
  <c r="BI115" i="41"/>
  <c r="BH115" i="41"/>
  <c r="BG115" i="41"/>
  <c r="BF115" i="41"/>
  <c r="T115" i="41"/>
  <c r="R115" i="41"/>
  <c r="P115" i="41"/>
  <c r="BI113" i="41"/>
  <c r="BH113" i="41"/>
  <c r="BG113" i="41"/>
  <c r="BF113" i="41"/>
  <c r="T113" i="41"/>
  <c r="R113" i="41"/>
  <c r="P113" i="41"/>
  <c r="BI111" i="41"/>
  <c r="BH111" i="41"/>
  <c r="BG111" i="41"/>
  <c r="BF111" i="41"/>
  <c r="T111" i="41"/>
  <c r="R111" i="41"/>
  <c r="P111" i="41"/>
  <c r="BI110" i="41"/>
  <c r="BH110" i="41"/>
  <c r="BG110" i="41"/>
  <c r="BF110" i="41"/>
  <c r="T110" i="41"/>
  <c r="R110" i="41"/>
  <c r="P110" i="41"/>
  <c r="BI107" i="41"/>
  <c r="BH107" i="41"/>
  <c r="BG107" i="41"/>
  <c r="BF107" i="41"/>
  <c r="T107" i="41"/>
  <c r="R107" i="41"/>
  <c r="P107" i="41"/>
  <c r="BI106" i="41"/>
  <c r="BH106" i="41"/>
  <c r="BG106" i="41"/>
  <c r="BF106" i="41"/>
  <c r="T106" i="41"/>
  <c r="R106" i="41"/>
  <c r="P106" i="41"/>
  <c r="BI105" i="41"/>
  <c r="BH105" i="41"/>
  <c r="BG105" i="41"/>
  <c r="BF105" i="41"/>
  <c r="T105" i="41"/>
  <c r="R105" i="41"/>
  <c r="P105" i="41"/>
  <c r="BI103" i="41"/>
  <c r="BH103" i="41"/>
  <c r="BG103" i="41"/>
  <c r="BF103" i="41"/>
  <c r="T103" i="41"/>
  <c r="R103" i="41"/>
  <c r="P103" i="41"/>
  <c r="BI101" i="41"/>
  <c r="BH101" i="41"/>
  <c r="BG101" i="41"/>
  <c r="BF101" i="41"/>
  <c r="T101" i="41"/>
  <c r="R101" i="41"/>
  <c r="P101" i="41"/>
  <c r="BI100" i="41"/>
  <c r="BH100" i="41"/>
  <c r="BG100" i="41"/>
  <c r="BF100" i="41"/>
  <c r="T100" i="41"/>
  <c r="R100" i="41"/>
  <c r="P100" i="41"/>
  <c r="J94" i="41"/>
  <c r="J93" i="41"/>
  <c r="F93" i="41"/>
  <c r="F91" i="41"/>
  <c r="E89" i="41"/>
  <c r="J63" i="41"/>
  <c r="J62" i="41"/>
  <c r="F62" i="41"/>
  <c r="F60" i="41"/>
  <c r="E58" i="41"/>
  <c r="J22" i="41"/>
  <c r="E22" i="41"/>
  <c r="F63" i="41"/>
  <c r="J21" i="41"/>
  <c r="J16" i="41"/>
  <c r="J91" i="41"/>
  <c r="E7" i="41"/>
  <c r="E83" i="41" s="1"/>
  <c r="J41" i="40"/>
  <c r="J40" i="40"/>
  <c r="AY96" i="1"/>
  <c r="J39" i="40"/>
  <c r="AX96" i="1"/>
  <c r="BI136" i="40"/>
  <c r="BH136" i="40"/>
  <c r="BG136" i="40"/>
  <c r="BF136" i="40"/>
  <c r="T136" i="40"/>
  <c r="T135" i="40"/>
  <c r="R136" i="40"/>
  <c r="R135" i="40"/>
  <c r="P136" i="40"/>
  <c r="P135" i="40" s="1"/>
  <c r="BI134" i="40"/>
  <c r="BH134" i="40"/>
  <c r="BG134" i="40"/>
  <c r="BF134" i="40"/>
  <c r="T134" i="40"/>
  <c r="R134" i="40"/>
  <c r="P134" i="40"/>
  <c r="BI132" i="40"/>
  <c r="BH132" i="40"/>
  <c r="BG132" i="40"/>
  <c r="BF132" i="40"/>
  <c r="T132" i="40"/>
  <c r="R132" i="40"/>
  <c r="P132" i="40"/>
  <c r="BI129" i="40"/>
  <c r="BH129" i="40"/>
  <c r="BG129" i="40"/>
  <c r="BF129" i="40"/>
  <c r="T129" i="40"/>
  <c r="R129" i="40"/>
  <c r="P129" i="40"/>
  <c r="BI127" i="40"/>
  <c r="BH127" i="40"/>
  <c r="BG127" i="40"/>
  <c r="BF127" i="40"/>
  <c r="T127" i="40"/>
  <c r="R127" i="40"/>
  <c r="P127" i="40"/>
  <c r="BI126" i="40"/>
  <c r="BH126" i="40"/>
  <c r="BG126" i="40"/>
  <c r="BF126" i="40"/>
  <c r="T126" i="40"/>
  <c r="R126" i="40"/>
  <c r="P126" i="40"/>
  <c r="BI123" i="40"/>
  <c r="BH123" i="40"/>
  <c r="BG123" i="40"/>
  <c r="BF123" i="40"/>
  <c r="T123" i="40"/>
  <c r="T122" i="40" s="1"/>
  <c r="R123" i="40"/>
  <c r="R122" i="40" s="1"/>
  <c r="P123" i="40"/>
  <c r="P122" i="40" s="1"/>
  <c r="BI120" i="40"/>
  <c r="BH120" i="40"/>
  <c r="BG120" i="40"/>
  <c r="BF120" i="40"/>
  <c r="T120" i="40"/>
  <c r="R120" i="40"/>
  <c r="P120" i="40"/>
  <c r="BI115" i="40"/>
  <c r="BH115" i="40"/>
  <c r="BG115" i="40"/>
  <c r="BF115" i="40"/>
  <c r="T115" i="40"/>
  <c r="R115" i="40"/>
  <c r="P115" i="40"/>
  <c r="BI113" i="40"/>
  <c r="BH113" i="40"/>
  <c r="BG113" i="40"/>
  <c r="BF113" i="40"/>
  <c r="T113" i="40"/>
  <c r="R113" i="40"/>
  <c r="P113" i="40"/>
  <c r="BI111" i="40"/>
  <c r="BH111" i="40"/>
  <c r="BG111" i="40"/>
  <c r="BF111" i="40"/>
  <c r="T111" i="40"/>
  <c r="R111" i="40"/>
  <c r="P111" i="40"/>
  <c r="BI109" i="40"/>
  <c r="BH109" i="40"/>
  <c r="BG109" i="40"/>
  <c r="BF109" i="40"/>
  <c r="T109" i="40"/>
  <c r="R109" i="40"/>
  <c r="P109" i="40"/>
  <c r="BI108" i="40"/>
  <c r="BH108" i="40"/>
  <c r="BG108" i="40"/>
  <c r="BF108" i="40"/>
  <c r="T108" i="40"/>
  <c r="R108" i="40"/>
  <c r="P108" i="40"/>
  <c r="BI105" i="40"/>
  <c r="BH105" i="40"/>
  <c r="BG105" i="40"/>
  <c r="BF105" i="40"/>
  <c r="T105" i="40"/>
  <c r="R105" i="40"/>
  <c r="P105" i="40"/>
  <c r="BI104" i="40"/>
  <c r="BH104" i="40"/>
  <c r="BG104" i="40"/>
  <c r="BF104" i="40"/>
  <c r="T104" i="40"/>
  <c r="R104" i="40"/>
  <c r="P104" i="40"/>
  <c r="BI103" i="40"/>
  <c r="BH103" i="40"/>
  <c r="BG103" i="40"/>
  <c r="BF103" i="40"/>
  <c r="T103" i="40"/>
  <c r="R103" i="40"/>
  <c r="P103" i="40"/>
  <c r="BI101" i="40"/>
  <c r="BH101" i="40"/>
  <c r="BG101" i="40"/>
  <c r="BF101" i="40"/>
  <c r="T101" i="40"/>
  <c r="R101" i="40"/>
  <c r="P101" i="40"/>
  <c r="BI100" i="40"/>
  <c r="BH100" i="40"/>
  <c r="BG100" i="40"/>
  <c r="BF100" i="40"/>
  <c r="T100" i="40"/>
  <c r="R100" i="40"/>
  <c r="P100" i="40"/>
  <c r="J94" i="40"/>
  <c r="J93" i="40"/>
  <c r="F93" i="40"/>
  <c r="F91" i="40"/>
  <c r="E89" i="40"/>
  <c r="J63" i="40"/>
  <c r="J62" i="40"/>
  <c r="F62" i="40"/>
  <c r="F60" i="40"/>
  <c r="E58" i="40"/>
  <c r="J22" i="40"/>
  <c r="E22" i="40"/>
  <c r="F63" i="40"/>
  <c r="J21" i="40"/>
  <c r="J16" i="40"/>
  <c r="J91" i="40"/>
  <c r="E7" i="40"/>
  <c r="E83" i="40"/>
  <c r="J41" i="39"/>
  <c r="J40" i="39"/>
  <c r="AY95" i="1"/>
  <c r="J39" i="39"/>
  <c r="AX95" i="1"/>
  <c r="BI134" i="39"/>
  <c r="BH134" i="39"/>
  <c r="BG134" i="39"/>
  <c r="BF134" i="39"/>
  <c r="T134" i="39"/>
  <c r="T133" i="39"/>
  <c r="R134" i="39"/>
  <c r="R133" i="39"/>
  <c r="P134" i="39"/>
  <c r="P133" i="39" s="1"/>
  <c r="BI132" i="39"/>
  <c r="BH132" i="39"/>
  <c r="BG132" i="39"/>
  <c r="BF132" i="39"/>
  <c r="T132" i="39"/>
  <c r="R132" i="39"/>
  <c r="P132" i="39"/>
  <c r="BI130" i="39"/>
  <c r="BH130" i="39"/>
  <c r="BG130" i="39"/>
  <c r="BF130" i="39"/>
  <c r="T130" i="39"/>
  <c r="R130" i="39"/>
  <c r="P130" i="39"/>
  <c r="BI127" i="39"/>
  <c r="BH127" i="39"/>
  <c r="BG127" i="39"/>
  <c r="BF127" i="39"/>
  <c r="T127" i="39"/>
  <c r="R127" i="39"/>
  <c r="P127" i="39"/>
  <c r="BI125" i="39"/>
  <c r="BH125" i="39"/>
  <c r="BG125" i="39"/>
  <c r="BF125" i="39"/>
  <c r="T125" i="39"/>
  <c r="R125" i="39"/>
  <c r="P125" i="39"/>
  <c r="BI124" i="39"/>
  <c r="BH124" i="39"/>
  <c r="BG124" i="39"/>
  <c r="BF124" i="39"/>
  <c r="T124" i="39"/>
  <c r="R124" i="39"/>
  <c r="P124" i="39"/>
  <c r="BI121" i="39"/>
  <c r="BH121" i="39"/>
  <c r="BG121" i="39"/>
  <c r="BF121" i="39"/>
  <c r="T121" i="39"/>
  <c r="R121" i="39"/>
  <c r="P121" i="39"/>
  <c r="BI114" i="39"/>
  <c r="BH114" i="39"/>
  <c r="BG114" i="39"/>
  <c r="BF114" i="39"/>
  <c r="T114" i="39"/>
  <c r="R114" i="39"/>
  <c r="P114" i="39"/>
  <c r="BI112" i="39"/>
  <c r="BH112" i="39"/>
  <c r="BG112" i="39"/>
  <c r="BF112" i="39"/>
  <c r="T112" i="39"/>
  <c r="R112" i="39"/>
  <c r="P112" i="39"/>
  <c r="BI110" i="39"/>
  <c r="BH110" i="39"/>
  <c r="BG110" i="39"/>
  <c r="BF110" i="39"/>
  <c r="T110" i="39"/>
  <c r="R110" i="39"/>
  <c r="P110" i="39"/>
  <c r="BI108" i="39"/>
  <c r="BH108" i="39"/>
  <c r="BG108" i="39"/>
  <c r="BF108" i="39"/>
  <c r="T108" i="39"/>
  <c r="R108" i="39"/>
  <c r="P108" i="39"/>
  <c r="BI107" i="39"/>
  <c r="BH107" i="39"/>
  <c r="BG107" i="39"/>
  <c r="BF107" i="39"/>
  <c r="T107" i="39"/>
  <c r="R107" i="39"/>
  <c r="P107" i="39"/>
  <c r="BI104" i="39"/>
  <c r="BH104" i="39"/>
  <c r="BG104" i="39"/>
  <c r="BF104" i="39"/>
  <c r="T104" i="39"/>
  <c r="R104" i="39"/>
  <c r="P104" i="39"/>
  <c r="BI103" i="39"/>
  <c r="BH103" i="39"/>
  <c r="BG103" i="39"/>
  <c r="BF103" i="39"/>
  <c r="T103" i="39"/>
  <c r="R103" i="39"/>
  <c r="P103" i="39"/>
  <c r="BI102" i="39"/>
  <c r="BH102" i="39"/>
  <c r="BG102" i="39"/>
  <c r="BF102" i="39"/>
  <c r="T102" i="39"/>
  <c r="R102" i="39"/>
  <c r="P102" i="39"/>
  <c r="BI100" i="39"/>
  <c r="BH100" i="39"/>
  <c r="BG100" i="39"/>
  <c r="BF100" i="39"/>
  <c r="T100" i="39"/>
  <c r="R100" i="39"/>
  <c r="P100" i="39"/>
  <c r="BI99" i="39"/>
  <c r="BH99" i="39"/>
  <c r="BG99" i="39"/>
  <c r="BF99" i="39"/>
  <c r="T99" i="39"/>
  <c r="R99" i="39"/>
  <c r="P99" i="39"/>
  <c r="J93" i="39"/>
  <c r="J92" i="39"/>
  <c r="F92" i="39"/>
  <c r="F90" i="39"/>
  <c r="E88" i="39"/>
  <c r="J63" i="39"/>
  <c r="J62" i="39"/>
  <c r="F62" i="39"/>
  <c r="F60" i="39"/>
  <c r="E58" i="39"/>
  <c r="J22" i="39"/>
  <c r="E22" i="39"/>
  <c r="F63" i="39" s="1"/>
  <c r="J21" i="39"/>
  <c r="J16" i="39"/>
  <c r="J90" i="39" s="1"/>
  <c r="E7" i="39"/>
  <c r="E52" i="39" s="1"/>
  <c r="J41" i="38"/>
  <c r="J40" i="38"/>
  <c r="AY94" i="1" s="1"/>
  <c r="J39" i="38"/>
  <c r="AX94" i="1"/>
  <c r="BI134" i="38"/>
  <c r="BH134" i="38"/>
  <c r="BG134" i="38"/>
  <c r="BF134" i="38"/>
  <c r="T134" i="38"/>
  <c r="T133" i="38" s="1"/>
  <c r="R134" i="38"/>
  <c r="R133" i="38"/>
  <c r="P134" i="38"/>
  <c r="P133" i="38"/>
  <c r="BI132" i="38"/>
  <c r="BH132" i="38"/>
  <c r="BG132" i="38"/>
  <c r="BF132" i="38"/>
  <c r="T132" i="38"/>
  <c r="R132" i="38"/>
  <c r="P132" i="38"/>
  <c r="BI130" i="38"/>
  <c r="BH130" i="38"/>
  <c r="BG130" i="38"/>
  <c r="BF130" i="38"/>
  <c r="T130" i="38"/>
  <c r="R130" i="38"/>
  <c r="P130" i="38"/>
  <c r="BI127" i="38"/>
  <c r="BH127" i="38"/>
  <c r="BG127" i="38"/>
  <c r="BF127" i="38"/>
  <c r="T127" i="38"/>
  <c r="R127" i="38"/>
  <c r="P127" i="38"/>
  <c r="BI125" i="38"/>
  <c r="BH125" i="38"/>
  <c r="BG125" i="38"/>
  <c r="BF125" i="38"/>
  <c r="T125" i="38"/>
  <c r="R125" i="38"/>
  <c r="P125" i="38"/>
  <c r="BI124" i="38"/>
  <c r="BH124" i="38"/>
  <c r="BG124" i="38"/>
  <c r="BF124" i="38"/>
  <c r="T124" i="38"/>
  <c r="R124" i="38"/>
  <c r="P124" i="38"/>
  <c r="BI121" i="38"/>
  <c r="BH121" i="38"/>
  <c r="BG121" i="38"/>
  <c r="BF121" i="38"/>
  <c r="T121" i="38"/>
  <c r="R121" i="38"/>
  <c r="P121" i="38"/>
  <c r="BI114" i="38"/>
  <c r="BH114" i="38"/>
  <c r="BG114" i="38"/>
  <c r="BF114" i="38"/>
  <c r="T114" i="38"/>
  <c r="R114" i="38"/>
  <c r="P114" i="38"/>
  <c r="BI112" i="38"/>
  <c r="BH112" i="38"/>
  <c r="BG112" i="38"/>
  <c r="BF112" i="38"/>
  <c r="T112" i="38"/>
  <c r="R112" i="38"/>
  <c r="P112" i="38"/>
  <c r="BI110" i="38"/>
  <c r="BH110" i="38"/>
  <c r="BG110" i="38"/>
  <c r="BF110" i="38"/>
  <c r="T110" i="38"/>
  <c r="R110" i="38"/>
  <c r="P110" i="38"/>
  <c r="BI108" i="38"/>
  <c r="BH108" i="38"/>
  <c r="BG108" i="38"/>
  <c r="BF108" i="38"/>
  <c r="T108" i="38"/>
  <c r="R108" i="38"/>
  <c r="P108" i="38"/>
  <c r="BI107" i="38"/>
  <c r="BH107" i="38"/>
  <c r="BG107" i="38"/>
  <c r="BF107" i="38"/>
  <c r="T107" i="38"/>
  <c r="R107" i="38"/>
  <c r="P107" i="38"/>
  <c r="BI104" i="38"/>
  <c r="BH104" i="38"/>
  <c r="BG104" i="38"/>
  <c r="BF104" i="38"/>
  <c r="T104" i="38"/>
  <c r="R104" i="38"/>
  <c r="P104" i="38"/>
  <c r="BI103" i="38"/>
  <c r="BH103" i="38"/>
  <c r="BG103" i="38"/>
  <c r="BF103" i="38"/>
  <c r="T103" i="38"/>
  <c r="R103" i="38"/>
  <c r="P103" i="38"/>
  <c r="BI102" i="38"/>
  <c r="BH102" i="38"/>
  <c r="BG102" i="38"/>
  <c r="BF102" i="38"/>
  <c r="T102" i="38"/>
  <c r="R102" i="38"/>
  <c r="P102" i="38"/>
  <c r="BI100" i="38"/>
  <c r="BH100" i="38"/>
  <c r="BG100" i="38"/>
  <c r="BF100" i="38"/>
  <c r="T100" i="38"/>
  <c r="R100" i="38"/>
  <c r="P100" i="38"/>
  <c r="BI99" i="38"/>
  <c r="BH99" i="38"/>
  <c r="BG99" i="38"/>
  <c r="BF99" i="38"/>
  <c r="T99" i="38"/>
  <c r="R99" i="38"/>
  <c r="P99" i="38"/>
  <c r="J93" i="38"/>
  <c r="J92" i="38"/>
  <c r="F92" i="38"/>
  <c r="F90" i="38"/>
  <c r="E88" i="38"/>
  <c r="J63" i="38"/>
  <c r="J62" i="38"/>
  <c r="F62" i="38"/>
  <c r="F60" i="38"/>
  <c r="E58" i="38"/>
  <c r="J22" i="38"/>
  <c r="E22" i="38"/>
  <c r="F63" i="38"/>
  <c r="J21" i="38"/>
  <c r="J16" i="38"/>
  <c r="J60" i="38"/>
  <c r="E7" i="38"/>
  <c r="E52" i="38" s="1"/>
  <c r="J41" i="37"/>
  <c r="J40" i="37"/>
  <c r="AY93" i="1"/>
  <c r="J39" i="37"/>
  <c r="AX93" i="1" s="1"/>
  <c r="BI138" i="37"/>
  <c r="BH138" i="37"/>
  <c r="BG138" i="37"/>
  <c r="BF138" i="37"/>
  <c r="T138" i="37"/>
  <c r="T137" i="37"/>
  <c r="R138" i="37"/>
  <c r="R137" i="37" s="1"/>
  <c r="P138" i="37"/>
  <c r="P137" i="37" s="1"/>
  <c r="BI136" i="37"/>
  <c r="BH136" i="37"/>
  <c r="BG136" i="37"/>
  <c r="BF136" i="37"/>
  <c r="T136" i="37"/>
  <c r="R136" i="37"/>
  <c r="P136" i="37"/>
  <c r="BI134" i="37"/>
  <c r="BH134" i="37"/>
  <c r="BG134" i="37"/>
  <c r="BF134" i="37"/>
  <c r="T134" i="37"/>
  <c r="R134" i="37"/>
  <c r="P134" i="37"/>
  <c r="BI131" i="37"/>
  <c r="BH131" i="37"/>
  <c r="BG131" i="37"/>
  <c r="BF131" i="37"/>
  <c r="T131" i="37"/>
  <c r="R131" i="37"/>
  <c r="P131" i="37"/>
  <c r="BI129" i="37"/>
  <c r="BH129" i="37"/>
  <c r="BG129" i="37"/>
  <c r="BF129" i="37"/>
  <c r="T129" i="37"/>
  <c r="R129" i="37"/>
  <c r="P129" i="37"/>
  <c r="BI128" i="37"/>
  <c r="BH128" i="37"/>
  <c r="BG128" i="37"/>
  <c r="BF128" i="37"/>
  <c r="T128" i="37"/>
  <c r="R128" i="37"/>
  <c r="P128" i="37"/>
  <c r="BI125" i="37"/>
  <c r="BH125" i="37"/>
  <c r="BG125" i="37"/>
  <c r="BF125" i="37"/>
  <c r="T125" i="37"/>
  <c r="R125" i="37"/>
  <c r="P125" i="37"/>
  <c r="BI116" i="37"/>
  <c r="BH116" i="37"/>
  <c r="BG116" i="37"/>
  <c r="BF116" i="37"/>
  <c r="T116" i="37"/>
  <c r="R116" i="37"/>
  <c r="P116" i="37"/>
  <c r="BI114" i="37"/>
  <c r="BH114" i="37"/>
  <c r="BG114" i="37"/>
  <c r="BF114" i="37"/>
  <c r="T114" i="37"/>
  <c r="R114" i="37"/>
  <c r="P114" i="37"/>
  <c r="BI112" i="37"/>
  <c r="BH112" i="37"/>
  <c r="BG112" i="37"/>
  <c r="BF112" i="37"/>
  <c r="T112" i="37"/>
  <c r="R112" i="37"/>
  <c r="P112" i="37"/>
  <c r="BI110" i="37"/>
  <c r="BH110" i="37"/>
  <c r="BG110" i="37"/>
  <c r="BF110" i="37"/>
  <c r="T110" i="37"/>
  <c r="R110" i="37"/>
  <c r="P110" i="37"/>
  <c r="BI109" i="37"/>
  <c r="BH109" i="37"/>
  <c r="BG109" i="37"/>
  <c r="BF109" i="37"/>
  <c r="T109" i="37"/>
  <c r="R109" i="37"/>
  <c r="P109" i="37"/>
  <c r="BI106" i="37"/>
  <c r="BH106" i="37"/>
  <c r="BG106" i="37"/>
  <c r="BF106" i="37"/>
  <c r="T106" i="37"/>
  <c r="R106" i="37"/>
  <c r="P106" i="37"/>
  <c r="BI105" i="37"/>
  <c r="BH105" i="37"/>
  <c r="BG105" i="37"/>
  <c r="BF105" i="37"/>
  <c r="T105" i="37"/>
  <c r="R105" i="37"/>
  <c r="P105" i="37"/>
  <c r="BI104" i="37"/>
  <c r="BH104" i="37"/>
  <c r="BG104" i="37"/>
  <c r="BF104" i="37"/>
  <c r="T104" i="37"/>
  <c r="R104" i="37"/>
  <c r="P104" i="37"/>
  <c r="BI102" i="37"/>
  <c r="BH102" i="37"/>
  <c r="BG102" i="37"/>
  <c r="BF102" i="37"/>
  <c r="T102" i="37"/>
  <c r="R102" i="37"/>
  <c r="P102" i="37"/>
  <c r="BI100" i="37"/>
  <c r="BH100" i="37"/>
  <c r="BG100" i="37"/>
  <c r="BF100" i="37"/>
  <c r="T100" i="37"/>
  <c r="R100" i="37"/>
  <c r="P100" i="37"/>
  <c r="BI99" i="37"/>
  <c r="BH99" i="37"/>
  <c r="BG99" i="37"/>
  <c r="BF99" i="37"/>
  <c r="T99" i="37"/>
  <c r="R99" i="37"/>
  <c r="P99" i="37"/>
  <c r="J93" i="37"/>
  <c r="J92" i="37"/>
  <c r="F92" i="37"/>
  <c r="F90" i="37"/>
  <c r="E88" i="37"/>
  <c r="J63" i="37"/>
  <c r="J62" i="37"/>
  <c r="F62" i="37"/>
  <c r="F60" i="37"/>
  <c r="E58" i="37"/>
  <c r="J22" i="37"/>
  <c r="E22" i="37"/>
  <c r="F93" i="37" s="1"/>
  <c r="J21" i="37"/>
  <c r="J16" i="37"/>
  <c r="J90" i="37"/>
  <c r="E7" i="37"/>
  <c r="E82" i="37" s="1"/>
  <c r="J41" i="36"/>
  <c r="J40" i="36"/>
  <c r="AY92" i="1"/>
  <c r="J39" i="36"/>
  <c r="AX92" i="1" s="1"/>
  <c r="BI126" i="36"/>
  <c r="BH126" i="36"/>
  <c r="BG126" i="36"/>
  <c r="BF126" i="36"/>
  <c r="T126" i="36"/>
  <c r="T125" i="36" s="1"/>
  <c r="R126" i="36"/>
  <c r="R125" i="36" s="1"/>
  <c r="P126" i="36"/>
  <c r="P125" i="36" s="1"/>
  <c r="BI124" i="36"/>
  <c r="BH124" i="36"/>
  <c r="BG124" i="36"/>
  <c r="BF124" i="36"/>
  <c r="T124" i="36"/>
  <c r="R124" i="36"/>
  <c r="P124" i="36"/>
  <c r="BI122" i="36"/>
  <c r="BH122" i="36"/>
  <c r="BG122" i="36"/>
  <c r="BF122" i="36"/>
  <c r="T122" i="36"/>
  <c r="R122" i="36"/>
  <c r="P122" i="36"/>
  <c r="BI119" i="36"/>
  <c r="BH119" i="36"/>
  <c r="BG119" i="36"/>
  <c r="BF119" i="36"/>
  <c r="T119" i="36"/>
  <c r="R119" i="36"/>
  <c r="P119" i="36"/>
  <c r="BI117" i="36"/>
  <c r="BH117" i="36"/>
  <c r="BG117" i="36"/>
  <c r="BF117" i="36"/>
  <c r="T117" i="36"/>
  <c r="R117" i="36"/>
  <c r="P117" i="36"/>
  <c r="BI116" i="36"/>
  <c r="BH116" i="36"/>
  <c r="BG116" i="36"/>
  <c r="BF116" i="36"/>
  <c r="T116" i="36"/>
  <c r="R116" i="36"/>
  <c r="P116" i="36"/>
  <c r="BI113" i="36"/>
  <c r="BH113" i="36"/>
  <c r="BG113" i="36"/>
  <c r="BF113" i="36"/>
  <c r="T113" i="36"/>
  <c r="T112" i="36"/>
  <c r="R113" i="36"/>
  <c r="R112" i="36" s="1"/>
  <c r="P113" i="36"/>
  <c r="P112" i="36"/>
  <c r="BI110" i="36"/>
  <c r="BH110" i="36"/>
  <c r="BG110" i="36"/>
  <c r="BF110" i="36"/>
  <c r="T110" i="36"/>
  <c r="R110" i="36"/>
  <c r="P110" i="36"/>
  <c r="BI105" i="36"/>
  <c r="BH105" i="36"/>
  <c r="BG105" i="36"/>
  <c r="BF105" i="36"/>
  <c r="T105" i="36"/>
  <c r="R105" i="36"/>
  <c r="P105" i="36"/>
  <c r="BI104" i="36"/>
  <c r="BH104" i="36"/>
  <c r="BG104" i="36"/>
  <c r="BF104" i="36"/>
  <c r="T104" i="36"/>
  <c r="R104" i="36"/>
  <c r="P104" i="36"/>
  <c r="BI103" i="36"/>
  <c r="BH103" i="36"/>
  <c r="BG103" i="36"/>
  <c r="BF103" i="36"/>
  <c r="T103" i="36"/>
  <c r="R103" i="36"/>
  <c r="P103" i="36"/>
  <c r="BI101" i="36"/>
  <c r="BH101" i="36"/>
  <c r="BG101" i="36"/>
  <c r="BF101" i="36"/>
  <c r="T101" i="36"/>
  <c r="R101" i="36"/>
  <c r="P101" i="36"/>
  <c r="BI100" i="36"/>
  <c r="BH100" i="36"/>
  <c r="BG100" i="36"/>
  <c r="BF100" i="36"/>
  <c r="T100" i="36"/>
  <c r="R100" i="36"/>
  <c r="P100" i="36"/>
  <c r="J94" i="36"/>
  <c r="J93" i="36"/>
  <c r="F93" i="36"/>
  <c r="F91" i="36"/>
  <c r="E89" i="36"/>
  <c r="J63" i="36"/>
  <c r="J62" i="36"/>
  <c r="F62" i="36"/>
  <c r="F60" i="36"/>
  <c r="E58" i="36"/>
  <c r="J22" i="36"/>
  <c r="E22" i="36"/>
  <c r="F63" i="36"/>
  <c r="J21" i="36"/>
  <c r="J16" i="36"/>
  <c r="J91" i="36"/>
  <c r="E7" i="36"/>
  <c r="E52" i="36" s="1"/>
  <c r="J41" i="35"/>
  <c r="J40" i="35"/>
  <c r="AY91" i="1"/>
  <c r="J39" i="35"/>
  <c r="AX91" i="1" s="1"/>
  <c r="BI126" i="35"/>
  <c r="BH126" i="35"/>
  <c r="BG126" i="35"/>
  <c r="BF126" i="35"/>
  <c r="T126" i="35"/>
  <c r="T125" i="35"/>
  <c r="R126" i="35"/>
  <c r="R125" i="35" s="1"/>
  <c r="P126" i="35"/>
  <c r="P125" i="35" s="1"/>
  <c r="BI124" i="35"/>
  <c r="BH124" i="35"/>
  <c r="BG124" i="35"/>
  <c r="BF124" i="35"/>
  <c r="T124" i="35"/>
  <c r="R124" i="35"/>
  <c r="P124" i="35"/>
  <c r="BI122" i="35"/>
  <c r="BH122" i="35"/>
  <c r="BG122" i="35"/>
  <c r="BF122" i="35"/>
  <c r="T122" i="35"/>
  <c r="R122" i="35"/>
  <c r="P122" i="35"/>
  <c r="BI119" i="35"/>
  <c r="BH119" i="35"/>
  <c r="BG119" i="35"/>
  <c r="BF119" i="35"/>
  <c r="T119" i="35"/>
  <c r="R119" i="35"/>
  <c r="P119" i="35"/>
  <c r="BI117" i="35"/>
  <c r="BH117" i="35"/>
  <c r="BG117" i="35"/>
  <c r="BF117" i="35"/>
  <c r="T117" i="35"/>
  <c r="R117" i="35"/>
  <c r="P117" i="35"/>
  <c r="BI116" i="35"/>
  <c r="BH116" i="35"/>
  <c r="BG116" i="35"/>
  <c r="BF116" i="35"/>
  <c r="T116" i="35"/>
  <c r="R116" i="35"/>
  <c r="P116" i="35"/>
  <c r="BI113" i="35"/>
  <c r="BH113" i="35"/>
  <c r="BG113" i="35"/>
  <c r="BF113" i="35"/>
  <c r="T113" i="35"/>
  <c r="T112" i="35" s="1"/>
  <c r="R113" i="35"/>
  <c r="R112" i="35" s="1"/>
  <c r="P113" i="35"/>
  <c r="P112" i="35"/>
  <c r="BI110" i="35"/>
  <c r="BH110" i="35"/>
  <c r="BG110" i="35"/>
  <c r="BF110" i="35"/>
  <c r="T110" i="35"/>
  <c r="R110" i="35"/>
  <c r="P110" i="35"/>
  <c r="BI105" i="35"/>
  <c r="BH105" i="35"/>
  <c r="BG105" i="35"/>
  <c r="BF105" i="35"/>
  <c r="T105" i="35"/>
  <c r="R105" i="35"/>
  <c r="P105" i="35"/>
  <c r="BI104" i="35"/>
  <c r="BH104" i="35"/>
  <c r="BG104" i="35"/>
  <c r="BF104" i="35"/>
  <c r="T104" i="35"/>
  <c r="R104" i="35"/>
  <c r="P104" i="35"/>
  <c r="BI103" i="35"/>
  <c r="BH103" i="35"/>
  <c r="BG103" i="35"/>
  <c r="BF103" i="35"/>
  <c r="T103" i="35"/>
  <c r="R103" i="35"/>
  <c r="P103" i="35"/>
  <c r="BI101" i="35"/>
  <c r="BH101" i="35"/>
  <c r="BG101" i="35"/>
  <c r="BF101" i="35"/>
  <c r="T101" i="35"/>
  <c r="R101" i="35"/>
  <c r="P101" i="35"/>
  <c r="BI100" i="35"/>
  <c r="BH100" i="35"/>
  <c r="BG100" i="35"/>
  <c r="BF100" i="35"/>
  <c r="T100" i="35"/>
  <c r="R100" i="35"/>
  <c r="P100" i="35"/>
  <c r="J94" i="35"/>
  <c r="J93" i="35"/>
  <c r="F93" i="35"/>
  <c r="F91" i="35"/>
  <c r="E89" i="35"/>
  <c r="J63" i="35"/>
  <c r="J62" i="35"/>
  <c r="F62" i="35"/>
  <c r="F60" i="35"/>
  <c r="E58" i="35"/>
  <c r="J22" i="35"/>
  <c r="E22" i="35"/>
  <c r="F94" i="35" s="1"/>
  <c r="J21" i="35"/>
  <c r="J16" i="35"/>
  <c r="J91" i="35"/>
  <c r="E7" i="35"/>
  <c r="E83" i="35" s="1"/>
  <c r="J41" i="34"/>
  <c r="J40" i="34"/>
  <c r="AY90" i="1"/>
  <c r="J39" i="34"/>
  <c r="AX90" i="1" s="1"/>
  <c r="BI126" i="34"/>
  <c r="BH126" i="34"/>
  <c r="BG126" i="34"/>
  <c r="BF126" i="34"/>
  <c r="T126" i="34"/>
  <c r="T125" i="34"/>
  <c r="R126" i="34"/>
  <c r="R125" i="34" s="1"/>
  <c r="P126" i="34"/>
  <c r="P125" i="34" s="1"/>
  <c r="BI123" i="34"/>
  <c r="BH123" i="34"/>
  <c r="BG123" i="34"/>
  <c r="BF123" i="34"/>
  <c r="T123" i="34"/>
  <c r="R123" i="34"/>
  <c r="P123" i="34"/>
  <c r="BI121" i="34"/>
  <c r="BH121" i="34"/>
  <c r="BG121" i="34"/>
  <c r="BF121" i="34"/>
  <c r="T121" i="34"/>
  <c r="R121" i="34"/>
  <c r="P121" i="34"/>
  <c r="BI118" i="34"/>
  <c r="BH118" i="34"/>
  <c r="BG118" i="34"/>
  <c r="BF118" i="34"/>
  <c r="T118" i="34"/>
  <c r="R118" i="34"/>
  <c r="P118" i="34"/>
  <c r="BI116" i="34"/>
  <c r="BH116" i="34"/>
  <c r="BG116" i="34"/>
  <c r="BF116" i="34"/>
  <c r="T116" i="34"/>
  <c r="R116" i="34"/>
  <c r="P116" i="34"/>
  <c r="BI115" i="34"/>
  <c r="BH115" i="34"/>
  <c r="BG115" i="34"/>
  <c r="BF115" i="34"/>
  <c r="T115" i="34"/>
  <c r="R115" i="34"/>
  <c r="P115" i="34"/>
  <c r="BI112" i="34"/>
  <c r="BH112" i="34"/>
  <c r="BG112" i="34"/>
  <c r="BF112" i="34"/>
  <c r="T112" i="34"/>
  <c r="R112" i="34"/>
  <c r="P112" i="34"/>
  <c r="BI107" i="34"/>
  <c r="BH107" i="34"/>
  <c r="BG107" i="34"/>
  <c r="BF107" i="34"/>
  <c r="T107" i="34"/>
  <c r="R107" i="34"/>
  <c r="P107" i="34"/>
  <c r="BI106" i="34"/>
  <c r="BH106" i="34"/>
  <c r="BG106" i="34"/>
  <c r="BF106" i="34"/>
  <c r="T106" i="34"/>
  <c r="R106" i="34"/>
  <c r="P106" i="34"/>
  <c r="BI105" i="34"/>
  <c r="BH105" i="34"/>
  <c r="BG105" i="34"/>
  <c r="BF105" i="34"/>
  <c r="T105" i="34"/>
  <c r="R105" i="34"/>
  <c r="P105" i="34"/>
  <c r="BI102" i="34"/>
  <c r="BH102" i="34"/>
  <c r="BG102" i="34"/>
  <c r="BF102" i="34"/>
  <c r="T102" i="34"/>
  <c r="R102" i="34"/>
  <c r="P102" i="34"/>
  <c r="BI100" i="34"/>
  <c r="BH100" i="34"/>
  <c r="BG100" i="34"/>
  <c r="BF100" i="34"/>
  <c r="T100" i="34"/>
  <c r="R100" i="34"/>
  <c r="P100" i="34"/>
  <c r="BI99" i="34"/>
  <c r="BH99" i="34"/>
  <c r="BG99" i="34"/>
  <c r="BF99" i="34"/>
  <c r="T99" i="34"/>
  <c r="R99" i="34"/>
  <c r="P99" i="34"/>
  <c r="J93" i="34"/>
  <c r="J92" i="34"/>
  <c r="F92" i="34"/>
  <c r="F90" i="34"/>
  <c r="E88" i="34"/>
  <c r="J63" i="34"/>
  <c r="J62" i="34"/>
  <c r="F62" i="34"/>
  <c r="F60" i="34"/>
  <c r="E58" i="34"/>
  <c r="J22" i="34"/>
  <c r="E22" i="34"/>
  <c r="F63" i="34" s="1"/>
  <c r="J21" i="34"/>
  <c r="J16" i="34"/>
  <c r="J90" i="34" s="1"/>
  <c r="E7" i="34"/>
  <c r="E82" i="34" s="1"/>
  <c r="J41" i="33"/>
  <c r="J40" i="33"/>
  <c r="AY89" i="1"/>
  <c r="J39" i="33"/>
  <c r="AX89" i="1" s="1"/>
  <c r="BI126" i="33"/>
  <c r="BH126" i="33"/>
  <c r="BG126" i="33"/>
  <c r="BF126" i="33"/>
  <c r="T126" i="33"/>
  <c r="T125" i="33"/>
  <c r="R126" i="33"/>
  <c r="R125" i="33" s="1"/>
  <c r="P126" i="33"/>
  <c r="P125" i="33"/>
  <c r="BI123" i="33"/>
  <c r="BH123" i="33"/>
  <c r="BG123" i="33"/>
  <c r="BF123" i="33"/>
  <c r="T123" i="33"/>
  <c r="R123" i="33"/>
  <c r="P123" i="33"/>
  <c r="BI121" i="33"/>
  <c r="BH121" i="33"/>
  <c r="BG121" i="33"/>
  <c r="BF121" i="33"/>
  <c r="T121" i="33"/>
  <c r="R121" i="33"/>
  <c r="P121" i="33"/>
  <c r="BI118" i="33"/>
  <c r="BH118" i="33"/>
  <c r="BG118" i="33"/>
  <c r="BF118" i="33"/>
  <c r="T118" i="33"/>
  <c r="R118" i="33"/>
  <c r="P118" i="33"/>
  <c r="BI116" i="33"/>
  <c r="BH116" i="33"/>
  <c r="BG116" i="33"/>
  <c r="BF116" i="33"/>
  <c r="T116" i="33"/>
  <c r="R116" i="33"/>
  <c r="P116" i="33"/>
  <c r="BI115" i="33"/>
  <c r="BH115" i="33"/>
  <c r="BG115" i="33"/>
  <c r="BF115" i="33"/>
  <c r="T115" i="33"/>
  <c r="R115" i="33"/>
  <c r="P115" i="33"/>
  <c r="BI112" i="33"/>
  <c r="BH112" i="33"/>
  <c r="BG112" i="33"/>
  <c r="BF112" i="33"/>
  <c r="T112" i="33"/>
  <c r="R112" i="33"/>
  <c r="P112" i="33"/>
  <c r="BI107" i="33"/>
  <c r="BH107" i="33"/>
  <c r="BG107" i="33"/>
  <c r="BF107" i="33"/>
  <c r="T107" i="33"/>
  <c r="R107" i="33"/>
  <c r="P107" i="33"/>
  <c r="BI106" i="33"/>
  <c r="BH106" i="33"/>
  <c r="BG106" i="33"/>
  <c r="BF106" i="33"/>
  <c r="T106" i="33"/>
  <c r="R106" i="33"/>
  <c r="P106" i="33"/>
  <c r="BI105" i="33"/>
  <c r="BH105" i="33"/>
  <c r="BG105" i="33"/>
  <c r="BF105" i="33"/>
  <c r="T105" i="33"/>
  <c r="R105" i="33"/>
  <c r="P105" i="33"/>
  <c r="BI102" i="33"/>
  <c r="BH102" i="33"/>
  <c r="BG102" i="33"/>
  <c r="BF102" i="33"/>
  <c r="T102" i="33"/>
  <c r="R102" i="33"/>
  <c r="P102" i="33"/>
  <c r="BI100" i="33"/>
  <c r="BH100" i="33"/>
  <c r="BG100" i="33"/>
  <c r="BF100" i="33"/>
  <c r="T100" i="33"/>
  <c r="R100" i="33"/>
  <c r="P100" i="33"/>
  <c r="BI99" i="33"/>
  <c r="BH99" i="33"/>
  <c r="BG99" i="33"/>
  <c r="BF99" i="33"/>
  <c r="T99" i="33"/>
  <c r="R99" i="33"/>
  <c r="P99" i="33"/>
  <c r="J93" i="33"/>
  <c r="J92" i="33"/>
  <c r="F92" i="33"/>
  <c r="F90" i="33"/>
  <c r="E88" i="33"/>
  <c r="J63" i="33"/>
  <c r="J62" i="33"/>
  <c r="F62" i="33"/>
  <c r="F60" i="33"/>
  <c r="E58" i="33"/>
  <c r="J22" i="33"/>
  <c r="E22" i="33"/>
  <c r="F93" i="33" s="1"/>
  <c r="J21" i="33"/>
  <c r="J16" i="33"/>
  <c r="J60" i="33" s="1"/>
  <c r="E7" i="33"/>
  <c r="E52" i="33" s="1"/>
  <c r="J41" i="32"/>
  <c r="J40" i="32"/>
  <c r="AY88" i="1" s="1"/>
  <c r="J39" i="32"/>
  <c r="AX88" i="1" s="1"/>
  <c r="BI126" i="32"/>
  <c r="BH126" i="32"/>
  <c r="BG126" i="32"/>
  <c r="BF126" i="32"/>
  <c r="T126" i="32"/>
  <c r="T125" i="32" s="1"/>
  <c r="R126" i="32"/>
  <c r="R125" i="32" s="1"/>
  <c r="P126" i="32"/>
  <c r="P125" i="32"/>
  <c r="BI123" i="32"/>
  <c r="BH123" i="32"/>
  <c r="BG123" i="32"/>
  <c r="BF123" i="32"/>
  <c r="T123" i="32"/>
  <c r="R123" i="32"/>
  <c r="P123" i="32"/>
  <c r="BI121" i="32"/>
  <c r="BH121" i="32"/>
  <c r="BG121" i="32"/>
  <c r="BF121" i="32"/>
  <c r="T121" i="32"/>
  <c r="R121" i="32"/>
  <c r="P121" i="32"/>
  <c r="BI118" i="32"/>
  <c r="BH118" i="32"/>
  <c r="BG118" i="32"/>
  <c r="BF118" i="32"/>
  <c r="T118" i="32"/>
  <c r="R118" i="32"/>
  <c r="P118" i="32"/>
  <c r="BI116" i="32"/>
  <c r="BH116" i="32"/>
  <c r="BG116" i="32"/>
  <c r="BF116" i="32"/>
  <c r="T116" i="32"/>
  <c r="R116" i="32"/>
  <c r="P116" i="32"/>
  <c r="BI115" i="32"/>
  <c r="BH115" i="32"/>
  <c r="BG115" i="32"/>
  <c r="BF115" i="32"/>
  <c r="T115" i="32"/>
  <c r="R115" i="32"/>
  <c r="P115" i="32"/>
  <c r="BI112" i="32"/>
  <c r="BH112" i="32"/>
  <c r="BG112" i="32"/>
  <c r="BF112" i="32"/>
  <c r="T112" i="32"/>
  <c r="R112" i="32"/>
  <c r="P112" i="32"/>
  <c r="BI107" i="32"/>
  <c r="BH107" i="32"/>
  <c r="BG107" i="32"/>
  <c r="BF107" i="32"/>
  <c r="T107" i="32"/>
  <c r="R107" i="32"/>
  <c r="P107" i="32"/>
  <c r="BI106" i="32"/>
  <c r="BH106" i="32"/>
  <c r="BG106" i="32"/>
  <c r="BF106" i="32"/>
  <c r="T106" i="32"/>
  <c r="R106" i="32"/>
  <c r="P106" i="32"/>
  <c r="BI105" i="32"/>
  <c r="BH105" i="32"/>
  <c r="BG105" i="32"/>
  <c r="BF105" i="32"/>
  <c r="T105" i="32"/>
  <c r="R105" i="32"/>
  <c r="P105" i="32"/>
  <c r="BI102" i="32"/>
  <c r="BH102" i="32"/>
  <c r="BG102" i="32"/>
  <c r="BF102" i="32"/>
  <c r="T102" i="32"/>
  <c r="R102" i="32"/>
  <c r="P102" i="32"/>
  <c r="BI100" i="32"/>
  <c r="BH100" i="32"/>
  <c r="BG100" i="32"/>
  <c r="BF100" i="32"/>
  <c r="T100" i="32"/>
  <c r="R100" i="32"/>
  <c r="P100" i="32"/>
  <c r="BI99" i="32"/>
  <c r="BH99" i="32"/>
  <c r="BG99" i="32"/>
  <c r="BF99" i="32"/>
  <c r="T99" i="32"/>
  <c r="R99" i="32"/>
  <c r="P99" i="32"/>
  <c r="J93" i="32"/>
  <c r="J92" i="32"/>
  <c r="F92" i="32"/>
  <c r="F90" i="32"/>
  <c r="E88" i="32"/>
  <c r="J63" i="32"/>
  <c r="J62" i="32"/>
  <c r="F62" i="32"/>
  <c r="F60" i="32"/>
  <c r="E58" i="32"/>
  <c r="J22" i="32"/>
  <c r="E22" i="32"/>
  <c r="F63" i="32"/>
  <c r="J21" i="32"/>
  <c r="J16" i="32"/>
  <c r="J60" i="32" s="1"/>
  <c r="E7" i="32"/>
  <c r="E52" i="32" s="1"/>
  <c r="J41" i="31"/>
  <c r="J40" i="31"/>
  <c r="AY87" i="1"/>
  <c r="J39" i="31"/>
  <c r="AX87" i="1"/>
  <c r="BI126" i="31"/>
  <c r="BH126" i="31"/>
  <c r="BG126" i="31"/>
  <c r="BF126" i="31"/>
  <c r="T126" i="31"/>
  <c r="T125" i="31"/>
  <c r="R126" i="31"/>
  <c r="R125" i="31"/>
  <c r="P126" i="31"/>
  <c r="P125" i="31"/>
  <c r="BI123" i="31"/>
  <c r="BH123" i="31"/>
  <c r="BG123" i="31"/>
  <c r="BF123" i="31"/>
  <c r="T123" i="31"/>
  <c r="R123" i="31"/>
  <c r="P123" i="31"/>
  <c r="BI121" i="31"/>
  <c r="BH121" i="31"/>
  <c r="BG121" i="31"/>
  <c r="BF121" i="31"/>
  <c r="T121" i="31"/>
  <c r="R121" i="31"/>
  <c r="P121" i="31"/>
  <c r="BI118" i="31"/>
  <c r="BH118" i="31"/>
  <c r="BG118" i="31"/>
  <c r="BF118" i="31"/>
  <c r="T118" i="31"/>
  <c r="R118" i="31"/>
  <c r="P118" i="31"/>
  <c r="BI116" i="31"/>
  <c r="BH116" i="31"/>
  <c r="BG116" i="31"/>
  <c r="BF116" i="31"/>
  <c r="T116" i="31"/>
  <c r="R116" i="31"/>
  <c r="P116" i="31"/>
  <c r="BI115" i="31"/>
  <c r="BH115" i="31"/>
  <c r="BG115" i="31"/>
  <c r="BF115" i="31"/>
  <c r="T115" i="31"/>
  <c r="R115" i="31"/>
  <c r="P115" i="31"/>
  <c r="BI112" i="31"/>
  <c r="BH112" i="31"/>
  <c r="BG112" i="31"/>
  <c r="BF112" i="31"/>
  <c r="T112" i="31"/>
  <c r="R112" i="31"/>
  <c r="P112" i="31"/>
  <c r="BI107" i="31"/>
  <c r="BH107" i="31"/>
  <c r="BG107" i="31"/>
  <c r="BF107" i="31"/>
  <c r="T107" i="31"/>
  <c r="R107" i="31"/>
  <c r="P107" i="31"/>
  <c r="BI106" i="31"/>
  <c r="BH106" i="31"/>
  <c r="BG106" i="31"/>
  <c r="BF106" i="31"/>
  <c r="T106" i="31"/>
  <c r="R106" i="31"/>
  <c r="P106" i="31"/>
  <c r="BI105" i="31"/>
  <c r="BH105" i="31"/>
  <c r="BG105" i="31"/>
  <c r="BF105" i="31"/>
  <c r="T105" i="31"/>
  <c r="R105" i="31"/>
  <c r="P105" i="31"/>
  <c r="BI102" i="31"/>
  <c r="BH102" i="31"/>
  <c r="BG102" i="31"/>
  <c r="BF102" i="31"/>
  <c r="T102" i="31"/>
  <c r="R102" i="31"/>
  <c r="P102" i="31"/>
  <c r="BI100" i="31"/>
  <c r="BH100" i="31"/>
  <c r="BG100" i="31"/>
  <c r="BF100" i="31"/>
  <c r="T100" i="31"/>
  <c r="R100" i="31"/>
  <c r="P100" i="31"/>
  <c r="BI99" i="31"/>
  <c r="BH99" i="31"/>
  <c r="BG99" i="31"/>
  <c r="BF99" i="31"/>
  <c r="T99" i="31"/>
  <c r="R99" i="31"/>
  <c r="P99" i="31"/>
  <c r="J93" i="31"/>
  <c r="J92" i="31"/>
  <c r="F92" i="31"/>
  <c r="F90" i="31"/>
  <c r="E88" i="31"/>
  <c r="J63" i="31"/>
  <c r="J62" i="31"/>
  <c r="F62" i="31"/>
  <c r="F60" i="31"/>
  <c r="E58" i="31"/>
  <c r="J22" i="31"/>
  <c r="E22" i="31"/>
  <c r="F63" i="31" s="1"/>
  <c r="J21" i="31"/>
  <c r="J16" i="31"/>
  <c r="J90" i="31" s="1"/>
  <c r="E7" i="31"/>
  <c r="E82" i="31"/>
  <c r="J41" i="30"/>
  <c r="J40" i="30"/>
  <c r="AY86" i="1" s="1"/>
  <c r="J39" i="30"/>
  <c r="AX86" i="1"/>
  <c r="BI126" i="30"/>
  <c r="BH126" i="30"/>
  <c r="BG126" i="30"/>
  <c r="BF126" i="30"/>
  <c r="T126" i="30"/>
  <c r="T125" i="30" s="1"/>
  <c r="R126" i="30"/>
  <c r="R125" i="30"/>
  <c r="P126" i="30"/>
  <c r="P125" i="30"/>
  <c r="BI123" i="30"/>
  <c r="BH123" i="30"/>
  <c r="BG123" i="30"/>
  <c r="BF123" i="30"/>
  <c r="T123" i="30"/>
  <c r="R123" i="30"/>
  <c r="P123" i="30"/>
  <c r="BI121" i="30"/>
  <c r="BH121" i="30"/>
  <c r="BG121" i="30"/>
  <c r="BF121" i="30"/>
  <c r="T121" i="30"/>
  <c r="R121" i="30"/>
  <c r="P121" i="30"/>
  <c r="BI118" i="30"/>
  <c r="BH118" i="30"/>
  <c r="BG118" i="30"/>
  <c r="BF118" i="30"/>
  <c r="T118" i="30"/>
  <c r="R118" i="30"/>
  <c r="P118" i="30"/>
  <c r="BI116" i="30"/>
  <c r="BH116" i="30"/>
  <c r="BG116" i="30"/>
  <c r="BF116" i="30"/>
  <c r="T116" i="30"/>
  <c r="R116" i="30"/>
  <c r="P116" i="30"/>
  <c r="BI115" i="30"/>
  <c r="BH115" i="30"/>
  <c r="BG115" i="30"/>
  <c r="BF115" i="30"/>
  <c r="T115" i="30"/>
  <c r="R115" i="30"/>
  <c r="P115" i="30"/>
  <c r="BI112" i="30"/>
  <c r="BH112" i="30"/>
  <c r="BG112" i="30"/>
  <c r="BF112" i="30"/>
  <c r="T112" i="30"/>
  <c r="R112" i="30"/>
  <c r="P112" i="30"/>
  <c r="BI107" i="30"/>
  <c r="BH107" i="30"/>
  <c r="BG107" i="30"/>
  <c r="BF107" i="30"/>
  <c r="T107" i="30"/>
  <c r="R107" i="30"/>
  <c r="P107" i="30"/>
  <c r="BI106" i="30"/>
  <c r="BH106" i="30"/>
  <c r="BG106" i="30"/>
  <c r="BF106" i="30"/>
  <c r="T106" i="30"/>
  <c r="R106" i="30"/>
  <c r="P106" i="30"/>
  <c r="BI105" i="30"/>
  <c r="BH105" i="30"/>
  <c r="BG105" i="30"/>
  <c r="BF105" i="30"/>
  <c r="T105" i="30"/>
  <c r="R105" i="30"/>
  <c r="P105" i="30"/>
  <c r="BI102" i="30"/>
  <c r="BH102" i="30"/>
  <c r="BG102" i="30"/>
  <c r="BF102" i="30"/>
  <c r="T102" i="30"/>
  <c r="R102" i="30"/>
  <c r="P102" i="30"/>
  <c r="BI100" i="30"/>
  <c r="BH100" i="30"/>
  <c r="BG100" i="30"/>
  <c r="BF100" i="30"/>
  <c r="T100" i="30"/>
  <c r="R100" i="30"/>
  <c r="P100" i="30"/>
  <c r="BI99" i="30"/>
  <c r="BH99" i="30"/>
  <c r="BG99" i="30"/>
  <c r="BF99" i="30"/>
  <c r="T99" i="30"/>
  <c r="R99" i="30"/>
  <c r="P99" i="30"/>
  <c r="J93" i="30"/>
  <c r="J92" i="30"/>
  <c r="F92" i="30"/>
  <c r="F90" i="30"/>
  <c r="E88" i="30"/>
  <c r="J63" i="30"/>
  <c r="J62" i="30"/>
  <c r="F62" i="30"/>
  <c r="F60" i="30"/>
  <c r="E58" i="30"/>
  <c r="J22" i="30"/>
  <c r="E22" i="30"/>
  <c r="F63" i="30"/>
  <c r="J21" i="30"/>
  <c r="J16" i="30"/>
  <c r="J90" i="30" s="1"/>
  <c r="E7" i="30"/>
  <c r="E52" i="30" s="1"/>
  <c r="J41" i="29"/>
  <c r="J40" i="29"/>
  <c r="AY85" i="1"/>
  <c r="J39" i="29"/>
  <c r="AX85" i="1"/>
  <c r="BI126" i="29"/>
  <c r="BH126" i="29"/>
  <c r="BG126" i="29"/>
  <c r="BF126" i="29"/>
  <c r="T126" i="29"/>
  <c r="T125" i="29"/>
  <c r="R126" i="29"/>
  <c r="R125" i="29"/>
  <c r="P126" i="29"/>
  <c r="P125" i="29"/>
  <c r="BI123" i="29"/>
  <c r="BH123" i="29"/>
  <c r="BG123" i="29"/>
  <c r="BF123" i="29"/>
  <c r="T123" i="29"/>
  <c r="R123" i="29"/>
  <c r="P123" i="29"/>
  <c r="BI121" i="29"/>
  <c r="BH121" i="29"/>
  <c r="BG121" i="29"/>
  <c r="BF121" i="29"/>
  <c r="T121" i="29"/>
  <c r="R121" i="29"/>
  <c r="P121" i="29"/>
  <c r="BI118" i="29"/>
  <c r="BH118" i="29"/>
  <c r="BG118" i="29"/>
  <c r="BF118" i="29"/>
  <c r="T118" i="29"/>
  <c r="R118" i="29"/>
  <c r="P118" i="29"/>
  <c r="BI116" i="29"/>
  <c r="BH116" i="29"/>
  <c r="BG116" i="29"/>
  <c r="BF116" i="29"/>
  <c r="T116" i="29"/>
  <c r="R116" i="29"/>
  <c r="P116" i="29"/>
  <c r="BI115" i="29"/>
  <c r="BH115" i="29"/>
  <c r="BG115" i="29"/>
  <c r="BF115" i="29"/>
  <c r="T115" i="29"/>
  <c r="R115" i="29"/>
  <c r="P115" i="29"/>
  <c r="BI112" i="29"/>
  <c r="BH112" i="29"/>
  <c r="BG112" i="29"/>
  <c r="BF112" i="29"/>
  <c r="T112" i="29"/>
  <c r="R112" i="29"/>
  <c r="P112" i="29"/>
  <c r="BI107" i="29"/>
  <c r="BH107" i="29"/>
  <c r="BG107" i="29"/>
  <c r="BF107" i="29"/>
  <c r="T107" i="29"/>
  <c r="R107" i="29"/>
  <c r="P107" i="29"/>
  <c r="BI106" i="29"/>
  <c r="BH106" i="29"/>
  <c r="BG106" i="29"/>
  <c r="BF106" i="29"/>
  <c r="T106" i="29"/>
  <c r="R106" i="29"/>
  <c r="P106" i="29"/>
  <c r="BI105" i="29"/>
  <c r="BH105" i="29"/>
  <c r="BG105" i="29"/>
  <c r="BF105" i="29"/>
  <c r="T105" i="29"/>
  <c r="R105" i="29"/>
  <c r="P105" i="29"/>
  <c r="BI102" i="29"/>
  <c r="BH102" i="29"/>
  <c r="BG102" i="29"/>
  <c r="BF102" i="29"/>
  <c r="T102" i="29"/>
  <c r="R102" i="29"/>
  <c r="P102" i="29"/>
  <c r="BI100" i="29"/>
  <c r="BH100" i="29"/>
  <c r="BG100" i="29"/>
  <c r="BF100" i="29"/>
  <c r="T100" i="29"/>
  <c r="R100" i="29"/>
  <c r="P100" i="29"/>
  <c r="BI99" i="29"/>
  <c r="BH99" i="29"/>
  <c r="BG99" i="29"/>
  <c r="BF99" i="29"/>
  <c r="T99" i="29"/>
  <c r="R99" i="29"/>
  <c r="P99" i="29"/>
  <c r="J93" i="29"/>
  <c r="J92" i="29"/>
  <c r="F92" i="29"/>
  <c r="F90" i="29"/>
  <c r="E88" i="29"/>
  <c r="J63" i="29"/>
  <c r="J62" i="29"/>
  <c r="F62" i="29"/>
  <c r="F60" i="29"/>
  <c r="E58" i="29"/>
  <c r="J22" i="29"/>
  <c r="E22" i="29"/>
  <c r="F63" i="29" s="1"/>
  <c r="J21" i="29"/>
  <c r="J16" i="29"/>
  <c r="J90" i="29"/>
  <c r="E7" i="29"/>
  <c r="E52" i="29"/>
  <c r="J41" i="28"/>
  <c r="J40" i="28"/>
  <c r="AY84" i="1"/>
  <c r="J39" i="28"/>
  <c r="AX84" i="1"/>
  <c r="BI126" i="28"/>
  <c r="BH126" i="28"/>
  <c r="BG126" i="28"/>
  <c r="BF126" i="28"/>
  <c r="T126" i="28"/>
  <c r="T125" i="28"/>
  <c r="R126" i="28"/>
  <c r="R125" i="28"/>
  <c r="P126" i="28"/>
  <c r="P125" i="28" s="1"/>
  <c r="BI123" i="28"/>
  <c r="BH123" i="28"/>
  <c r="BG123" i="28"/>
  <c r="BF123" i="28"/>
  <c r="T123" i="28"/>
  <c r="R123" i="28"/>
  <c r="P123" i="28"/>
  <c r="BI121" i="28"/>
  <c r="BH121" i="28"/>
  <c r="BG121" i="28"/>
  <c r="BF121" i="28"/>
  <c r="T121" i="28"/>
  <c r="R121" i="28"/>
  <c r="P121" i="28"/>
  <c r="BI118" i="28"/>
  <c r="BH118" i="28"/>
  <c r="BG118" i="28"/>
  <c r="BF118" i="28"/>
  <c r="T118" i="28"/>
  <c r="R118" i="28"/>
  <c r="P118" i="28"/>
  <c r="BI116" i="28"/>
  <c r="BH116" i="28"/>
  <c r="BG116" i="28"/>
  <c r="BF116" i="28"/>
  <c r="T116" i="28"/>
  <c r="R116" i="28"/>
  <c r="P116" i="28"/>
  <c r="BI115" i="28"/>
  <c r="BH115" i="28"/>
  <c r="BG115" i="28"/>
  <c r="BF115" i="28"/>
  <c r="T115" i="28"/>
  <c r="R115" i="28"/>
  <c r="P115" i="28"/>
  <c r="BI112" i="28"/>
  <c r="BH112" i="28"/>
  <c r="BG112" i="28"/>
  <c r="BF112" i="28"/>
  <c r="T112" i="28"/>
  <c r="R112" i="28"/>
  <c r="P112" i="28"/>
  <c r="BI107" i="28"/>
  <c r="BH107" i="28"/>
  <c r="BG107" i="28"/>
  <c r="BF107" i="28"/>
  <c r="T107" i="28"/>
  <c r="R107" i="28"/>
  <c r="P107" i="28"/>
  <c r="BI106" i="28"/>
  <c r="BH106" i="28"/>
  <c r="BG106" i="28"/>
  <c r="BF106" i="28"/>
  <c r="T106" i="28"/>
  <c r="R106" i="28"/>
  <c r="P106" i="28"/>
  <c r="BI105" i="28"/>
  <c r="BH105" i="28"/>
  <c r="BG105" i="28"/>
  <c r="BF105" i="28"/>
  <c r="T105" i="28"/>
  <c r="R105" i="28"/>
  <c r="P105" i="28"/>
  <c r="BI102" i="28"/>
  <c r="BH102" i="28"/>
  <c r="BG102" i="28"/>
  <c r="BF102" i="28"/>
  <c r="T102" i="28"/>
  <c r="R102" i="28"/>
  <c r="P102" i="28"/>
  <c r="BI100" i="28"/>
  <c r="BH100" i="28"/>
  <c r="BG100" i="28"/>
  <c r="BF100" i="28"/>
  <c r="T100" i="28"/>
  <c r="R100" i="28"/>
  <c r="P100" i="28"/>
  <c r="BI99" i="28"/>
  <c r="BH99" i="28"/>
  <c r="BG99" i="28"/>
  <c r="BF99" i="28"/>
  <c r="T99" i="28"/>
  <c r="R99" i="28"/>
  <c r="P99" i="28"/>
  <c r="J93" i="28"/>
  <c r="J92" i="28"/>
  <c r="F92" i="28"/>
  <c r="F90" i="28"/>
  <c r="E88" i="28"/>
  <c r="J63" i="28"/>
  <c r="J62" i="28"/>
  <c r="F62" i="28"/>
  <c r="F60" i="28"/>
  <c r="E58" i="28"/>
  <c r="J22" i="28"/>
  <c r="E22" i="28"/>
  <c r="F63" i="28"/>
  <c r="J21" i="28"/>
  <c r="J16" i="28"/>
  <c r="J60" i="28" s="1"/>
  <c r="E7" i="28"/>
  <c r="E82" i="28" s="1"/>
  <c r="J41" i="27"/>
  <c r="J40" i="27"/>
  <c r="AY83" i="1"/>
  <c r="J39" i="27"/>
  <c r="AX83" i="1"/>
  <c r="BI126" i="27"/>
  <c r="BH126" i="27"/>
  <c r="BG126" i="27"/>
  <c r="BF126" i="27"/>
  <c r="T126" i="27"/>
  <c r="T125" i="27"/>
  <c r="R126" i="27"/>
  <c r="R125" i="27"/>
  <c r="P126" i="27"/>
  <c r="P125" i="27"/>
  <c r="BI123" i="27"/>
  <c r="BH123" i="27"/>
  <c r="BG123" i="27"/>
  <c r="BF123" i="27"/>
  <c r="T123" i="27"/>
  <c r="R123" i="27"/>
  <c r="P123" i="27"/>
  <c r="BI121" i="27"/>
  <c r="BH121" i="27"/>
  <c r="BG121" i="27"/>
  <c r="BF121" i="27"/>
  <c r="T121" i="27"/>
  <c r="R121" i="27"/>
  <c r="P121" i="27"/>
  <c r="BI118" i="27"/>
  <c r="BH118" i="27"/>
  <c r="BG118" i="27"/>
  <c r="BF118" i="27"/>
  <c r="T118" i="27"/>
  <c r="R118" i="27"/>
  <c r="P118" i="27"/>
  <c r="BI116" i="27"/>
  <c r="BH116" i="27"/>
  <c r="BG116" i="27"/>
  <c r="BF116" i="27"/>
  <c r="T116" i="27"/>
  <c r="R116" i="27"/>
  <c r="P116" i="27"/>
  <c r="BI115" i="27"/>
  <c r="BH115" i="27"/>
  <c r="BG115" i="27"/>
  <c r="BF115" i="27"/>
  <c r="T115" i="27"/>
  <c r="R115" i="27"/>
  <c r="P115" i="27"/>
  <c r="BI112" i="27"/>
  <c r="BH112" i="27"/>
  <c r="BG112" i="27"/>
  <c r="BF112" i="27"/>
  <c r="T112" i="27"/>
  <c r="R112" i="27"/>
  <c r="P112" i="27"/>
  <c r="BI107" i="27"/>
  <c r="BH107" i="27"/>
  <c r="BG107" i="27"/>
  <c r="BF107" i="27"/>
  <c r="T107" i="27"/>
  <c r="R107" i="27"/>
  <c r="P107" i="27"/>
  <c r="BI106" i="27"/>
  <c r="BH106" i="27"/>
  <c r="BG106" i="27"/>
  <c r="BF106" i="27"/>
  <c r="T106" i="27"/>
  <c r="R106" i="27"/>
  <c r="P106" i="27"/>
  <c r="BI105" i="27"/>
  <c r="BH105" i="27"/>
  <c r="BG105" i="27"/>
  <c r="BF105" i="27"/>
  <c r="T105" i="27"/>
  <c r="R105" i="27"/>
  <c r="P105" i="27"/>
  <c r="BI102" i="27"/>
  <c r="BH102" i="27"/>
  <c r="BG102" i="27"/>
  <c r="BF102" i="27"/>
  <c r="T102" i="27"/>
  <c r="R102" i="27"/>
  <c r="P102" i="27"/>
  <c r="BI100" i="27"/>
  <c r="BH100" i="27"/>
  <c r="BG100" i="27"/>
  <c r="BF100" i="27"/>
  <c r="T100" i="27"/>
  <c r="R100" i="27"/>
  <c r="P100" i="27"/>
  <c r="BI99" i="27"/>
  <c r="BH99" i="27"/>
  <c r="BG99" i="27"/>
  <c r="BF99" i="27"/>
  <c r="T99" i="27"/>
  <c r="R99" i="27"/>
  <c r="P99" i="27"/>
  <c r="J93" i="27"/>
  <c r="J92" i="27"/>
  <c r="F92" i="27"/>
  <c r="F90" i="27"/>
  <c r="E88" i="27"/>
  <c r="J63" i="27"/>
  <c r="J62" i="27"/>
  <c r="F62" i="27"/>
  <c r="F60" i="27"/>
  <c r="E58" i="27"/>
  <c r="J22" i="27"/>
  <c r="E22" i="27"/>
  <c r="F63" i="27" s="1"/>
  <c r="J21" i="27"/>
  <c r="J16" i="27"/>
  <c r="J90" i="27"/>
  <c r="E7" i="27"/>
  <c r="E52" i="27"/>
  <c r="J41" i="26"/>
  <c r="J40" i="26"/>
  <c r="AY82" i="1"/>
  <c r="J39" i="26"/>
  <c r="AX82" i="1" s="1"/>
  <c r="BI126" i="26"/>
  <c r="BH126" i="26"/>
  <c r="BG126" i="26"/>
  <c r="BF126" i="26"/>
  <c r="T126" i="26"/>
  <c r="T125" i="26"/>
  <c r="R126" i="26"/>
  <c r="R125" i="26" s="1"/>
  <c r="P126" i="26"/>
  <c r="P125" i="26" s="1"/>
  <c r="BI123" i="26"/>
  <c r="BH123" i="26"/>
  <c r="BG123" i="26"/>
  <c r="BF123" i="26"/>
  <c r="T123" i="26"/>
  <c r="R123" i="26"/>
  <c r="P123" i="26"/>
  <c r="BI121" i="26"/>
  <c r="BH121" i="26"/>
  <c r="BG121" i="26"/>
  <c r="BF121" i="26"/>
  <c r="T121" i="26"/>
  <c r="R121" i="26"/>
  <c r="P121" i="26"/>
  <c r="BI118" i="26"/>
  <c r="BH118" i="26"/>
  <c r="BG118" i="26"/>
  <c r="BF118" i="26"/>
  <c r="T118" i="26"/>
  <c r="R118" i="26"/>
  <c r="P118" i="26"/>
  <c r="BI116" i="26"/>
  <c r="BH116" i="26"/>
  <c r="BG116" i="26"/>
  <c r="BF116" i="26"/>
  <c r="T116" i="26"/>
  <c r="R116" i="26"/>
  <c r="P116" i="26"/>
  <c r="BI115" i="26"/>
  <c r="BH115" i="26"/>
  <c r="BG115" i="26"/>
  <c r="BF115" i="26"/>
  <c r="T115" i="26"/>
  <c r="R115" i="26"/>
  <c r="P115" i="26"/>
  <c r="BI112" i="26"/>
  <c r="BH112" i="26"/>
  <c r="BG112" i="26"/>
  <c r="BF112" i="26"/>
  <c r="T112" i="26"/>
  <c r="R112" i="26"/>
  <c r="P112" i="26"/>
  <c r="BI107" i="26"/>
  <c r="BH107" i="26"/>
  <c r="BG107" i="26"/>
  <c r="BF107" i="26"/>
  <c r="T107" i="26"/>
  <c r="R107" i="26"/>
  <c r="P107" i="26"/>
  <c r="BI106" i="26"/>
  <c r="BH106" i="26"/>
  <c r="BG106" i="26"/>
  <c r="BF106" i="26"/>
  <c r="T106" i="26"/>
  <c r="R106" i="26"/>
  <c r="P106" i="26"/>
  <c r="BI105" i="26"/>
  <c r="BH105" i="26"/>
  <c r="BG105" i="26"/>
  <c r="BF105" i="26"/>
  <c r="T105" i="26"/>
  <c r="R105" i="26"/>
  <c r="P105" i="26"/>
  <c r="BI102" i="26"/>
  <c r="BH102" i="26"/>
  <c r="BG102" i="26"/>
  <c r="BF102" i="26"/>
  <c r="T102" i="26"/>
  <c r="R102" i="26"/>
  <c r="P102" i="26"/>
  <c r="BI100" i="26"/>
  <c r="BH100" i="26"/>
  <c r="BG100" i="26"/>
  <c r="BF100" i="26"/>
  <c r="T100" i="26"/>
  <c r="R100" i="26"/>
  <c r="P100" i="26"/>
  <c r="BI99" i="26"/>
  <c r="BH99" i="26"/>
  <c r="BG99" i="26"/>
  <c r="BF99" i="26"/>
  <c r="T99" i="26"/>
  <c r="R99" i="26"/>
  <c r="P99" i="26"/>
  <c r="J93" i="26"/>
  <c r="J92" i="26"/>
  <c r="F92" i="26"/>
  <c r="F90" i="26"/>
  <c r="E88" i="26"/>
  <c r="J63" i="26"/>
  <c r="J62" i="26"/>
  <c r="F62" i="26"/>
  <c r="F60" i="26"/>
  <c r="E58" i="26"/>
  <c r="J22" i="26"/>
  <c r="E22" i="26"/>
  <c r="F93" i="26"/>
  <c r="J21" i="26"/>
  <c r="J16" i="26"/>
  <c r="J60" i="26" s="1"/>
  <c r="E7" i="26"/>
  <c r="E82" i="26" s="1"/>
  <c r="J41" i="25"/>
  <c r="J40" i="25"/>
  <c r="AY81" i="1"/>
  <c r="J39" i="25"/>
  <c r="AX81" i="1" s="1"/>
  <c r="BI126" i="25"/>
  <c r="BH126" i="25"/>
  <c r="BG126" i="25"/>
  <c r="BF126" i="25"/>
  <c r="T126" i="25"/>
  <c r="T125" i="25"/>
  <c r="R126" i="25"/>
  <c r="R125" i="25" s="1"/>
  <c r="P126" i="25"/>
  <c r="P125" i="25"/>
  <c r="BI123" i="25"/>
  <c r="BH123" i="25"/>
  <c r="BG123" i="25"/>
  <c r="BF123" i="25"/>
  <c r="T123" i="25"/>
  <c r="R123" i="25"/>
  <c r="P123" i="25"/>
  <c r="BI121" i="25"/>
  <c r="BH121" i="25"/>
  <c r="BG121" i="25"/>
  <c r="BF121" i="25"/>
  <c r="T121" i="25"/>
  <c r="R121" i="25"/>
  <c r="P121" i="25"/>
  <c r="BI118" i="25"/>
  <c r="BH118" i="25"/>
  <c r="BG118" i="25"/>
  <c r="BF118" i="25"/>
  <c r="T118" i="25"/>
  <c r="R118" i="25"/>
  <c r="P118" i="25"/>
  <c r="BI116" i="25"/>
  <c r="BH116" i="25"/>
  <c r="BG116" i="25"/>
  <c r="BF116" i="25"/>
  <c r="T116" i="25"/>
  <c r="R116" i="25"/>
  <c r="P116" i="25"/>
  <c r="BI115" i="25"/>
  <c r="BH115" i="25"/>
  <c r="BG115" i="25"/>
  <c r="BF115" i="25"/>
  <c r="T115" i="25"/>
  <c r="R115" i="25"/>
  <c r="P115" i="25"/>
  <c r="BI112" i="25"/>
  <c r="BH112" i="25"/>
  <c r="BG112" i="25"/>
  <c r="BF112" i="25"/>
  <c r="T112" i="25"/>
  <c r="R112" i="25"/>
  <c r="P112" i="25"/>
  <c r="BI107" i="25"/>
  <c r="BH107" i="25"/>
  <c r="BG107" i="25"/>
  <c r="BF107" i="25"/>
  <c r="T107" i="25"/>
  <c r="R107" i="25"/>
  <c r="P107" i="25"/>
  <c r="BI106" i="25"/>
  <c r="BH106" i="25"/>
  <c r="BG106" i="25"/>
  <c r="BF106" i="25"/>
  <c r="T106" i="25"/>
  <c r="R106" i="25"/>
  <c r="P106" i="25"/>
  <c r="BI105" i="25"/>
  <c r="BH105" i="25"/>
  <c r="BG105" i="25"/>
  <c r="BF105" i="25"/>
  <c r="T105" i="25"/>
  <c r="R105" i="25"/>
  <c r="P105" i="25"/>
  <c r="BI102" i="25"/>
  <c r="BH102" i="25"/>
  <c r="BG102" i="25"/>
  <c r="BF102" i="25"/>
  <c r="T102" i="25"/>
  <c r="R102" i="25"/>
  <c r="P102" i="25"/>
  <c r="BI100" i="25"/>
  <c r="BH100" i="25"/>
  <c r="BG100" i="25"/>
  <c r="BF100" i="25"/>
  <c r="T100" i="25"/>
  <c r="R100" i="25"/>
  <c r="P100" i="25"/>
  <c r="BI99" i="25"/>
  <c r="BH99" i="25"/>
  <c r="BG99" i="25"/>
  <c r="BF99" i="25"/>
  <c r="T99" i="25"/>
  <c r="R99" i="25"/>
  <c r="P99" i="25"/>
  <c r="J93" i="25"/>
  <c r="J92" i="25"/>
  <c r="F92" i="25"/>
  <c r="F90" i="25"/>
  <c r="E88" i="25"/>
  <c r="J63" i="25"/>
  <c r="J62" i="25"/>
  <c r="F62" i="25"/>
  <c r="F60" i="25"/>
  <c r="E58" i="25"/>
  <c r="J22" i="25"/>
  <c r="E22" i="25"/>
  <c r="F93" i="25" s="1"/>
  <c r="J21" i="25"/>
  <c r="J16" i="25"/>
  <c r="J90" i="25"/>
  <c r="E7" i="25"/>
  <c r="E82" i="25" s="1"/>
  <c r="J41" i="24"/>
  <c r="J40" i="24"/>
  <c r="AY80" i="1" s="1"/>
  <c r="J39" i="24"/>
  <c r="AX80" i="1" s="1"/>
  <c r="BI126" i="24"/>
  <c r="BH126" i="24"/>
  <c r="BG126" i="24"/>
  <c r="BF126" i="24"/>
  <c r="T126" i="24"/>
  <c r="T125" i="24" s="1"/>
  <c r="R126" i="24"/>
  <c r="R125" i="24" s="1"/>
  <c r="P126" i="24"/>
  <c r="P125" i="24"/>
  <c r="BI123" i="24"/>
  <c r="BH123" i="24"/>
  <c r="BG123" i="24"/>
  <c r="BF123" i="24"/>
  <c r="T123" i="24"/>
  <c r="R123" i="24"/>
  <c r="P123" i="24"/>
  <c r="BI121" i="24"/>
  <c r="BH121" i="24"/>
  <c r="BG121" i="24"/>
  <c r="BF121" i="24"/>
  <c r="T121" i="24"/>
  <c r="R121" i="24"/>
  <c r="P121" i="24"/>
  <c r="BI118" i="24"/>
  <c r="BH118" i="24"/>
  <c r="BG118" i="24"/>
  <c r="BF118" i="24"/>
  <c r="T118" i="24"/>
  <c r="R118" i="24"/>
  <c r="P118" i="24"/>
  <c r="BI116" i="24"/>
  <c r="BH116" i="24"/>
  <c r="BG116" i="24"/>
  <c r="BF116" i="24"/>
  <c r="T116" i="24"/>
  <c r="R116" i="24"/>
  <c r="P116" i="24"/>
  <c r="BI115" i="24"/>
  <c r="BH115" i="24"/>
  <c r="BG115" i="24"/>
  <c r="BF115" i="24"/>
  <c r="T115" i="24"/>
  <c r="R115" i="24"/>
  <c r="P115" i="24"/>
  <c r="BI112" i="24"/>
  <c r="BH112" i="24"/>
  <c r="BG112" i="24"/>
  <c r="BF112" i="24"/>
  <c r="T112" i="24"/>
  <c r="R112" i="24"/>
  <c r="P112" i="24"/>
  <c r="BI107" i="24"/>
  <c r="BH107" i="24"/>
  <c r="BG107" i="24"/>
  <c r="BF107" i="24"/>
  <c r="T107" i="24"/>
  <c r="R107" i="24"/>
  <c r="P107" i="24"/>
  <c r="BI106" i="24"/>
  <c r="BH106" i="24"/>
  <c r="BG106" i="24"/>
  <c r="BF106" i="24"/>
  <c r="T106" i="24"/>
  <c r="R106" i="24"/>
  <c r="P106" i="24"/>
  <c r="BI105" i="24"/>
  <c r="BH105" i="24"/>
  <c r="BG105" i="24"/>
  <c r="BF105" i="24"/>
  <c r="T105" i="24"/>
  <c r="R105" i="24"/>
  <c r="P105" i="24"/>
  <c r="BI102" i="24"/>
  <c r="BH102" i="24"/>
  <c r="BG102" i="24"/>
  <c r="BF102" i="24"/>
  <c r="T102" i="24"/>
  <c r="R102" i="24"/>
  <c r="P102" i="24"/>
  <c r="BI100" i="24"/>
  <c r="BH100" i="24"/>
  <c r="BG100" i="24"/>
  <c r="BF100" i="24"/>
  <c r="T100" i="24"/>
  <c r="R100" i="24"/>
  <c r="P100" i="24"/>
  <c r="BI99" i="24"/>
  <c r="BH99" i="24"/>
  <c r="BG99" i="24"/>
  <c r="BF99" i="24"/>
  <c r="T99" i="24"/>
  <c r="R99" i="24"/>
  <c r="P99" i="24"/>
  <c r="J93" i="24"/>
  <c r="J92" i="24"/>
  <c r="F92" i="24"/>
  <c r="F90" i="24"/>
  <c r="E88" i="24"/>
  <c r="J63" i="24"/>
  <c r="J62" i="24"/>
  <c r="F62" i="24"/>
  <c r="F60" i="24"/>
  <c r="E58" i="24"/>
  <c r="J22" i="24"/>
  <c r="E22" i="24"/>
  <c r="F93" i="24" s="1"/>
  <c r="J21" i="24"/>
  <c r="J16" i="24"/>
  <c r="J90" i="24" s="1"/>
  <c r="E7" i="24"/>
  <c r="E82" i="24" s="1"/>
  <c r="J41" i="23"/>
  <c r="J40" i="23"/>
  <c r="AY79" i="1" s="1"/>
  <c r="J39" i="23"/>
  <c r="AX79" i="1"/>
  <c r="BI126" i="23"/>
  <c r="BH126" i="23"/>
  <c r="BG126" i="23"/>
  <c r="BF126" i="23"/>
  <c r="T126" i="23"/>
  <c r="T125" i="23" s="1"/>
  <c r="R126" i="23"/>
  <c r="R125" i="23"/>
  <c r="P126" i="23"/>
  <c r="P125" i="23"/>
  <c r="BI123" i="23"/>
  <c r="BH123" i="23"/>
  <c r="BG123" i="23"/>
  <c r="BF123" i="23"/>
  <c r="T123" i="23"/>
  <c r="R123" i="23"/>
  <c r="P123" i="23"/>
  <c r="BI121" i="23"/>
  <c r="BH121" i="23"/>
  <c r="BG121" i="23"/>
  <c r="BF121" i="23"/>
  <c r="T121" i="23"/>
  <c r="R121" i="23"/>
  <c r="P121" i="23"/>
  <c r="BI118" i="23"/>
  <c r="BH118" i="23"/>
  <c r="BG118" i="23"/>
  <c r="BF118" i="23"/>
  <c r="T118" i="23"/>
  <c r="R118" i="23"/>
  <c r="P118" i="23"/>
  <c r="BI116" i="23"/>
  <c r="BH116" i="23"/>
  <c r="BG116" i="23"/>
  <c r="BF116" i="23"/>
  <c r="T116" i="23"/>
  <c r="R116" i="23"/>
  <c r="P116" i="23"/>
  <c r="BI115" i="23"/>
  <c r="BH115" i="23"/>
  <c r="BG115" i="23"/>
  <c r="BF115" i="23"/>
  <c r="T115" i="23"/>
  <c r="R115" i="23"/>
  <c r="P115" i="23"/>
  <c r="BI112" i="23"/>
  <c r="BH112" i="23"/>
  <c r="BG112" i="23"/>
  <c r="BF112" i="23"/>
  <c r="T112" i="23"/>
  <c r="R112" i="23"/>
  <c r="P112" i="23"/>
  <c r="BI107" i="23"/>
  <c r="BH107" i="23"/>
  <c r="BG107" i="23"/>
  <c r="BF107" i="23"/>
  <c r="T107" i="23"/>
  <c r="R107" i="23"/>
  <c r="P107" i="23"/>
  <c r="BI106" i="23"/>
  <c r="BH106" i="23"/>
  <c r="BG106" i="23"/>
  <c r="BF106" i="23"/>
  <c r="T106" i="23"/>
  <c r="R106" i="23"/>
  <c r="P106" i="23"/>
  <c r="BI105" i="23"/>
  <c r="BH105" i="23"/>
  <c r="BG105" i="23"/>
  <c r="BF105" i="23"/>
  <c r="T105" i="23"/>
  <c r="R105" i="23"/>
  <c r="P105" i="23"/>
  <c r="BI102" i="23"/>
  <c r="BH102" i="23"/>
  <c r="BG102" i="23"/>
  <c r="BF102" i="23"/>
  <c r="T102" i="23"/>
  <c r="R102" i="23"/>
  <c r="P102" i="23"/>
  <c r="BI100" i="23"/>
  <c r="BH100" i="23"/>
  <c r="BG100" i="23"/>
  <c r="BF100" i="23"/>
  <c r="T100" i="23"/>
  <c r="R100" i="23"/>
  <c r="P100" i="23"/>
  <c r="BI99" i="23"/>
  <c r="BH99" i="23"/>
  <c r="BG99" i="23"/>
  <c r="BF99" i="23"/>
  <c r="T99" i="23"/>
  <c r="R99" i="23"/>
  <c r="P99" i="23"/>
  <c r="J93" i="23"/>
  <c r="J92" i="23"/>
  <c r="F92" i="23"/>
  <c r="F90" i="23"/>
  <c r="E88" i="23"/>
  <c r="J63" i="23"/>
  <c r="J62" i="23"/>
  <c r="F62" i="23"/>
  <c r="F60" i="23"/>
  <c r="E58" i="23"/>
  <c r="J22" i="23"/>
  <c r="E22" i="23"/>
  <c r="F93" i="23" s="1"/>
  <c r="J21" i="23"/>
  <c r="J16" i="23"/>
  <c r="J90" i="23" s="1"/>
  <c r="E7" i="23"/>
  <c r="E82" i="23"/>
  <c r="J41" i="22"/>
  <c r="J40" i="22"/>
  <c r="AY78" i="1" s="1"/>
  <c r="J39" i="22"/>
  <c r="AX78" i="1"/>
  <c r="BI126" i="22"/>
  <c r="BH126" i="22"/>
  <c r="BG126" i="22"/>
  <c r="BF126" i="22"/>
  <c r="T126" i="22"/>
  <c r="T125" i="22" s="1"/>
  <c r="R126" i="22"/>
  <c r="R125" i="22"/>
  <c r="P126" i="22"/>
  <c r="P125" i="22" s="1"/>
  <c r="BI123" i="22"/>
  <c r="BH123" i="22"/>
  <c r="BG123" i="22"/>
  <c r="BF123" i="22"/>
  <c r="T123" i="22"/>
  <c r="R123" i="22"/>
  <c r="P123" i="22"/>
  <c r="BI121" i="22"/>
  <c r="BH121" i="22"/>
  <c r="BG121" i="22"/>
  <c r="BF121" i="22"/>
  <c r="T121" i="22"/>
  <c r="R121" i="22"/>
  <c r="P121" i="22"/>
  <c r="BI118" i="22"/>
  <c r="BH118" i="22"/>
  <c r="BG118" i="22"/>
  <c r="BF118" i="22"/>
  <c r="T118" i="22"/>
  <c r="R118" i="22"/>
  <c r="P118" i="22"/>
  <c r="BI116" i="22"/>
  <c r="BH116" i="22"/>
  <c r="BG116" i="22"/>
  <c r="BF116" i="22"/>
  <c r="T116" i="22"/>
  <c r="R116" i="22"/>
  <c r="P116" i="22"/>
  <c r="BI115" i="22"/>
  <c r="BH115" i="22"/>
  <c r="BG115" i="22"/>
  <c r="BF115" i="22"/>
  <c r="T115" i="22"/>
  <c r="R115" i="22"/>
  <c r="P115" i="22"/>
  <c r="BI112" i="22"/>
  <c r="BH112" i="22"/>
  <c r="BG112" i="22"/>
  <c r="BF112" i="22"/>
  <c r="T112" i="22"/>
  <c r="R112" i="22"/>
  <c r="P112" i="22"/>
  <c r="BI107" i="22"/>
  <c r="BH107" i="22"/>
  <c r="BG107" i="22"/>
  <c r="BF107" i="22"/>
  <c r="T107" i="22"/>
  <c r="R107" i="22"/>
  <c r="P107" i="22"/>
  <c r="BI106" i="22"/>
  <c r="BH106" i="22"/>
  <c r="BG106" i="22"/>
  <c r="BF106" i="22"/>
  <c r="T106" i="22"/>
  <c r="R106" i="22"/>
  <c r="P106" i="22"/>
  <c r="BI105" i="22"/>
  <c r="BH105" i="22"/>
  <c r="BG105" i="22"/>
  <c r="BF105" i="22"/>
  <c r="T105" i="22"/>
  <c r="R105" i="22"/>
  <c r="P105" i="22"/>
  <c r="BI102" i="22"/>
  <c r="BH102" i="22"/>
  <c r="BG102" i="22"/>
  <c r="BF102" i="22"/>
  <c r="T102" i="22"/>
  <c r="R102" i="22"/>
  <c r="P102" i="22"/>
  <c r="BI100" i="22"/>
  <c r="BH100" i="22"/>
  <c r="BG100" i="22"/>
  <c r="BF100" i="22"/>
  <c r="T100" i="22"/>
  <c r="R100" i="22"/>
  <c r="P100" i="22"/>
  <c r="BI99" i="22"/>
  <c r="BH99" i="22"/>
  <c r="BG99" i="22"/>
  <c r="BF99" i="22"/>
  <c r="T99" i="22"/>
  <c r="R99" i="22"/>
  <c r="P99" i="22"/>
  <c r="J93" i="22"/>
  <c r="J92" i="22"/>
  <c r="F92" i="22"/>
  <c r="F90" i="22"/>
  <c r="E88" i="22"/>
  <c r="J63" i="22"/>
  <c r="J62" i="22"/>
  <c r="F62" i="22"/>
  <c r="F60" i="22"/>
  <c r="E58" i="22"/>
  <c r="J22" i="22"/>
  <c r="E22" i="22"/>
  <c r="F63" i="22"/>
  <c r="J21" i="22"/>
  <c r="J16" i="22"/>
  <c r="J90" i="22" s="1"/>
  <c r="E7" i="22"/>
  <c r="E82" i="22" s="1"/>
  <c r="J39" i="21"/>
  <c r="J38" i="21"/>
  <c r="AY76" i="1"/>
  <c r="J37" i="21"/>
  <c r="AX76" i="1"/>
  <c r="BI132" i="21"/>
  <c r="BH132" i="21"/>
  <c r="BG132" i="21"/>
  <c r="BF132" i="21"/>
  <c r="T132" i="21"/>
  <c r="T131" i="21"/>
  <c r="R132" i="21"/>
  <c r="R131" i="21"/>
  <c r="P132" i="21"/>
  <c r="P131" i="21"/>
  <c r="BI128" i="21"/>
  <c r="BH128" i="21"/>
  <c r="BG128" i="21"/>
  <c r="BF128" i="21"/>
  <c r="T128" i="21"/>
  <c r="R128" i="21"/>
  <c r="P128" i="21"/>
  <c r="BI122" i="21"/>
  <c r="BH122" i="21"/>
  <c r="BG122" i="21"/>
  <c r="BF122" i="21"/>
  <c r="T122" i="21"/>
  <c r="R122" i="21"/>
  <c r="P122" i="21"/>
  <c r="BI118" i="21"/>
  <c r="BH118" i="21"/>
  <c r="BG118" i="21"/>
  <c r="BF118" i="21"/>
  <c r="T118" i="21"/>
  <c r="R118" i="21"/>
  <c r="P118" i="21"/>
  <c r="BI115" i="21"/>
  <c r="BH115" i="21"/>
  <c r="BG115" i="21"/>
  <c r="BF115" i="21"/>
  <c r="T115" i="21"/>
  <c r="R115" i="21"/>
  <c r="P115" i="21"/>
  <c r="BI112" i="21"/>
  <c r="BH112" i="21"/>
  <c r="BG112" i="21"/>
  <c r="BF112" i="21"/>
  <c r="T112" i="21"/>
  <c r="R112" i="21"/>
  <c r="P112" i="21"/>
  <c r="BI109" i="21"/>
  <c r="BH109" i="21"/>
  <c r="BG109" i="21"/>
  <c r="BF109" i="21"/>
  <c r="T109" i="21"/>
  <c r="R109" i="21"/>
  <c r="P109" i="21"/>
  <c r="BI106" i="21"/>
  <c r="BH106" i="21"/>
  <c r="BG106" i="21"/>
  <c r="BF106" i="21"/>
  <c r="T106" i="21"/>
  <c r="R106" i="21"/>
  <c r="P106" i="21"/>
  <c r="BI103" i="21"/>
  <c r="BH103" i="21"/>
  <c r="BG103" i="21"/>
  <c r="BF103" i="21"/>
  <c r="T103" i="21"/>
  <c r="R103" i="21"/>
  <c r="P103" i="21"/>
  <c r="BI102" i="21"/>
  <c r="BH102" i="21"/>
  <c r="BG102" i="21"/>
  <c r="BF102" i="21"/>
  <c r="T102" i="21"/>
  <c r="R102" i="21"/>
  <c r="P102" i="21"/>
  <c r="BI98" i="21"/>
  <c r="BH98" i="21"/>
  <c r="BG98" i="21"/>
  <c r="BF98" i="21"/>
  <c r="T98" i="21"/>
  <c r="R98" i="21"/>
  <c r="P98" i="21"/>
  <c r="BI95" i="21"/>
  <c r="BH95" i="21"/>
  <c r="BG95" i="21"/>
  <c r="BF95" i="21"/>
  <c r="T95" i="21"/>
  <c r="R95" i="21"/>
  <c r="P95" i="21"/>
  <c r="BI91" i="21"/>
  <c r="BH91" i="21"/>
  <c r="BG91" i="21"/>
  <c r="BF91" i="21"/>
  <c r="T91" i="21"/>
  <c r="R91" i="21"/>
  <c r="P91" i="21"/>
  <c r="F82" i="21"/>
  <c r="E80" i="21"/>
  <c r="F56" i="21"/>
  <c r="E54" i="21"/>
  <c r="J26" i="21"/>
  <c r="E26" i="21"/>
  <c r="J59" i="21" s="1"/>
  <c r="J25" i="21"/>
  <c r="J23" i="21"/>
  <c r="E23" i="21"/>
  <c r="J58" i="21" s="1"/>
  <c r="J22" i="21"/>
  <c r="J20" i="21"/>
  <c r="E20" i="21"/>
  <c r="F85" i="21" s="1"/>
  <c r="J19" i="21"/>
  <c r="J17" i="21"/>
  <c r="E17" i="21"/>
  <c r="F84" i="21" s="1"/>
  <c r="J16" i="21"/>
  <c r="J14" i="21"/>
  <c r="J56" i="21" s="1"/>
  <c r="E7" i="21"/>
  <c r="E76" i="21"/>
  <c r="J39" i="20"/>
  <c r="J38" i="20"/>
  <c r="AY75" i="1" s="1"/>
  <c r="J37" i="20"/>
  <c r="AX75" i="1"/>
  <c r="BI194" i="20"/>
  <c r="BH194" i="20"/>
  <c r="BG194" i="20"/>
  <c r="BF194" i="20"/>
  <c r="T194" i="20"/>
  <c r="R194" i="20"/>
  <c r="P194" i="20"/>
  <c r="BI193" i="20"/>
  <c r="BH193" i="20"/>
  <c r="BG193" i="20"/>
  <c r="BF193" i="20"/>
  <c r="T193" i="20"/>
  <c r="R193" i="20"/>
  <c r="P193" i="20"/>
  <c r="BI192" i="20"/>
  <c r="BH192" i="20"/>
  <c r="BG192" i="20"/>
  <c r="BF192" i="20"/>
  <c r="T192" i="20"/>
  <c r="R192" i="20"/>
  <c r="P192" i="20"/>
  <c r="BI191" i="20"/>
  <c r="BH191" i="20"/>
  <c r="BG191" i="20"/>
  <c r="BF191" i="20"/>
  <c r="T191" i="20"/>
  <c r="R191" i="20"/>
  <c r="P191" i="20"/>
  <c r="BI190" i="20"/>
  <c r="BH190" i="20"/>
  <c r="BG190" i="20"/>
  <c r="BF190" i="20"/>
  <c r="T190" i="20"/>
  <c r="R190" i="20"/>
  <c r="P190" i="20"/>
  <c r="BI189" i="20"/>
  <c r="BH189" i="20"/>
  <c r="BG189" i="20"/>
  <c r="BF189" i="20"/>
  <c r="T189" i="20"/>
  <c r="R189" i="20"/>
  <c r="P189"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3" i="20"/>
  <c r="BH183" i="20"/>
  <c r="BG183" i="20"/>
  <c r="BF183" i="20"/>
  <c r="T183" i="20"/>
  <c r="R183" i="20"/>
  <c r="P183" i="20"/>
  <c r="BI182" i="20"/>
  <c r="BH182" i="20"/>
  <c r="BG182" i="20"/>
  <c r="BF182" i="20"/>
  <c r="T182" i="20"/>
  <c r="R182" i="20"/>
  <c r="P182" i="20"/>
  <c r="BI179" i="20"/>
  <c r="BH179" i="20"/>
  <c r="BG179" i="20"/>
  <c r="BF179" i="20"/>
  <c r="T179" i="20"/>
  <c r="R179" i="20"/>
  <c r="P179" i="20"/>
  <c r="BI177" i="20"/>
  <c r="BH177" i="20"/>
  <c r="BG177" i="20"/>
  <c r="BF177" i="20"/>
  <c r="T177" i="20"/>
  <c r="R177" i="20"/>
  <c r="P177" i="20"/>
  <c r="BI175" i="20"/>
  <c r="BH175" i="20"/>
  <c r="BG175" i="20"/>
  <c r="BF175" i="20"/>
  <c r="T175" i="20"/>
  <c r="R175" i="20"/>
  <c r="P175" i="20"/>
  <c r="BI173" i="20"/>
  <c r="BH173" i="20"/>
  <c r="BG173" i="20"/>
  <c r="BF173" i="20"/>
  <c r="T173" i="20"/>
  <c r="R173" i="20"/>
  <c r="P173" i="20"/>
  <c r="BI171" i="20"/>
  <c r="BH171" i="20"/>
  <c r="BG171" i="20"/>
  <c r="BF171" i="20"/>
  <c r="T171" i="20"/>
  <c r="R171" i="20"/>
  <c r="P171" i="20"/>
  <c r="BI169" i="20"/>
  <c r="BH169" i="20"/>
  <c r="BG169" i="20"/>
  <c r="BF169" i="20"/>
  <c r="T169" i="20"/>
  <c r="R169" i="20"/>
  <c r="P169" i="20"/>
  <c r="BI167" i="20"/>
  <c r="BH167" i="20"/>
  <c r="BG167" i="20"/>
  <c r="BF167" i="20"/>
  <c r="T167" i="20"/>
  <c r="R167" i="20"/>
  <c r="P167" i="20"/>
  <c r="BI165" i="20"/>
  <c r="BH165" i="20"/>
  <c r="BG165" i="20"/>
  <c r="BF165" i="20"/>
  <c r="T165" i="20"/>
  <c r="R165" i="20"/>
  <c r="P165" i="20"/>
  <c r="BI163" i="20"/>
  <c r="BH163" i="20"/>
  <c r="BG163" i="20"/>
  <c r="BF163" i="20"/>
  <c r="T163" i="20"/>
  <c r="R163" i="20"/>
  <c r="P163" i="20"/>
  <c r="BI161" i="20"/>
  <c r="BH161" i="20"/>
  <c r="BG161" i="20"/>
  <c r="BF161" i="20"/>
  <c r="T161" i="20"/>
  <c r="R161" i="20"/>
  <c r="P161" i="20"/>
  <c r="BI159" i="20"/>
  <c r="BH159" i="20"/>
  <c r="BG159" i="20"/>
  <c r="BF159" i="20"/>
  <c r="T159" i="20"/>
  <c r="R159" i="20"/>
  <c r="P159" i="20"/>
  <c r="BI157" i="20"/>
  <c r="BH157" i="20"/>
  <c r="BG157" i="20"/>
  <c r="BF157" i="20"/>
  <c r="T157" i="20"/>
  <c r="R157" i="20"/>
  <c r="P157" i="20"/>
  <c r="BI155" i="20"/>
  <c r="BH155" i="20"/>
  <c r="BG155" i="20"/>
  <c r="BF155" i="20"/>
  <c r="T155" i="20"/>
  <c r="R155" i="20"/>
  <c r="P155" i="20"/>
  <c r="BI152" i="20"/>
  <c r="BH152" i="20"/>
  <c r="BG152" i="20"/>
  <c r="BF152" i="20"/>
  <c r="T152" i="20"/>
  <c r="R152" i="20"/>
  <c r="P152" i="20"/>
  <c r="BI151" i="20"/>
  <c r="BH151" i="20"/>
  <c r="BG151" i="20"/>
  <c r="BF151" i="20"/>
  <c r="T151" i="20"/>
  <c r="R151" i="20"/>
  <c r="P151"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5" i="20"/>
  <c r="BH95" i="20"/>
  <c r="BG95" i="20"/>
  <c r="BF95" i="20"/>
  <c r="T95" i="20"/>
  <c r="R95" i="20"/>
  <c r="P95" i="20"/>
  <c r="BI93" i="20"/>
  <c r="BH93" i="20"/>
  <c r="BG93" i="20"/>
  <c r="BF93" i="20"/>
  <c r="T93" i="20"/>
  <c r="T92" i="20" s="1"/>
  <c r="R93" i="20"/>
  <c r="R92" i="20"/>
  <c r="P93" i="20"/>
  <c r="P92" i="20"/>
  <c r="F85" i="20"/>
  <c r="E83" i="20"/>
  <c r="F56" i="20"/>
  <c r="E54" i="20"/>
  <c r="J26" i="20"/>
  <c r="E26" i="20"/>
  <c r="J59" i="20" s="1"/>
  <c r="J25" i="20"/>
  <c r="J23" i="20"/>
  <c r="E23" i="20"/>
  <c r="J58" i="20"/>
  <c r="J22" i="20"/>
  <c r="J20" i="20"/>
  <c r="E20" i="20"/>
  <c r="F88" i="20" s="1"/>
  <c r="J19" i="20"/>
  <c r="J17" i="20"/>
  <c r="E17" i="20"/>
  <c r="F58" i="20"/>
  <c r="J16" i="20"/>
  <c r="J14" i="20"/>
  <c r="J85" i="20"/>
  <c r="E7" i="20"/>
  <c r="E79" i="20"/>
  <c r="J39" i="19"/>
  <c r="J38" i="19"/>
  <c r="AY74" i="1"/>
  <c r="J37" i="19"/>
  <c r="AX74" i="1"/>
  <c r="BI254" i="19"/>
  <c r="BH254" i="19"/>
  <c r="BG254" i="19"/>
  <c r="BF254" i="19"/>
  <c r="T254" i="19"/>
  <c r="R254" i="19"/>
  <c r="P254" i="19"/>
  <c r="BI253" i="19"/>
  <c r="BH253" i="19"/>
  <c r="BG253" i="19"/>
  <c r="BF253" i="19"/>
  <c r="T253" i="19"/>
  <c r="R253" i="19"/>
  <c r="P253" i="19"/>
  <c r="BI252" i="19"/>
  <c r="BH252" i="19"/>
  <c r="BG252" i="19"/>
  <c r="BF252" i="19"/>
  <c r="T252" i="19"/>
  <c r="R252" i="19"/>
  <c r="P252" i="19"/>
  <c r="BI250" i="19"/>
  <c r="BH250" i="19"/>
  <c r="BG250" i="19"/>
  <c r="BF250" i="19"/>
  <c r="T250" i="19"/>
  <c r="R250" i="19"/>
  <c r="P250" i="19"/>
  <c r="BI249" i="19"/>
  <c r="BH249" i="19"/>
  <c r="BG249" i="19"/>
  <c r="BF249" i="19"/>
  <c r="T249" i="19"/>
  <c r="R249" i="19"/>
  <c r="P249" i="19"/>
  <c r="BI248" i="19"/>
  <c r="BH248" i="19"/>
  <c r="BG248" i="19"/>
  <c r="BF248" i="19"/>
  <c r="T248" i="19"/>
  <c r="R248" i="19"/>
  <c r="P248" i="19"/>
  <c r="BI247" i="19"/>
  <c r="BH247" i="19"/>
  <c r="BG247" i="19"/>
  <c r="BF247" i="19"/>
  <c r="T247" i="19"/>
  <c r="R247" i="19"/>
  <c r="P247" i="19"/>
  <c r="BI245" i="19"/>
  <c r="BH245" i="19"/>
  <c r="BG245" i="19"/>
  <c r="BF245" i="19"/>
  <c r="T245" i="19"/>
  <c r="R245" i="19"/>
  <c r="P245" i="19"/>
  <c r="BI244" i="19"/>
  <c r="BH244" i="19"/>
  <c r="BG244" i="19"/>
  <c r="BF244" i="19"/>
  <c r="T244" i="19"/>
  <c r="R244" i="19"/>
  <c r="P244" i="19"/>
  <c r="BI243" i="19"/>
  <c r="BH243" i="19"/>
  <c r="BG243" i="19"/>
  <c r="BF243" i="19"/>
  <c r="T243" i="19"/>
  <c r="R243" i="19"/>
  <c r="P243" i="19"/>
  <c r="BI242" i="19"/>
  <c r="BH242" i="19"/>
  <c r="BG242" i="19"/>
  <c r="BF242" i="19"/>
  <c r="T242" i="19"/>
  <c r="R242" i="19"/>
  <c r="P242"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7" i="19"/>
  <c r="BH237" i="19"/>
  <c r="BG237" i="19"/>
  <c r="BF237" i="19"/>
  <c r="T237" i="19"/>
  <c r="R237" i="19"/>
  <c r="P237" i="19"/>
  <c r="BI236" i="19"/>
  <c r="BH236" i="19"/>
  <c r="BG236" i="19"/>
  <c r="BF236" i="19"/>
  <c r="T236" i="19"/>
  <c r="R236" i="19"/>
  <c r="P236" i="19"/>
  <c r="BI235" i="19"/>
  <c r="BH235" i="19"/>
  <c r="BG235" i="19"/>
  <c r="BF235" i="19"/>
  <c r="T235" i="19"/>
  <c r="R235" i="19"/>
  <c r="P235" i="19"/>
  <c r="BI234" i="19"/>
  <c r="BH234" i="19"/>
  <c r="BG234" i="19"/>
  <c r="BF234" i="19"/>
  <c r="T234" i="19"/>
  <c r="R234" i="19"/>
  <c r="P234"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4" i="19"/>
  <c r="BH224" i="19"/>
  <c r="BG224" i="19"/>
  <c r="BF224" i="19"/>
  <c r="T224" i="19"/>
  <c r="R224" i="19"/>
  <c r="P224"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6" i="19"/>
  <c r="BH216" i="19"/>
  <c r="BG216" i="19"/>
  <c r="BF216" i="19"/>
  <c r="T216" i="19"/>
  <c r="R216" i="19"/>
  <c r="P216" i="19"/>
  <c r="BI215" i="19"/>
  <c r="BH215" i="19"/>
  <c r="BG215" i="19"/>
  <c r="BF215" i="19"/>
  <c r="T215" i="19"/>
  <c r="R215" i="19"/>
  <c r="P215"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5" i="19"/>
  <c r="BH205" i="19"/>
  <c r="BG205" i="19"/>
  <c r="BF205" i="19"/>
  <c r="T205" i="19"/>
  <c r="R205" i="19"/>
  <c r="P205"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200" i="19"/>
  <c r="BH200" i="19"/>
  <c r="BG200" i="19"/>
  <c r="BF200" i="19"/>
  <c r="T200" i="19"/>
  <c r="R200" i="19"/>
  <c r="P200" i="19"/>
  <c r="BI199" i="19"/>
  <c r="BH199" i="19"/>
  <c r="BG199" i="19"/>
  <c r="BF199" i="19"/>
  <c r="T199" i="19"/>
  <c r="R199" i="19"/>
  <c r="P199" i="19"/>
  <c r="BI198" i="19"/>
  <c r="BH198" i="19"/>
  <c r="BG198" i="19"/>
  <c r="BF198" i="19"/>
  <c r="T198" i="19"/>
  <c r="R198" i="19"/>
  <c r="P198"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1" i="19"/>
  <c r="BH151" i="19"/>
  <c r="BG151" i="19"/>
  <c r="BF151" i="19"/>
  <c r="T151" i="19"/>
  <c r="R151" i="19"/>
  <c r="P151"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F91" i="19"/>
  <c r="E89" i="19"/>
  <c r="F56" i="19"/>
  <c r="E54" i="19"/>
  <c r="J26" i="19"/>
  <c r="E26" i="19"/>
  <c r="J94" i="19"/>
  <c r="J25" i="19"/>
  <c r="J23" i="19"/>
  <c r="E23" i="19"/>
  <c r="J93" i="19" s="1"/>
  <c r="J22" i="19"/>
  <c r="J20" i="19"/>
  <c r="E20" i="19"/>
  <c r="F94" i="19"/>
  <c r="J19" i="19"/>
  <c r="J17" i="19"/>
  <c r="E17" i="19"/>
  <c r="F93" i="19" s="1"/>
  <c r="J16" i="19"/>
  <c r="J14" i="19"/>
  <c r="J91" i="19" s="1"/>
  <c r="E7" i="19"/>
  <c r="E50" i="19" s="1"/>
  <c r="J39" i="18"/>
  <c r="J38" i="18"/>
  <c r="AY73" i="1" s="1"/>
  <c r="J37" i="18"/>
  <c r="AX73" i="1" s="1"/>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2" i="18"/>
  <c r="BH202" i="18"/>
  <c r="BG202" i="18"/>
  <c r="BF202" i="18"/>
  <c r="T202" i="18"/>
  <c r="R202" i="18"/>
  <c r="P202" i="18"/>
  <c r="BI199" i="18"/>
  <c r="BH199" i="18"/>
  <c r="BG199" i="18"/>
  <c r="BF199" i="18"/>
  <c r="T199" i="18"/>
  <c r="R199" i="18"/>
  <c r="P199" i="18"/>
  <c r="BI198" i="18"/>
  <c r="BH198" i="18"/>
  <c r="BG198" i="18"/>
  <c r="BF198" i="18"/>
  <c r="T198" i="18"/>
  <c r="R198" i="18"/>
  <c r="P198" i="18"/>
  <c r="BI195" i="18"/>
  <c r="BH195" i="18"/>
  <c r="BG195" i="18"/>
  <c r="BF195" i="18"/>
  <c r="T195" i="18"/>
  <c r="R195" i="18"/>
  <c r="P195" i="18"/>
  <c r="BI194" i="18"/>
  <c r="BH194" i="18"/>
  <c r="BG194" i="18"/>
  <c r="BF194" i="18"/>
  <c r="T194" i="18"/>
  <c r="R194" i="18"/>
  <c r="P194"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5" i="18"/>
  <c r="BH185" i="18"/>
  <c r="BG185" i="18"/>
  <c r="BF185" i="18"/>
  <c r="T185" i="18"/>
  <c r="R185" i="18"/>
  <c r="P185" i="18"/>
  <c r="BI184" i="18"/>
  <c r="BH184" i="18"/>
  <c r="BG184" i="18"/>
  <c r="BF184" i="18"/>
  <c r="T184" i="18"/>
  <c r="R184" i="18"/>
  <c r="P184" i="18"/>
  <c r="BI181" i="18"/>
  <c r="BH181" i="18"/>
  <c r="BG181" i="18"/>
  <c r="BF181" i="18"/>
  <c r="T181" i="18"/>
  <c r="R181" i="18"/>
  <c r="P181" i="18"/>
  <c r="BI180" i="18"/>
  <c r="BH180" i="18"/>
  <c r="BG180" i="18"/>
  <c r="BF180" i="18"/>
  <c r="T180" i="18"/>
  <c r="R180" i="18"/>
  <c r="P180" i="18"/>
  <c r="BI177" i="18"/>
  <c r="BH177" i="18"/>
  <c r="BG177" i="18"/>
  <c r="BF177" i="18"/>
  <c r="T177" i="18"/>
  <c r="R177" i="18"/>
  <c r="P177" i="18"/>
  <c r="BI176" i="18"/>
  <c r="BH176" i="18"/>
  <c r="BG176" i="18"/>
  <c r="BF176" i="18"/>
  <c r="T176" i="18"/>
  <c r="R176" i="18"/>
  <c r="P176"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3" i="18"/>
  <c r="BH163" i="18"/>
  <c r="BG163" i="18"/>
  <c r="BF163" i="18"/>
  <c r="T163" i="18"/>
  <c r="R163" i="18"/>
  <c r="P163" i="18"/>
  <c r="BI162" i="18"/>
  <c r="BH162" i="18"/>
  <c r="BG162" i="18"/>
  <c r="BF162" i="18"/>
  <c r="T162" i="18"/>
  <c r="R162" i="18"/>
  <c r="P162" i="18"/>
  <c r="BI159" i="18"/>
  <c r="BH159" i="18"/>
  <c r="BG159" i="18"/>
  <c r="BF159" i="18"/>
  <c r="T159" i="18"/>
  <c r="R159" i="18"/>
  <c r="P159" i="18"/>
  <c r="BI158" i="18"/>
  <c r="BH158" i="18"/>
  <c r="BG158" i="18"/>
  <c r="BF158" i="18"/>
  <c r="T158" i="18"/>
  <c r="R158" i="18"/>
  <c r="P158" i="18"/>
  <c r="BI155" i="18"/>
  <c r="BH155" i="18"/>
  <c r="BG155" i="18"/>
  <c r="BF155" i="18"/>
  <c r="T155" i="18"/>
  <c r="R155" i="18"/>
  <c r="P155" i="18"/>
  <c r="BI154" i="18"/>
  <c r="BH154" i="18"/>
  <c r="BG154" i="18"/>
  <c r="BF154" i="18"/>
  <c r="T154" i="18"/>
  <c r="R154" i="18"/>
  <c r="P154" i="18"/>
  <c r="BI151" i="18"/>
  <c r="BH151" i="18"/>
  <c r="BG151" i="18"/>
  <c r="BF151" i="18"/>
  <c r="T151" i="18"/>
  <c r="R151" i="18"/>
  <c r="P151" i="18"/>
  <c r="BI150" i="18"/>
  <c r="BH150" i="18"/>
  <c r="BG150" i="18"/>
  <c r="BF150" i="18"/>
  <c r="T150" i="18"/>
  <c r="R150" i="18"/>
  <c r="P150" i="18"/>
  <c r="BI147" i="18"/>
  <c r="BH147" i="18"/>
  <c r="BG147" i="18"/>
  <c r="BF147" i="18"/>
  <c r="T147" i="18"/>
  <c r="R147" i="18"/>
  <c r="P147" i="18"/>
  <c r="BI144" i="18"/>
  <c r="BH144" i="18"/>
  <c r="BG144" i="18"/>
  <c r="BF144" i="18"/>
  <c r="T144" i="18"/>
  <c r="R144" i="18"/>
  <c r="P144" i="18"/>
  <c r="BI143" i="18"/>
  <c r="BH143" i="18"/>
  <c r="BG143" i="18"/>
  <c r="BF143" i="18"/>
  <c r="T143" i="18"/>
  <c r="R143" i="18"/>
  <c r="P143" i="18"/>
  <c r="BI140" i="18"/>
  <c r="BH140" i="18"/>
  <c r="BG140" i="18"/>
  <c r="BF140" i="18"/>
  <c r="T140" i="18"/>
  <c r="R140" i="18"/>
  <c r="P140" i="18"/>
  <c r="BI137" i="18"/>
  <c r="BH137" i="18"/>
  <c r="BG137" i="18"/>
  <c r="BF137" i="18"/>
  <c r="T137" i="18"/>
  <c r="R137" i="18"/>
  <c r="P137" i="18"/>
  <c r="BI136" i="18"/>
  <c r="BH136" i="18"/>
  <c r="BG136" i="18"/>
  <c r="BF136" i="18"/>
  <c r="T136" i="18"/>
  <c r="R136" i="18"/>
  <c r="P136" i="18"/>
  <c r="BI133" i="18"/>
  <c r="BH133" i="18"/>
  <c r="BG133" i="18"/>
  <c r="BF133" i="18"/>
  <c r="T133" i="18"/>
  <c r="R133" i="18"/>
  <c r="P133" i="18"/>
  <c r="BI130" i="18"/>
  <c r="BH130" i="18"/>
  <c r="BG130" i="18"/>
  <c r="BF130" i="18"/>
  <c r="T130" i="18"/>
  <c r="R130" i="18"/>
  <c r="P130" i="18"/>
  <c r="BI127" i="18"/>
  <c r="BH127" i="18"/>
  <c r="BG127" i="18"/>
  <c r="BF127" i="18"/>
  <c r="T127" i="18"/>
  <c r="R127" i="18"/>
  <c r="P127" i="18"/>
  <c r="BI126" i="18"/>
  <c r="BH126" i="18"/>
  <c r="BG126" i="18"/>
  <c r="BF126" i="18"/>
  <c r="T126" i="18"/>
  <c r="R126" i="18"/>
  <c r="P126" i="18"/>
  <c r="BI123" i="18"/>
  <c r="BH123" i="18"/>
  <c r="BG123" i="18"/>
  <c r="BF123" i="18"/>
  <c r="T123" i="18"/>
  <c r="R123" i="18"/>
  <c r="P123" i="18"/>
  <c r="BI120" i="18"/>
  <c r="BH120" i="18"/>
  <c r="BG120" i="18"/>
  <c r="BF120" i="18"/>
  <c r="T120" i="18"/>
  <c r="R120" i="18"/>
  <c r="P120" i="18"/>
  <c r="BI117" i="18"/>
  <c r="BH117" i="18"/>
  <c r="BG117" i="18"/>
  <c r="BF117" i="18"/>
  <c r="T117" i="18"/>
  <c r="R117" i="18"/>
  <c r="P117" i="18"/>
  <c r="BI116" i="18"/>
  <c r="BH116" i="18"/>
  <c r="BG116" i="18"/>
  <c r="BF116" i="18"/>
  <c r="T116" i="18"/>
  <c r="R116" i="18"/>
  <c r="P116"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99" i="18"/>
  <c r="BH99" i="18"/>
  <c r="BG99" i="18"/>
  <c r="BF99" i="18"/>
  <c r="T99" i="18"/>
  <c r="R99" i="18"/>
  <c r="P99" i="18"/>
  <c r="BI98" i="18"/>
  <c r="BH98" i="18"/>
  <c r="BG98" i="18"/>
  <c r="BF98" i="18"/>
  <c r="T98" i="18"/>
  <c r="R98" i="18"/>
  <c r="P98" i="18"/>
  <c r="BI95" i="18"/>
  <c r="BH95" i="18"/>
  <c r="BG95" i="18"/>
  <c r="BF95" i="18"/>
  <c r="T95" i="18"/>
  <c r="R95" i="18"/>
  <c r="P95" i="18"/>
  <c r="BI94" i="18"/>
  <c r="BH94" i="18"/>
  <c r="BG94" i="18"/>
  <c r="BF94" i="18"/>
  <c r="T94" i="18"/>
  <c r="R94" i="18"/>
  <c r="P94" i="18"/>
  <c r="F86" i="18"/>
  <c r="E84" i="18"/>
  <c r="F56" i="18"/>
  <c r="E54" i="18"/>
  <c r="J26" i="18"/>
  <c r="E26" i="18"/>
  <c r="J59" i="18" s="1"/>
  <c r="J25" i="18"/>
  <c r="J23" i="18"/>
  <c r="E23" i="18"/>
  <c r="J58" i="18"/>
  <c r="J22" i="18"/>
  <c r="J20" i="18"/>
  <c r="E20" i="18"/>
  <c r="F89" i="18" s="1"/>
  <c r="J19" i="18"/>
  <c r="J17" i="18"/>
  <c r="E17" i="18"/>
  <c r="F88" i="18"/>
  <c r="J16" i="18"/>
  <c r="J14" i="18"/>
  <c r="J56" i="18"/>
  <c r="E7" i="18"/>
  <c r="E80" i="18" s="1"/>
  <c r="J41" i="17"/>
  <c r="J40" i="17"/>
  <c r="AY72" i="1"/>
  <c r="J39" i="17"/>
  <c r="AX72" i="1" s="1"/>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30" i="17"/>
  <c r="BH130" i="17"/>
  <c r="BG130" i="17"/>
  <c r="BF130" i="17"/>
  <c r="T130" i="17"/>
  <c r="R130" i="17"/>
  <c r="P130" i="17"/>
  <c r="BI124" i="17"/>
  <c r="BH124" i="17"/>
  <c r="BG124" i="17"/>
  <c r="BF124" i="17"/>
  <c r="T124" i="17"/>
  <c r="R124" i="17"/>
  <c r="P124" i="17"/>
  <c r="BI123" i="17"/>
  <c r="BH123" i="17"/>
  <c r="BG123" i="17"/>
  <c r="BF123" i="17"/>
  <c r="T123" i="17"/>
  <c r="R123" i="17"/>
  <c r="P123" i="17"/>
  <c r="BI121" i="17"/>
  <c r="BH121" i="17"/>
  <c r="BG121" i="17"/>
  <c r="BF121" i="17"/>
  <c r="T121" i="17"/>
  <c r="R121" i="17"/>
  <c r="P121" i="17"/>
  <c r="BI120" i="17"/>
  <c r="BH120" i="17"/>
  <c r="BG120" i="17"/>
  <c r="BF120" i="17"/>
  <c r="T120" i="17"/>
  <c r="R120" i="17"/>
  <c r="P120" i="17"/>
  <c r="BI115" i="17"/>
  <c r="BH115" i="17"/>
  <c r="BG115" i="17"/>
  <c r="BF115" i="17"/>
  <c r="T115" i="17"/>
  <c r="R115" i="17"/>
  <c r="P115" i="17"/>
  <c r="BI113" i="17"/>
  <c r="BH113" i="17"/>
  <c r="BG113" i="17"/>
  <c r="BF113" i="17"/>
  <c r="T113" i="17"/>
  <c r="R113" i="17"/>
  <c r="P113" i="17"/>
  <c r="BI112" i="17"/>
  <c r="BH112" i="17"/>
  <c r="BG112" i="17"/>
  <c r="BF112" i="17"/>
  <c r="T112" i="17"/>
  <c r="R112" i="17"/>
  <c r="P112" i="17"/>
  <c r="BI110" i="17"/>
  <c r="BH110" i="17"/>
  <c r="BG110" i="17"/>
  <c r="BF110" i="17"/>
  <c r="T110" i="17"/>
  <c r="R110" i="17"/>
  <c r="P110" i="17"/>
  <c r="BI109" i="17"/>
  <c r="BH109" i="17"/>
  <c r="BG109" i="17"/>
  <c r="BF109" i="17"/>
  <c r="T109" i="17"/>
  <c r="R109" i="17"/>
  <c r="P109" i="17"/>
  <c r="BI107" i="17"/>
  <c r="BH107" i="17"/>
  <c r="BG107" i="17"/>
  <c r="BF107" i="17"/>
  <c r="T107" i="17"/>
  <c r="R107" i="17"/>
  <c r="P107" i="17"/>
  <c r="BI106" i="17"/>
  <c r="BH106" i="17"/>
  <c r="BG106" i="17"/>
  <c r="BF106" i="17"/>
  <c r="T106" i="17"/>
  <c r="R106" i="17"/>
  <c r="P106" i="17"/>
  <c r="BI103" i="17"/>
  <c r="BH103" i="17"/>
  <c r="BG103" i="17"/>
  <c r="BF103" i="17"/>
  <c r="T103" i="17"/>
  <c r="R103" i="17"/>
  <c r="P103" i="17"/>
  <c r="BI101" i="17"/>
  <c r="BH101" i="17"/>
  <c r="BG101" i="17"/>
  <c r="BF101" i="17"/>
  <c r="T101" i="17"/>
  <c r="R101" i="17"/>
  <c r="P101" i="17"/>
  <c r="BI99" i="17"/>
  <c r="BH99" i="17"/>
  <c r="BG99" i="17"/>
  <c r="BF99" i="17"/>
  <c r="T99" i="17"/>
  <c r="R99" i="17"/>
  <c r="P99" i="17"/>
  <c r="BI98" i="17"/>
  <c r="BH98" i="17"/>
  <c r="BG98" i="17"/>
  <c r="BF98" i="17"/>
  <c r="T98" i="17"/>
  <c r="R98" i="17"/>
  <c r="P98" i="17"/>
  <c r="J92" i="17"/>
  <c r="J91" i="17"/>
  <c r="F91" i="17"/>
  <c r="F89" i="17"/>
  <c r="E87" i="17"/>
  <c r="J63" i="17"/>
  <c r="J62" i="17"/>
  <c r="F62" i="17"/>
  <c r="F60" i="17"/>
  <c r="E58" i="17"/>
  <c r="J22" i="17"/>
  <c r="E22" i="17"/>
  <c r="F92" i="17" s="1"/>
  <c r="J21" i="17"/>
  <c r="J16" i="17"/>
  <c r="J89" i="17" s="1"/>
  <c r="E7" i="17"/>
  <c r="E81" i="17" s="1"/>
  <c r="J41" i="16"/>
  <c r="J40" i="16"/>
  <c r="AY71" i="1" s="1"/>
  <c r="J39" i="16"/>
  <c r="AX71" i="1" s="1"/>
  <c r="BI150" i="16"/>
  <c r="BH150" i="16"/>
  <c r="BG150" i="16"/>
  <c r="BF150" i="16"/>
  <c r="T150" i="16"/>
  <c r="R150" i="16"/>
  <c r="P150" i="16"/>
  <c r="BI149" i="16"/>
  <c r="BH149" i="16"/>
  <c r="BG149" i="16"/>
  <c r="BF149" i="16"/>
  <c r="T149" i="16"/>
  <c r="R149" i="16"/>
  <c r="P149" i="16"/>
  <c r="BI148" i="16"/>
  <c r="BH148" i="16"/>
  <c r="BG148" i="16"/>
  <c r="BF148" i="16"/>
  <c r="T148" i="16"/>
  <c r="R148" i="16"/>
  <c r="P148" i="16"/>
  <c r="BI146" i="16"/>
  <c r="BH146" i="16"/>
  <c r="BG146" i="16"/>
  <c r="BF146" i="16"/>
  <c r="T146" i="16"/>
  <c r="R146" i="16"/>
  <c r="P146" i="16"/>
  <c r="BI144" i="16"/>
  <c r="BH144" i="16"/>
  <c r="BG144" i="16"/>
  <c r="BF144" i="16"/>
  <c r="T144" i="16"/>
  <c r="R144" i="16"/>
  <c r="P144" i="16"/>
  <c r="BI143" i="16"/>
  <c r="BH143" i="16"/>
  <c r="BG143" i="16"/>
  <c r="BF143" i="16"/>
  <c r="T143" i="16"/>
  <c r="R143" i="16"/>
  <c r="P143" i="16"/>
  <c r="BI139" i="16"/>
  <c r="BH139" i="16"/>
  <c r="BG139" i="16"/>
  <c r="BF139" i="16"/>
  <c r="T139" i="16"/>
  <c r="R139" i="16"/>
  <c r="P139" i="16"/>
  <c r="BI131" i="16"/>
  <c r="BH131" i="16"/>
  <c r="BG131" i="16"/>
  <c r="BF131" i="16"/>
  <c r="T131" i="16"/>
  <c r="R131" i="16"/>
  <c r="P131" i="16"/>
  <c r="BI130" i="16"/>
  <c r="BH130" i="16"/>
  <c r="BG130" i="16"/>
  <c r="BF130" i="16"/>
  <c r="T130" i="16"/>
  <c r="R130" i="16"/>
  <c r="P130" i="16"/>
  <c r="BI121" i="16"/>
  <c r="BH121" i="16"/>
  <c r="BG121" i="16"/>
  <c r="BF121" i="16"/>
  <c r="T121" i="16"/>
  <c r="R121" i="16"/>
  <c r="P121"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7" i="16"/>
  <c r="BH107" i="16"/>
  <c r="BG107" i="16"/>
  <c r="BF107" i="16"/>
  <c r="T107" i="16"/>
  <c r="R107" i="16"/>
  <c r="P107" i="16"/>
  <c r="BI106" i="16"/>
  <c r="BH106" i="16"/>
  <c r="BG106" i="16"/>
  <c r="BF106" i="16"/>
  <c r="T106" i="16"/>
  <c r="R106" i="16"/>
  <c r="P106" i="16"/>
  <c r="BI104" i="16"/>
  <c r="BH104" i="16"/>
  <c r="BG104" i="16"/>
  <c r="BF104" i="16"/>
  <c r="T104" i="16"/>
  <c r="R104" i="16"/>
  <c r="P104" i="16"/>
  <c r="BI103" i="16"/>
  <c r="BH103" i="16"/>
  <c r="BG103" i="16"/>
  <c r="BF103" i="16"/>
  <c r="T103" i="16"/>
  <c r="R103" i="16"/>
  <c r="P103" i="16"/>
  <c r="BI101" i="16"/>
  <c r="BH101" i="16"/>
  <c r="BG101" i="16"/>
  <c r="BF101" i="16"/>
  <c r="T101" i="16"/>
  <c r="R101" i="16"/>
  <c r="P101" i="16"/>
  <c r="BI99" i="16"/>
  <c r="BH99" i="16"/>
  <c r="BG99" i="16"/>
  <c r="BF99" i="16"/>
  <c r="T99" i="16"/>
  <c r="R99" i="16"/>
  <c r="P99" i="16"/>
  <c r="BI98" i="16"/>
  <c r="BH98" i="16"/>
  <c r="BG98" i="16"/>
  <c r="BF98" i="16"/>
  <c r="T98" i="16"/>
  <c r="R98" i="16"/>
  <c r="P98" i="16"/>
  <c r="J92" i="16"/>
  <c r="J91" i="16"/>
  <c r="F91" i="16"/>
  <c r="F89" i="16"/>
  <c r="E87" i="16"/>
  <c r="J63" i="16"/>
  <c r="J62" i="16"/>
  <c r="F62" i="16"/>
  <c r="F60" i="16"/>
  <c r="E58" i="16"/>
  <c r="J22" i="16"/>
  <c r="E22" i="16"/>
  <c r="F63" i="16"/>
  <c r="J21" i="16"/>
  <c r="J16" i="16"/>
  <c r="J60" i="16"/>
  <c r="E7" i="16"/>
  <c r="E81" i="16" s="1"/>
  <c r="J41" i="15"/>
  <c r="J40" i="15"/>
  <c r="AY70" i="1"/>
  <c r="J39" i="15"/>
  <c r="AX70" i="1" s="1"/>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4" i="15"/>
  <c r="BH134" i="15"/>
  <c r="BG134" i="15"/>
  <c r="BF134" i="15"/>
  <c r="T134" i="15"/>
  <c r="R134" i="15"/>
  <c r="P134" i="15"/>
  <c r="BI133" i="15"/>
  <c r="BH133" i="15"/>
  <c r="BG133" i="15"/>
  <c r="BF133" i="15"/>
  <c r="T133" i="15"/>
  <c r="R133" i="15"/>
  <c r="P133" i="15"/>
  <c r="BI127" i="15"/>
  <c r="BH127" i="15"/>
  <c r="BG127" i="15"/>
  <c r="BF127" i="15"/>
  <c r="T127" i="15"/>
  <c r="R127" i="15"/>
  <c r="P127" i="15"/>
  <c r="BI126" i="15"/>
  <c r="BH126" i="15"/>
  <c r="BG126" i="15"/>
  <c r="BF126" i="15"/>
  <c r="T126" i="15"/>
  <c r="R126" i="15"/>
  <c r="P126" i="15"/>
  <c r="BI121" i="15"/>
  <c r="BH121" i="15"/>
  <c r="BG121" i="15"/>
  <c r="BF121" i="15"/>
  <c r="T121" i="15"/>
  <c r="R121" i="15"/>
  <c r="P121"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3" i="15"/>
  <c r="BH103" i="15"/>
  <c r="BG103" i="15"/>
  <c r="BF103" i="15"/>
  <c r="T103" i="15"/>
  <c r="R103" i="15"/>
  <c r="P103" i="15"/>
  <c r="BI101" i="15"/>
  <c r="BH101" i="15"/>
  <c r="BG101" i="15"/>
  <c r="BF101" i="15"/>
  <c r="T101" i="15"/>
  <c r="R101" i="15"/>
  <c r="P101" i="15"/>
  <c r="BI99" i="15"/>
  <c r="BH99" i="15"/>
  <c r="BG99" i="15"/>
  <c r="BF99" i="15"/>
  <c r="T99" i="15"/>
  <c r="R99" i="15"/>
  <c r="P99" i="15"/>
  <c r="BI98" i="15"/>
  <c r="BH98" i="15"/>
  <c r="BG98" i="15"/>
  <c r="BF98" i="15"/>
  <c r="T98" i="15"/>
  <c r="R98" i="15"/>
  <c r="P98" i="15"/>
  <c r="J92" i="15"/>
  <c r="J91" i="15"/>
  <c r="F91" i="15"/>
  <c r="F89" i="15"/>
  <c r="E87" i="15"/>
  <c r="J63" i="15"/>
  <c r="J62" i="15"/>
  <c r="F62" i="15"/>
  <c r="F60" i="15"/>
  <c r="E58" i="15"/>
  <c r="J22" i="15"/>
  <c r="E22" i="15"/>
  <c r="F92" i="15"/>
  <c r="J21" i="15"/>
  <c r="J16" i="15"/>
  <c r="J60" i="15"/>
  <c r="E7" i="15"/>
  <c r="E81" i="15" s="1"/>
  <c r="J41" i="14"/>
  <c r="J40" i="14"/>
  <c r="AY69" i="1"/>
  <c r="J39" i="14"/>
  <c r="AX69" i="1"/>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0" i="14"/>
  <c r="BH150" i="14"/>
  <c r="BG150" i="14"/>
  <c r="BF150" i="14"/>
  <c r="T150" i="14"/>
  <c r="R150" i="14"/>
  <c r="P150" i="14"/>
  <c r="BI149" i="14"/>
  <c r="BH149" i="14"/>
  <c r="BG149" i="14"/>
  <c r="BF149" i="14"/>
  <c r="T149" i="14"/>
  <c r="R149" i="14"/>
  <c r="P149" i="14"/>
  <c r="BI143" i="14"/>
  <c r="BH143" i="14"/>
  <c r="BG143" i="14"/>
  <c r="BF143" i="14"/>
  <c r="T143" i="14"/>
  <c r="R143" i="14"/>
  <c r="P143" i="14"/>
  <c r="BI141" i="14"/>
  <c r="BH141" i="14"/>
  <c r="BG141" i="14"/>
  <c r="BF141" i="14"/>
  <c r="T141" i="14"/>
  <c r="R141" i="14"/>
  <c r="P141"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3" i="14"/>
  <c r="BH123" i="14"/>
  <c r="BG123" i="14"/>
  <c r="BF123" i="14"/>
  <c r="T123" i="14"/>
  <c r="R123" i="14"/>
  <c r="P123"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5" i="14"/>
  <c r="BH115" i="14"/>
  <c r="BG115" i="14"/>
  <c r="BF115" i="14"/>
  <c r="T115" i="14"/>
  <c r="R115" i="14"/>
  <c r="P115" i="14"/>
  <c r="BI113" i="14"/>
  <c r="BH113" i="14"/>
  <c r="BG113" i="14"/>
  <c r="BF113" i="14"/>
  <c r="T113" i="14"/>
  <c r="R113" i="14"/>
  <c r="P113" i="14"/>
  <c r="BI112" i="14"/>
  <c r="BH112" i="14"/>
  <c r="BG112" i="14"/>
  <c r="BF112" i="14"/>
  <c r="T112" i="14"/>
  <c r="R112" i="14"/>
  <c r="P112" i="14"/>
  <c r="BI110" i="14"/>
  <c r="BH110" i="14"/>
  <c r="BG110" i="14"/>
  <c r="BF110" i="14"/>
  <c r="T110" i="14"/>
  <c r="R110" i="14"/>
  <c r="P110" i="14"/>
  <c r="BI109" i="14"/>
  <c r="BH109" i="14"/>
  <c r="BG109" i="14"/>
  <c r="BF109" i="14"/>
  <c r="T109" i="14"/>
  <c r="R109" i="14"/>
  <c r="P109" i="14"/>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1" i="14"/>
  <c r="BH101" i="14"/>
  <c r="BG101" i="14"/>
  <c r="BF101" i="14"/>
  <c r="T101" i="14"/>
  <c r="R101" i="14"/>
  <c r="P101" i="14"/>
  <c r="BI99" i="14"/>
  <c r="BH99" i="14"/>
  <c r="BG99" i="14"/>
  <c r="BF99" i="14"/>
  <c r="T99" i="14"/>
  <c r="R99" i="14"/>
  <c r="P99" i="14"/>
  <c r="BI98" i="14"/>
  <c r="BH98" i="14"/>
  <c r="BG98" i="14"/>
  <c r="BF98" i="14"/>
  <c r="T98" i="14"/>
  <c r="R98" i="14"/>
  <c r="P98" i="14"/>
  <c r="J92" i="14"/>
  <c r="J91" i="14"/>
  <c r="F91" i="14"/>
  <c r="F89" i="14"/>
  <c r="E87" i="14"/>
  <c r="J63" i="14"/>
  <c r="J62" i="14"/>
  <c r="F62" i="14"/>
  <c r="F60" i="14"/>
  <c r="E58" i="14"/>
  <c r="J22" i="14"/>
  <c r="E22" i="14"/>
  <c r="F63" i="14"/>
  <c r="J21" i="14"/>
  <c r="J16" i="14"/>
  <c r="J89" i="14"/>
  <c r="E7" i="14"/>
  <c r="E52" i="14"/>
  <c r="J41" i="13"/>
  <c r="J40" i="13"/>
  <c r="AY68" i="1"/>
  <c r="J39" i="13"/>
  <c r="AX68" i="1"/>
  <c r="BI139" i="13"/>
  <c r="BH139" i="13"/>
  <c r="BG139" i="13"/>
  <c r="BF139" i="13"/>
  <c r="T139" i="13"/>
  <c r="R139" i="13"/>
  <c r="P139" i="13"/>
  <c r="BI138" i="13"/>
  <c r="BH138" i="13"/>
  <c r="BG138" i="13"/>
  <c r="BF138" i="13"/>
  <c r="T138" i="13"/>
  <c r="R138" i="13"/>
  <c r="P138" i="13"/>
  <c r="BI137" i="13"/>
  <c r="BH137" i="13"/>
  <c r="BG137" i="13"/>
  <c r="BF137" i="13"/>
  <c r="T137" i="13"/>
  <c r="R137" i="13"/>
  <c r="P137" i="13"/>
  <c r="BI135" i="13"/>
  <c r="BH135" i="13"/>
  <c r="BG135" i="13"/>
  <c r="BF135" i="13"/>
  <c r="T135" i="13"/>
  <c r="R135" i="13"/>
  <c r="P135"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8" i="13"/>
  <c r="BH128" i="13"/>
  <c r="BG128" i="13"/>
  <c r="BF128" i="13"/>
  <c r="T128" i="13"/>
  <c r="R128" i="13"/>
  <c r="P128" i="13"/>
  <c r="BI124" i="13"/>
  <c r="BH124" i="13"/>
  <c r="BG124" i="13"/>
  <c r="BF124" i="13"/>
  <c r="T124" i="13"/>
  <c r="R124" i="13"/>
  <c r="P124" i="13"/>
  <c r="BI120" i="13"/>
  <c r="BH120" i="13"/>
  <c r="BG120" i="13"/>
  <c r="BF120" i="13"/>
  <c r="T120" i="13"/>
  <c r="R120" i="13"/>
  <c r="P120" i="13"/>
  <c r="BI118" i="13"/>
  <c r="BH118" i="13"/>
  <c r="BG118" i="13"/>
  <c r="BF118" i="13"/>
  <c r="T118" i="13"/>
  <c r="R118" i="13"/>
  <c r="P118" i="13"/>
  <c r="BI117" i="13"/>
  <c r="BH117" i="13"/>
  <c r="BG117" i="13"/>
  <c r="BF117" i="13"/>
  <c r="T117" i="13"/>
  <c r="R117" i="13"/>
  <c r="P117" i="13"/>
  <c r="BI115" i="13"/>
  <c r="BH115" i="13"/>
  <c r="BG115" i="13"/>
  <c r="BF115" i="13"/>
  <c r="T115" i="13"/>
  <c r="R115" i="13"/>
  <c r="P115" i="13"/>
  <c r="BI114" i="13"/>
  <c r="BH114" i="13"/>
  <c r="BG114" i="13"/>
  <c r="BF114" i="13"/>
  <c r="T114" i="13"/>
  <c r="R114" i="13"/>
  <c r="P114" i="13"/>
  <c r="BI111" i="13"/>
  <c r="BH111" i="13"/>
  <c r="BG111" i="13"/>
  <c r="BF111" i="13"/>
  <c r="T111" i="13"/>
  <c r="R111" i="13"/>
  <c r="P111" i="13"/>
  <c r="BI110" i="13"/>
  <c r="BH110" i="13"/>
  <c r="BG110" i="13"/>
  <c r="BF110" i="13"/>
  <c r="T110" i="13"/>
  <c r="R110" i="13"/>
  <c r="P110"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2" i="13"/>
  <c r="BH102" i="13"/>
  <c r="BG102" i="13"/>
  <c r="BF102" i="13"/>
  <c r="T102" i="13"/>
  <c r="R102" i="13"/>
  <c r="P102" i="13"/>
  <c r="BI101" i="13"/>
  <c r="BH101" i="13"/>
  <c r="BG101" i="13"/>
  <c r="BF101" i="13"/>
  <c r="T101" i="13"/>
  <c r="R101" i="13"/>
  <c r="P101" i="13"/>
  <c r="BI99" i="13"/>
  <c r="BH99" i="13"/>
  <c r="BG99" i="13"/>
  <c r="BF99" i="13"/>
  <c r="T99" i="13"/>
  <c r="R99" i="13"/>
  <c r="P99" i="13"/>
  <c r="BI98" i="13"/>
  <c r="BH98" i="13"/>
  <c r="BG98" i="13"/>
  <c r="BF98" i="13"/>
  <c r="T98" i="13"/>
  <c r="R98" i="13"/>
  <c r="P98" i="13"/>
  <c r="J92" i="13"/>
  <c r="J91" i="13"/>
  <c r="F91" i="13"/>
  <c r="F89" i="13"/>
  <c r="E87" i="13"/>
  <c r="J63" i="13"/>
  <c r="J62" i="13"/>
  <c r="F62" i="13"/>
  <c r="F60" i="13"/>
  <c r="E58" i="13"/>
  <c r="J22" i="13"/>
  <c r="E22" i="13"/>
  <c r="F63" i="13"/>
  <c r="J21" i="13"/>
  <c r="J16" i="13"/>
  <c r="J60" i="13" s="1"/>
  <c r="E7" i="13"/>
  <c r="E81" i="13"/>
  <c r="J41" i="12"/>
  <c r="J40" i="12"/>
  <c r="AY67" i="1"/>
  <c r="J39" i="12"/>
  <c r="AX67" i="1"/>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1" i="12"/>
  <c r="BH171" i="12"/>
  <c r="BG171" i="12"/>
  <c r="BF171" i="12"/>
  <c r="T171" i="12"/>
  <c r="R171" i="12"/>
  <c r="P171" i="12"/>
  <c r="BI167" i="12"/>
  <c r="BH167" i="12"/>
  <c r="BG167" i="12"/>
  <c r="BF167" i="12"/>
  <c r="T167" i="12"/>
  <c r="R167" i="12"/>
  <c r="P167" i="12"/>
  <c r="BI163" i="12"/>
  <c r="BH163" i="12"/>
  <c r="BG163" i="12"/>
  <c r="BF163" i="12"/>
  <c r="T163" i="12"/>
  <c r="R163" i="12"/>
  <c r="P163" i="12"/>
  <c r="BI161" i="12"/>
  <c r="BH161" i="12"/>
  <c r="BG161" i="12"/>
  <c r="BF161" i="12"/>
  <c r="T161" i="12"/>
  <c r="R161" i="12"/>
  <c r="P161" i="12"/>
  <c r="BI157" i="12"/>
  <c r="BH157" i="12"/>
  <c r="BG157" i="12"/>
  <c r="BF157" i="12"/>
  <c r="T157" i="12"/>
  <c r="R157" i="12"/>
  <c r="P157"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36" i="12"/>
  <c r="BH136" i="12"/>
  <c r="BG136" i="12"/>
  <c r="BF136" i="12"/>
  <c r="T136" i="12"/>
  <c r="R136" i="12"/>
  <c r="P136" i="12"/>
  <c r="BI125" i="12"/>
  <c r="BH125" i="12"/>
  <c r="BG125" i="12"/>
  <c r="BF125" i="12"/>
  <c r="T125" i="12"/>
  <c r="R125" i="12"/>
  <c r="P125" i="12"/>
  <c r="BI121" i="12"/>
  <c r="BH121" i="12"/>
  <c r="BG121" i="12"/>
  <c r="BF121" i="12"/>
  <c r="T121" i="12"/>
  <c r="R121" i="12"/>
  <c r="P121" i="12"/>
  <c r="BI118" i="12"/>
  <c r="BH118" i="12"/>
  <c r="BG118" i="12"/>
  <c r="BF118" i="12"/>
  <c r="T118" i="12"/>
  <c r="R118" i="12"/>
  <c r="P118" i="12"/>
  <c r="BI117" i="12"/>
  <c r="BH117" i="12"/>
  <c r="BG117" i="12"/>
  <c r="BF117" i="12"/>
  <c r="T117" i="12"/>
  <c r="R117" i="12"/>
  <c r="P117"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3" i="12"/>
  <c r="BH103" i="12"/>
  <c r="BG103" i="12"/>
  <c r="BF103" i="12"/>
  <c r="T103" i="12"/>
  <c r="R103" i="12"/>
  <c r="P103" i="12"/>
  <c r="BI101" i="12"/>
  <c r="BH101" i="12"/>
  <c r="BG101" i="12"/>
  <c r="BF101" i="12"/>
  <c r="T101" i="12"/>
  <c r="R101" i="12"/>
  <c r="P101" i="12"/>
  <c r="BI99" i="12"/>
  <c r="BH99" i="12"/>
  <c r="F40" i="12" s="1"/>
  <c r="BG99" i="12"/>
  <c r="BF99" i="12"/>
  <c r="T99" i="12"/>
  <c r="R99" i="12"/>
  <c r="P99" i="12"/>
  <c r="BI98" i="12"/>
  <c r="BH98" i="12"/>
  <c r="BG98" i="12"/>
  <c r="BF98" i="12"/>
  <c r="T98" i="12"/>
  <c r="R98" i="12"/>
  <c r="P98" i="12"/>
  <c r="J92" i="12"/>
  <c r="J91" i="12"/>
  <c r="F91" i="12"/>
  <c r="F89" i="12"/>
  <c r="E87" i="12"/>
  <c r="J63" i="12"/>
  <c r="J62" i="12"/>
  <c r="F62" i="12"/>
  <c r="F60" i="12"/>
  <c r="E58" i="12"/>
  <c r="J22" i="12"/>
  <c r="E22" i="12"/>
  <c r="F63" i="12" s="1"/>
  <c r="J21" i="12"/>
  <c r="J16" i="12"/>
  <c r="J60" i="12" s="1"/>
  <c r="E7" i="12"/>
  <c r="E52" i="12"/>
  <c r="J41" i="11"/>
  <c r="J40" i="11"/>
  <c r="AY66" i="1" s="1"/>
  <c r="J39" i="11"/>
  <c r="AX66" i="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69" i="11"/>
  <c r="BH169" i="11"/>
  <c r="BG169" i="11"/>
  <c r="BF169" i="11"/>
  <c r="T169" i="11"/>
  <c r="R169" i="11"/>
  <c r="P169" i="11"/>
  <c r="BI168" i="11"/>
  <c r="BH168" i="11"/>
  <c r="BG168" i="11"/>
  <c r="BF168" i="11"/>
  <c r="T168" i="11"/>
  <c r="R168" i="11"/>
  <c r="P168" i="11"/>
  <c r="BI164" i="11"/>
  <c r="BH164" i="11"/>
  <c r="BG164" i="11"/>
  <c r="BF164" i="11"/>
  <c r="T164" i="11"/>
  <c r="R164" i="11"/>
  <c r="P164" i="11"/>
  <c r="BI158" i="11"/>
  <c r="BH158" i="11"/>
  <c r="BG158" i="11"/>
  <c r="BF158" i="11"/>
  <c r="T158" i="11"/>
  <c r="R158" i="11"/>
  <c r="P158" i="11"/>
  <c r="BI156" i="11"/>
  <c r="BH156" i="11"/>
  <c r="BG156" i="11"/>
  <c r="BF156" i="11"/>
  <c r="T156" i="11"/>
  <c r="R156" i="11"/>
  <c r="P156" i="11"/>
  <c r="BI152" i="11"/>
  <c r="BH152" i="11"/>
  <c r="BG152" i="11"/>
  <c r="BF152" i="11"/>
  <c r="T152" i="11"/>
  <c r="R152" i="11"/>
  <c r="P152" i="11"/>
  <c r="BI148" i="11"/>
  <c r="BH148" i="11"/>
  <c r="BG148" i="11"/>
  <c r="BF148" i="11"/>
  <c r="T148" i="11"/>
  <c r="R148" i="11"/>
  <c r="P148" i="11"/>
  <c r="BI147" i="11"/>
  <c r="BH147" i="11"/>
  <c r="BG147" i="11"/>
  <c r="BF147" i="11"/>
  <c r="T147" i="11"/>
  <c r="R147" i="11"/>
  <c r="P147" i="11"/>
  <c r="BI143" i="11"/>
  <c r="BH143" i="11"/>
  <c r="BG143" i="11"/>
  <c r="BF143" i="11"/>
  <c r="T143" i="11"/>
  <c r="R143" i="11"/>
  <c r="P143" i="11"/>
  <c r="BI142" i="11"/>
  <c r="BH142" i="11"/>
  <c r="BG142" i="11"/>
  <c r="BF142" i="11"/>
  <c r="T142" i="11"/>
  <c r="R142" i="11"/>
  <c r="P142" i="11"/>
  <c r="BI137" i="11"/>
  <c r="BH137" i="11"/>
  <c r="BG137" i="11"/>
  <c r="BF137" i="11"/>
  <c r="T137" i="11"/>
  <c r="R137" i="11"/>
  <c r="P137" i="11"/>
  <c r="BI126" i="11"/>
  <c r="BH126" i="11"/>
  <c r="BG126" i="11"/>
  <c r="BF126" i="11"/>
  <c r="T126" i="11"/>
  <c r="R126" i="11"/>
  <c r="P126" i="11"/>
  <c r="BI122" i="11"/>
  <c r="BH122" i="11"/>
  <c r="BG122" i="11"/>
  <c r="BF122" i="11"/>
  <c r="T122" i="11"/>
  <c r="R122" i="11"/>
  <c r="P122" i="11"/>
  <c r="BI120" i="11"/>
  <c r="BH120" i="11"/>
  <c r="BG120" i="11"/>
  <c r="BF120" i="11"/>
  <c r="T120" i="11"/>
  <c r="R120" i="11"/>
  <c r="P120" i="11"/>
  <c r="BI118" i="11"/>
  <c r="BH118" i="11"/>
  <c r="BG118" i="11"/>
  <c r="BF118" i="11"/>
  <c r="T118" i="11"/>
  <c r="R118" i="11"/>
  <c r="P118" i="11"/>
  <c r="BI117" i="11"/>
  <c r="BH117" i="11"/>
  <c r="BG117" i="11"/>
  <c r="BF117" i="11"/>
  <c r="T117" i="11"/>
  <c r="R117" i="11"/>
  <c r="P117" i="11"/>
  <c r="BI115" i="11"/>
  <c r="BH115" i="11"/>
  <c r="BG115" i="11"/>
  <c r="BF115" i="11"/>
  <c r="T115" i="11"/>
  <c r="R115" i="11"/>
  <c r="P115" i="11"/>
  <c r="BI114" i="11"/>
  <c r="BH114" i="11"/>
  <c r="BG114" i="11"/>
  <c r="BF114" i="11"/>
  <c r="T114" i="11"/>
  <c r="R114" i="11"/>
  <c r="P114"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6" i="11"/>
  <c r="BH106" i="11"/>
  <c r="BG106" i="11"/>
  <c r="BF106" i="11"/>
  <c r="T106" i="11"/>
  <c r="R106" i="11"/>
  <c r="P106"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8" i="11"/>
  <c r="BH98" i="11"/>
  <c r="BG98" i="11"/>
  <c r="BF98" i="11"/>
  <c r="T98" i="11"/>
  <c r="R98" i="11"/>
  <c r="P98" i="11"/>
  <c r="J92" i="11"/>
  <c r="J91" i="11"/>
  <c r="F91" i="11"/>
  <c r="F89" i="11"/>
  <c r="E87" i="11"/>
  <c r="J63" i="11"/>
  <c r="J62" i="11"/>
  <c r="F62" i="11"/>
  <c r="F60" i="11"/>
  <c r="E58" i="11"/>
  <c r="J22" i="11"/>
  <c r="E22" i="11"/>
  <c r="F92" i="11"/>
  <c r="J21" i="11"/>
  <c r="J16" i="11"/>
  <c r="J89" i="11" s="1"/>
  <c r="E7" i="11"/>
  <c r="E81" i="11"/>
  <c r="J41" i="10"/>
  <c r="J40" i="10"/>
  <c r="AY65" i="1"/>
  <c r="J39" i="10"/>
  <c r="AX65" i="1"/>
  <c r="BI230" i="10"/>
  <c r="BH230" i="10"/>
  <c r="BG230" i="10"/>
  <c r="BF230" i="10"/>
  <c r="T230" i="10"/>
  <c r="R230" i="10"/>
  <c r="P230" i="10"/>
  <c r="BI229" i="10"/>
  <c r="BH229" i="10"/>
  <c r="BG229" i="10"/>
  <c r="BF229" i="10"/>
  <c r="T229" i="10"/>
  <c r="R229" i="10"/>
  <c r="P229" i="10"/>
  <c r="BI228" i="10"/>
  <c r="BH228" i="10"/>
  <c r="BG228" i="10"/>
  <c r="BF228" i="10"/>
  <c r="T228" i="10"/>
  <c r="R228" i="10"/>
  <c r="P228" i="10"/>
  <c r="BI226" i="10"/>
  <c r="BH226" i="10"/>
  <c r="BG226" i="10"/>
  <c r="BF226" i="10"/>
  <c r="T226" i="10"/>
  <c r="R226" i="10"/>
  <c r="P226"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6" i="10"/>
  <c r="BH186" i="10"/>
  <c r="BG186" i="10"/>
  <c r="BF186" i="10"/>
  <c r="T186" i="10"/>
  <c r="R186" i="10"/>
  <c r="P186" i="10"/>
  <c r="BI181" i="10"/>
  <c r="BH181" i="10"/>
  <c r="BG181" i="10"/>
  <c r="BF181" i="10"/>
  <c r="T181" i="10"/>
  <c r="R181" i="10"/>
  <c r="P181"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1" i="10"/>
  <c r="BH151" i="10"/>
  <c r="BG151" i="10"/>
  <c r="BF151" i="10"/>
  <c r="T151" i="10"/>
  <c r="R151" i="10"/>
  <c r="P151" i="10"/>
  <c r="BI146" i="10"/>
  <c r="BH146" i="10"/>
  <c r="BG146" i="10"/>
  <c r="BF146" i="10"/>
  <c r="T146" i="10"/>
  <c r="R146" i="10"/>
  <c r="P146" i="10"/>
  <c r="BI133" i="10"/>
  <c r="BH133" i="10"/>
  <c r="BG133" i="10"/>
  <c r="BF133" i="10"/>
  <c r="T133" i="10"/>
  <c r="R133" i="10"/>
  <c r="P133" i="10"/>
  <c r="BI130" i="10"/>
  <c r="BH130" i="10"/>
  <c r="BG130" i="10"/>
  <c r="BF130" i="10"/>
  <c r="T130" i="10"/>
  <c r="R130" i="10"/>
  <c r="P130" i="10"/>
  <c r="BI127" i="10"/>
  <c r="BH127" i="10"/>
  <c r="BG127" i="10"/>
  <c r="BF127" i="10"/>
  <c r="T127" i="10"/>
  <c r="R127" i="10"/>
  <c r="P127"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6" i="10"/>
  <c r="BH116" i="10"/>
  <c r="BG116" i="10"/>
  <c r="BF116" i="10"/>
  <c r="T116" i="10"/>
  <c r="R116" i="10"/>
  <c r="P116" i="10"/>
  <c r="BI113" i="10"/>
  <c r="BH113" i="10"/>
  <c r="BG113" i="10"/>
  <c r="BF113" i="10"/>
  <c r="T113" i="10"/>
  <c r="R113" i="10"/>
  <c r="P113" i="10"/>
  <c r="BI112" i="10"/>
  <c r="BH112" i="10"/>
  <c r="BG112" i="10"/>
  <c r="BF112" i="10"/>
  <c r="T112" i="10"/>
  <c r="R112" i="10"/>
  <c r="P112" i="10"/>
  <c r="BI109" i="10"/>
  <c r="BH109" i="10"/>
  <c r="BG109" i="10"/>
  <c r="BF109" i="10"/>
  <c r="T109" i="10"/>
  <c r="R109" i="10"/>
  <c r="P109" i="10"/>
  <c r="BI108" i="10"/>
  <c r="BH108" i="10"/>
  <c r="BG108" i="10"/>
  <c r="BF108" i="10"/>
  <c r="T108" i="10"/>
  <c r="R108" i="10"/>
  <c r="P108" i="10"/>
  <c r="BI107" i="10"/>
  <c r="BH107" i="10"/>
  <c r="BG107" i="10"/>
  <c r="BF107" i="10"/>
  <c r="T107" i="10"/>
  <c r="R107" i="10"/>
  <c r="P107" i="10"/>
  <c r="BI105" i="10"/>
  <c r="BH105" i="10"/>
  <c r="BG105" i="10"/>
  <c r="BF105" i="10"/>
  <c r="T105" i="10"/>
  <c r="R105" i="10"/>
  <c r="P105" i="10"/>
  <c r="BI104" i="10"/>
  <c r="BH104" i="10"/>
  <c r="BG104" i="10"/>
  <c r="BF104" i="10"/>
  <c r="T104" i="10"/>
  <c r="R104" i="10"/>
  <c r="P104" i="10"/>
  <c r="BI101" i="10"/>
  <c r="BH101" i="10"/>
  <c r="BG101" i="10"/>
  <c r="BF101" i="10"/>
  <c r="T101" i="10"/>
  <c r="R101" i="10"/>
  <c r="P101" i="10"/>
  <c r="BI99" i="10"/>
  <c r="BH99" i="10"/>
  <c r="BG99" i="10"/>
  <c r="BF99" i="10"/>
  <c r="T99" i="10"/>
  <c r="R99" i="10"/>
  <c r="P99" i="10"/>
  <c r="BI98" i="10"/>
  <c r="BH98" i="10"/>
  <c r="BG98" i="10"/>
  <c r="BF98" i="10"/>
  <c r="T98" i="10"/>
  <c r="R98" i="10"/>
  <c r="P98" i="10"/>
  <c r="J92" i="10"/>
  <c r="J91" i="10"/>
  <c r="F91" i="10"/>
  <c r="F89" i="10"/>
  <c r="E87" i="10"/>
  <c r="J63" i="10"/>
  <c r="J62" i="10"/>
  <c r="F62" i="10"/>
  <c r="F60" i="10"/>
  <c r="E58" i="10"/>
  <c r="J22" i="10"/>
  <c r="E22" i="10"/>
  <c r="F92" i="10" s="1"/>
  <c r="J21" i="10"/>
  <c r="J16" i="10"/>
  <c r="J89" i="10" s="1"/>
  <c r="E7" i="10"/>
  <c r="E52" i="10" s="1"/>
  <c r="J41" i="9"/>
  <c r="J40" i="9"/>
  <c r="AY64" i="1" s="1"/>
  <c r="J39" i="9"/>
  <c r="AX64" i="1"/>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7" i="9"/>
  <c r="BH167" i="9"/>
  <c r="BG167" i="9"/>
  <c r="BF167" i="9"/>
  <c r="T167" i="9"/>
  <c r="R167" i="9"/>
  <c r="P167" i="9"/>
  <c r="BI166" i="9"/>
  <c r="BH166" i="9"/>
  <c r="BG166" i="9"/>
  <c r="BF166" i="9"/>
  <c r="T166" i="9"/>
  <c r="R166" i="9"/>
  <c r="P166" i="9"/>
  <c r="BI164" i="9"/>
  <c r="BH164" i="9"/>
  <c r="BG164" i="9"/>
  <c r="BF164" i="9"/>
  <c r="T164" i="9"/>
  <c r="R164" i="9"/>
  <c r="P164" i="9"/>
  <c r="BI163" i="9"/>
  <c r="BH163" i="9"/>
  <c r="BG163" i="9"/>
  <c r="BF163" i="9"/>
  <c r="T163" i="9"/>
  <c r="R163" i="9"/>
  <c r="P163" i="9"/>
  <c r="BI159" i="9"/>
  <c r="BH159" i="9"/>
  <c r="BG159" i="9"/>
  <c r="BF159" i="9"/>
  <c r="T159" i="9"/>
  <c r="R159" i="9"/>
  <c r="P159"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7" i="9"/>
  <c r="BH147" i="9"/>
  <c r="BG147" i="9"/>
  <c r="BF147" i="9"/>
  <c r="T147" i="9"/>
  <c r="R147" i="9"/>
  <c r="P147"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40" i="9"/>
  <c r="BH140" i="9"/>
  <c r="BG140" i="9"/>
  <c r="BF140" i="9"/>
  <c r="T140" i="9"/>
  <c r="R140" i="9"/>
  <c r="P140" i="9"/>
  <c r="BI133" i="9"/>
  <c r="BH133" i="9"/>
  <c r="BG133" i="9"/>
  <c r="BF133" i="9"/>
  <c r="T133" i="9"/>
  <c r="R133" i="9"/>
  <c r="P133" i="9"/>
  <c r="BI128" i="9"/>
  <c r="BH128" i="9"/>
  <c r="BG128" i="9"/>
  <c r="BF128" i="9"/>
  <c r="T128" i="9"/>
  <c r="R128" i="9"/>
  <c r="P128" i="9"/>
  <c r="BI123" i="9"/>
  <c r="BH123" i="9"/>
  <c r="BG123" i="9"/>
  <c r="BF123" i="9"/>
  <c r="T123" i="9"/>
  <c r="R123" i="9"/>
  <c r="P123" i="9"/>
  <c r="BI121" i="9"/>
  <c r="BH121" i="9"/>
  <c r="BG121" i="9"/>
  <c r="BF121" i="9"/>
  <c r="T121" i="9"/>
  <c r="R121" i="9"/>
  <c r="P121" i="9"/>
  <c r="BI120" i="9"/>
  <c r="BH120" i="9"/>
  <c r="BG120" i="9"/>
  <c r="BF120" i="9"/>
  <c r="T120" i="9"/>
  <c r="R120" i="9"/>
  <c r="P120" i="9"/>
  <c r="BI118" i="9"/>
  <c r="BH118" i="9"/>
  <c r="BG118" i="9"/>
  <c r="BF118" i="9"/>
  <c r="T118" i="9"/>
  <c r="R118" i="9"/>
  <c r="P118" i="9"/>
  <c r="BI117" i="9"/>
  <c r="BH117" i="9"/>
  <c r="BG117" i="9"/>
  <c r="BF117" i="9"/>
  <c r="T117" i="9"/>
  <c r="R117" i="9"/>
  <c r="P117" i="9"/>
  <c r="BI115" i="9"/>
  <c r="BH115" i="9"/>
  <c r="BG115" i="9"/>
  <c r="BF115" i="9"/>
  <c r="T115" i="9"/>
  <c r="R115" i="9"/>
  <c r="P115" i="9"/>
  <c r="BI113" i="9"/>
  <c r="BH113" i="9"/>
  <c r="BG113" i="9"/>
  <c r="BF113" i="9"/>
  <c r="T113" i="9"/>
  <c r="R113" i="9"/>
  <c r="P113" i="9"/>
  <c r="BI112" i="9"/>
  <c r="BH112" i="9"/>
  <c r="BG112" i="9"/>
  <c r="BF112" i="9"/>
  <c r="T112" i="9"/>
  <c r="R112" i="9"/>
  <c r="P112"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BI103" i="9"/>
  <c r="BH103" i="9"/>
  <c r="BG103" i="9"/>
  <c r="BF103" i="9"/>
  <c r="T103" i="9"/>
  <c r="R103" i="9"/>
  <c r="P103" i="9"/>
  <c r="BI101" i="9"/>
  <c r="BH101" i="9"/>
  <c r="BG101" i="9"/>
  <c r="BF101" i="9"/>
  <c r="T101" i="9"/>
  <c r="R101" i="9"/>
  <c r="P101" i="9"/>
  <c r="BI99" i="9"/>
  <c r="BH99" i="9"/>
  <c r="BG99" i="9"/>
  <c r="BF99" i="9"/>
  <c r="T99" i="9"/>
  <c r="R99" i="9"/>
  <c r="P99" i="9"/>
  <c r="BI98" i="9"/>
  <c r="BH98" i="9"/>
  <c r="BG98" i="9"/>
  <c r="BF98" i="9"/>
  <c r="T98" i="9"/>
  <c r="R98" i="9"/>
  <c r="P98" i="9"/>
  <c r="J92" i="9"/>
  <c r="J91" i="9"/>
  <c r="F91" i="9"/>
  <c r="F89" i="9"/>
  <c r="E87" i="9"/>
  <c r="J63" i="9"/>
  <c r="J62" i="9"/>
  <c r="F62" i="9"/>
  <c r="F60" i="9"/>
  <c r="E58" i="9"/>
  <c r="J22" i="9"/>
  <c r="E22" i="9"/>
  <c r="F63" i="9"/>
  <c r="J21" i="9"/>
  <c r="J16" i="9"/>
  <c r="J60" i="9" s="1"/>
  <c r="E7" i="9"/>
  <c r="E81" i="9"/>
  <c r="J41" i="8"/>
  <c r="J40" i="8"/>
  <c r="AY63" i="1"/>
  <c r="J39" i="8"/>
  <c r="AX63" i="1"/>
  <c r="BI174" i="8"/>
  <c r="BH174" i="8"/>
  <c r="BG174" i="8"/>
  <c r="BF174" i="8"/>
  <c r="T174" i="8"/>
  <c r="T173" i="8"/>
  <c r="R174" i="8"/>
  <c r="R173" i="8"/>
  <c r="P174" i="8"/>
  <c r="P173" i="8" s="1"/>
  <c r="BI172" i="8"/>
  <c r="BH172" i="8"/>
  <c r="BG172" i="8"/>
  <c r="BF172" i="8"/>
  <c r="T172" i="8"/>
  <c r="R172" i="8"/>
  <c r="P172" i="8"/>
  <c r="BI171" i="8"/>
  <c r="BH171" i="8"/>
  <c r="BG171" i="8"/>
  <c r="BF171" i="8"/>
  <c r="T171" i="8"/>
  <c r="R171" i="8"/>
  <c r="P171" i="8"/>
  <c r="BI170" i="8"/>
  <c r="BH170" i="8"/>
  <c r="BG170" i="8"/>
  <c r="BF170" i="8"/>
  <c r="T170" i="8"/>
  <c r="R170" i="8"/>
  <c r="P170"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0" i="8"/>
  <c r="BH150" i="8"/>
  <c r="BG150" i="8"/>
  <c r="BF150" i="8"/>
  <c r="T150" i="8"/>
  <c r="R150" i="8"/>
  <c r="P150"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35" i="8"/>
  <c r="BH135" i="8"/>
  <c r="BG135" i="8"/>
  <c r="BF135" i="8"/>
  <c r="T135" i="8"/>
  <c r="R135" i="8"/>
  <c r="P135" i="8"/>
  <c r="BI126" i="8"/>
  <c r="BH126" i="8"/>
  <c r="BG126" i="8"/>
  <c r="BF126" i="8"/>
  <c r="T126" i="8"/>
  <c r="R126" i="8"/>
  <c r="P126" i="8"/>
  <c r="BI124" i="8"/>
  <c r="BH124" i="8"/>
  <c r="BG124" i="8"/>
  <c r="BF124" i="8"/>
  <c r="T124" i="8"/>
  <c r="R124" i="8"/>
  <c r="P124" i="8"/>
  <c r="BI123" i="8"/>
  <c r="BH123" i="8"/>
  <c r="BG123" i="8"/>
  <c r="BF123" i="8"/>
  <c r="T123" i="8"/>
  <c r="R123" i="8"/>
  <c r="P123" i="8"/>
  <c r="BI121" i="8"/>
  <c r="BH121" i="8"/>
  <c r="BG121" i="8"/>
  <c r="BF121" i="8"/>
  <c r="T121" i="8"/>
  <c r="R121" i="8"/>
  <c r="P121" i="8"/>
  <c r="BI120" i="8"/>
  <c r="BH120" i="8"/>
  <c r="BG120" i="8"/>
  <c r="BF120" i="8"/>
  <c r="T120" i="8"/>
  <c r="R120" i="8"/>
  <c r="P120"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2" i="8"/>
  <c r="BH102" i="8"/>
  <c r="BG102" i="8"/>
  <c r="BF102" i="8"/>
  <c r="T102" i="8"/>
  <c r="R102" i="8"/>
  <c r="P102" i="8"/>
  <c r="BI100" i="8"/>
  <c r="BH100" i="8"/>
  <c r="BG100" i="8"/>
  <c r="BF100" i="8"/>
  <c r="T100" i="8"/>
  <c r="R100" i="8"/>
  <c r="P100" i="8"/>
  <c r="BI99" i="8"/>
  <c r="BH99" i="8"/>
  <c r="BG99" i="8"/>
  <c r="BF99" i="8"/>
  <c r="T99" i="8"/>
  <c r="R99" i="8"/>
  <c r="P99" i="8"/>
  <c r="J93" i="8"/>
  <c r="J92" i="8"/>
  <c r="F92" i="8"/>
  <c r="F90" i="8"/>
  <c r="E88" i="8"/>
  <c r="J63" i="8"/>
  <c r="J62" i="8"/>
  <c r="F62" i="8"/>
  <c r="F60" i="8"/>
  <c r="E58" i="8"/>
  <c r="J22" i="8"/>
  <c r="E22" i="8"/>
  <c r="F63" i="8" s="1"/>
  <c r="J21" i="8"/>
  <c r="J16" i="8"/>
  <c r="J90" i="8" s="1"/>
  <c r="E7" i="8"/>
  <c r="E52" i="8" s="1"/>
  <c r="J41" i="7"/>
  <c r="J40" i="7"/>
  <c r="AY62" i="1"/>
  <c r="J39" i="7"/>
  <c r="AX62" i="1" s="1"/>
  <c r="BI159" i="7"/>
  <c r="BH159" i="7"/>
  <c r="BG159" i="7"/>
  <c r="BF159" i="7"/>
  <c r="T159" i="7"/>
  <c r="T158" i="7"/>
  <c r="R159" i="7"/>
  <c r="R158" i="7" s="1"/>
  <c r="P159"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1" i="7"/>
  <c r="BH151" i="7"/>
  <c r="BG151" i="7"/>
  <c r="BF151" i="7"/>
  <c r="T151" i="7"/>
  <c r="R151" i="7"/>
  <c r="P151" i="7"/>
  <c r="BI150" i="7"/>
  <c r="BH150" i="7"/>
  <c r="BG150" i="7"/>
  <c r="BF150" i="7"/>
  <c r="T150" i="7"/>
  <c r="R150" i="7"/>
  <c r="P150"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5" i="7"/>
  <c r="BH135" i="7"/>
  <c r="BG135" i="7"/>
  <c r="BF135" i="7"/>
  <c r="T135" i="7"/>
  <c r="R135" i="7"/>
  <c r="P135" i="7"/>
  <c r="BI133" i="7"/>
  <c r="BH133" i="7"/>
  <c r="BG133" i="7"/>
  <c r="BF133" i="7"/>
  <c r="T133" i="7"/>
  <c r="R133" i="7"/>
  <c r="P133" i="7"/>
  <c r="BI128" i="7"/>
  <c r="BH128" i="7"/>
  <c r="BG128" i="7"/>
  <c r="BF128" i="7"/>
  <c r="T128" i="7"/>
  <c r="R128" i="7"/>
  <c r="P128" i="7"/>
  <c r="BI121" i="7"/>
  <c r="BH121" i="7"/>
  <c r="BG121" i="7"/>
  <c r="BF121" i="7"/>
  <c r="T121" i="7"/>
  <c r="R121" i="7"/>
  <c r="P121" i="7"/>
  <c r="BI119" i="7"/>
  <c r="BH119" i="7"/>
  <c r="BG119" i="7"/>
  <c r="BF119" i="7"/>
  <c r="T119" i="7"/>
  <c r="R119" i="7"/>
  <c r="P119" i="7"/>
  <c r="BI118" i="7"/>
  <c r="BH118" i="7"/>
  <c r="BG118" i="7"/>
  <c r="BF118" i="7"/>
  <c r="T118" i="7"/>
  <c r="R118" i="7"/>
  <c r="P118" i="7"/>
  <c r="BI116" i="7"/>
  <c r="BH116" i="7"/>
  <c r="BG116" i="7"/>
  <c r="BF116" i="7"/>
  <c r="T116" i="7"/>
  <c r="R116" i="7"/>
  <c r="P116" i="7"/>
  <c r="BI115" i="7"/>
  <c r="BH115" i="7"/>
  <c r="BG115" i="7"/>
  <c r="BF115" i="7"/>
  <c r="T115" i="7"/>
  <c r="R115" i="7"/>
  <c r="P115"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5" i="7"/>
  <c r="BH105" i="7"/>
  <c r="BG105" i="7"/>
  <c r="BF105" i="7"/>
  <c r="T105" i="7"/>
  <c r="R105" i="7"/>
  <c r="P105" i="7"/>
  <c r="BI104" i="7"/>
  <c r="BH104" i="7"/>
  <c r="BG104" i="7"/>
  <c r="BF104" i="7"/>
  <c r="T104" i="7"/>
  <c r="R104" i="7"/>
  <c r="P104" i="7"/>
  <c r="BI102" i="7"/>
  <c r="BH102" i="7"/>
  <c r="BG102" i="7"/>
  <c r="BF102" i="7"/>
  <c r="T102" i="7"/>
  <c r="R102" i="7"/>
  <c r="P102" i="7"/>
  <c r="BI100" i="7"/>
  <c r="BH100" i="7"/>
  <c r="BG100" i="7"/>
  <c r="BF100" i="7"/>
  <c r="T100" i="7"/>
  <c r="R100" i="7"/>
  <c r="P100" i="7"/>
  <c r="BI99" i="7"/>
  <c r="BH99" i="7"/>
  <c r="BG99" i="7"/>
  <c r="BF99" i="7"/>
  <c r="T99" i="7"/>
  <c r="R99" i="7"/>
  <c r="P99" i="7"/>
  <c r="J93" i="7"/>
  <c r="J92" i="7"/>
  <c r="F92" i="7"/>
  <c r="F90" i="7"/>
  <c r="E88" i="7"/>
  <c r="J63" i="7"/>
  <c r="J62" i="7"/>
  <c r="F62" i="7"/>
  <c r="F60" i="7"/>
  <c r="E58" i="7"/>
  <c r="J22" i="7"/>
  <c r="E22" i="7"/>
  <c r="F93" i="7"/>
  <c r="J21" i="7"/>
  <c r="J16" i="7"/>
  <c r="J60" i="7"/>
  <c r="E7" i="7"/>
  <c r="E52" i="7"/>
  <c r="J41" i="6"/>
  <c r="J40" i="6"/>
  <c r="AY61" i="1"/>
  <c r="J39" i="6"/>
  <c r="AX61" i="1"/>
  <c r="BI159" i="6"/>
  <c r="BH159" i="6"/>
  <c r="BG159" i="6"/>
  <c r="BF159" i="6"/>
  <c r="T159" i="6"/>
  <c r="T158" i="6"/>
  <c r="R159" i="6"/>
  <c r="R158" i="6"/>
  <c r="P159" i="6"/>
  <c r="P158" i="6" s="1"/>
  <c r="BI157" i="6"/>
  <c r="BH157" i="6"/>
  <c r="BG157" i="6"/>
  <c r="BF157" i="6"/>
  <c r="T157" i="6"/>
  <c r="R157" i="6"/>
  <c r="P157" i="6"/>
  <c r="BI156" i="6"/>
  <c r="BH156" i="6"/>
  <c r="BG156" i="6"/>
  <c r="BF156" i="6"/>
  <c r="T156" i="6"/>
  <c r="R156" i="6"/>
  <c r="P156"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3" i="6"/>
  <c r="BH133" i="6"/>
  <c r="BG133" i="6"/>
  <c r="BF133" i="6"/>
  <c r="T133" i="6"/>
  <c r="R133" i="6"/>
  <c r="P133" i="6"/>
  <c r="BI128" i="6"/>
  <c r="BH128" i="6"/>
  <c r="BG128" i="6"/>
  <c r="BF128" i="6"/>
  <c r="T128" i="6"/>
  <c r="R128" i="6"/>
  <c r="P128" i="6"/>
  <c r="BI121" i="6"/>
  <c r="BH121" i="6"/>
  <c r="BG121" i="6"/>
  <c r="BF121" i="6"/>
  <c r="T121" i="6"/>
  <c r="R121" i="6"/>
  <c r="P121"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1" i="6"/>
  <c r="BH111" i="6"/>
  <c r="BG111" i="6"/>
  <c r="BF111" i="6"/>
  <c r="T111" i="6"/>
  <c r="R111" i="6"/>
  <c r="P111" i="6"/>
  <c r="BI110" i="6"/>
  <c r="BH110" i="6"/>
  <c r="BG110" i="6"/>
  <c r="BF110" i="6"/>
  <c r="T110" i="6"/>
  <c r="R110" i="6"/>
  <c r="P110" i="6"/>
  <c r="BI108" i="6"/>
  <c r="BH108" i="6"/>
  <c r="BG108" i="6"/>
  <c r="BF108" i="6"/>
  <c r="T108" i="6"/>
  <c r="R108" i="6"/>
  <c r="P108" i="6"/>
  <c r="BI107" i="6"/>
  <c r="BH107" i="6"/>
  <c r="BG107" i="6"/>
  <c r="BF107" i="6"/>
  <c r="T107" i="6"/>
  <c r="R107" i="6"/>
  <c r="P107" i="6"/>
  <c r="BI105" i="6"/>
  <c r="BH105" i="6"/>
  <c r="BG105" i="6"/>
  <c r="BF105" i="6"/>
  <c r="T105" i="6"/>
  <c r="R105" i="6"/>
  <c r="P105" i="6"/>
  <c r="BI104" i="6"/>
  <c r="BH104" i="6"/>
  <c r="BG104" i="6"/>
  <c r="BF104" i="6"/>
  <c r="T104" i="6"/>
  <c r="R104" i="6"/>
  <c r="P104" i="6"/>
  <c r="BI102" i="6"/>
  <c r="BH102" i="6"/>
  <c r="BG102" i="6"/>
  <c r="BF102" i="6"/>
  <c r="T102" i="6"/>
  <c r="R102" i="6"/>
  <c r="P102" i="6"/>
  <c r="BI100" i="6"/>
  <c r="BH100" i="6"/>
  <c r="BG100" i="6"/>
  <c r="BF100" i="6"/>
  <c r="T100" i="6"/>
  <c r="R100" i="6"/>
  <c r="P100" i="6"/>
  <c r="BI99" i="6"/>
  <c r="BH99" i="6"/>
  <c r="BG99" i="6"/>
  <c r="BF99" i="6"/>
  <c r="T99" i="6"/>
  <c r="R99" i="6"/>
  <c r="P99" i="6"/>
  <c r="J93" i="6"/>
  <c r="J92" i="6"/>
  <c r="F92" i="6"/>
  <c r="F90" i="6"/>
  <c r="E88" i="6"/>
  <c r="J63" i="6"/>
  <c r="J62" i="6"/>
  <c r="F62" i="6"/>
  <c r="F60" i="6"/>
  <c r="E58" i="6"/>
  <c r="J22" i="6"/>
  <c r="E22" i="6"/>
  <c r="F93" i="6" s="1"/>
  <c r="J21" i="6"/>
  <c r="J16" i="6"/>
  <c r="J90" i="6" s="1"/>
  <c r="E7" i="6"/>
  <c r="E52" i="6" s="1"/>
  <c r="J41" i="5"/>
  <c r="J40" i="5"/>
  <c r="AY60" i="1"/>
  <c r="J39" i="5"/>
  <c r="AX60" i="1"/>
  <c r="BI254" i="5"/>
  <c r="BH254" i="5"/>
  <c r="BG254" i="5"/>
  <c r="BF254" i="5"/>
  <c r="T254" i="5"/>
  <c r="R254" i="5"/>
  <c r="P254" i="5"/>
  <c r="BI253" i="5"/>
  <c r="BH253" i="5"/>
  <c r="BG253" i="5"/>
  <c r="BF253" i="5"/>
  <c r="T253" i="5"/>
  <c r="R253" i="5"/>
  <c r="P253"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2" i="5"/>
  <c r="BH242" i="5"/>
  <c r="BG242" i="5"/>
  <c r="BF242" i="5"/>
  <c r="T242" i="5"/>
  <c r="R242" i="5"/>
  <c r="P242" i="5"/>
  <c r="BI241" i="5"/>
  <c r="BH241" i="5"/>
  <c r="BG241" i="5"/>
  <c r="BF241" i="5"/>
  <c r="T241" i="5"/>
  <c r="R241" i="5"/>
  <c r="P241" i="5"/>
  <c r="BI239" i="5"/>
  <c r="BH239" i="5"/>
  <c r="BG239" i="5"/>
  <c r="BF239" i="5"/>
  <c r="T239" i="5"/>
  <c r="R239" i="5"/>
  <c r="P239" i="5"/>
  <c r="BI238" i="5"/>
  <c r="BH238" i="5"/>
  <c r="BG238" i="5"/>
  <c r="BF238" i="5"/>
  <c r="T238" i="5"/>
  <c r="R238" i="5"/>
  <c r="P238" i="5"/>
  <c r="BI227" i="5"/>
  <c r="BH227" i="5"/>
  <c r="BG227" i="5"/>
  <c r="BF227" i="5"/>
  <c r="T227" i="5"/>
  <c r="R227" i="5"/>
  <c r="P227" i="5"/>
  <c r="BI223" i="5"/>
  <c r="BH223" i="5"/>
  <c r="BG223" i="5"/>
  <c r="BF223" i="5"/>
  <c r="T223" i="5"/>
  <c r="R223" i="5"/>
  <c r="P223" i="5"/>
  <c r="BI215" i="5"/>
  <c r="BH215" i="5"/>
  <c r="BG215" i="5"/>
  <c r="BF215" i="5"/>
  <c r="T215" i="5"/>
  <c r="R215" i="5"/>
  <c r="P215"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89" i="5"/>
  <c r="BH189" i="5"/>
  <c r="BG189" i="5"/>
  <c r="BF189" i="5"/>
  <c r="T189" i="5"/>
  <c r="R189" i="5"/>
  <c r="P189"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R179" i="5"/>
  <c r="P179" i="5"/>
  <c r="BI178" i="5"/>
  <c r="BH178" i="5"/>
  <c r="BG178" i="5"/>
  <c r="BF178" i="5"/>
  <c r="T178" i="5"/>
  <c r="R178" i="5"/>
  <c r="P178" i="5"/>
  <c r="BI173" i="5"/>
  <c r="BH173" i="5"/>
  <c r="BG173" i="5"/>
  <c r="BF173" i="5"/>
  <c r="T173" i="5"/>
  <c r="R173" i="5"/>
  <c r="P173" i="5"/>
  <c r="BI164" i="5"/>
  <c r="BH164" i="5"/>
  <c r="BG164" i="5"/>
  <c r="BF164" i="5"/>
  <c r="T164" i="5"/>
  <c r="R164" i="5"/>
  <c r="P164" i="5"/>
  <c r="BI159" i="5"/>
  <c r="BH159" i="5"/>
  <c r="BG159" i="5"/>
  <c r="BF159" i="5"/>
  <c r="T159" i="5"/>
  <c r="R159" i="5"/>
  <c r="P159" i="5"/>
  <c r="BI150" i="5"/>
  <c r="BH150" i="5"/>
  <c r="BG150" i="5"/>
  <c r="BF150" i="5"/>
  <c r="T150" i="5"/>
  <c r="R150" i="5"/>
  <c r="P150" i="5"/>
  <c r="BI135" i="5"/>
  <c r="BH135" i="5"/>
  <c r="BG135" i="5"/>
  <c r="BF135" i="5"/>
  <c r="T135" i="5"/>
  <c r="R135" i="5"/>
  <c r="P135"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20" i="5"/>
  <c r="BH120" i="5"/>
  <c r="BG120" i="5"/>
  <c r="BF120" i="5"/>
  <c r="T120" i="5"/>
  <c r="R120" i="5"/>
  <c r="P120" i="5"/>
  <c r="BI118" i="5"/>
  <c r="BH118" i="5"/>
  <c r="BG118" i="5"/>
  <c r="BF118" i="5"/>
  <c r="T118" i="5"/>
  <c r="R118" i="5"/>
  <c r="P118"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0" i="5"/>
  <c r="BH110" i="5"/>
  <c r="BG110" i="5"/>
  <c r="BF110" i="5"/>
  <c r="T110" i="5"/>
  <c r="R110" i="5"/>
  <c r="P110" i="5"/>
  <c r="BI109" i="5"/>
  <c r="BH109" i="5"/>
  <c r="BG109" i="5"/>
  <c r="BF109" i="5"/>
  <c r="T109" i="5"/>
  <c r="R109" i="5"/>
  <c r="P109" i="5"/>
  <c r="BI106" i="5"/>
  <c r="BH106" i="5"/>
  <c r="BG106" i="5"/>
  <c r="BF106" i="5"/>
  <c r="T106" i="5"/>
  <c r="R106" i="5"/>
  <c r="P106" i="5"/>
  <c r="BI103" i="5"/>
  <c r="BH103" i="5"/>
  <c r="BG103" i="5"/>
  <c r="BF103" i="5"/>
  <c r="T103" i="5"/>
  <c r="R103" i="5"/>
  <c r="P103" i="5"/>
  <c r="BI101" i="5"/>
  <c r="BH101" i="5"/>
  <c r="BG101" i="5"/>
  <c r="BF101" i="5"/>
  <c r="T101" i="5"/>
  <c r="R101" i="5"/>
  <c r="P101" i="5"/>
  <c r="BI99" i="5"/>
  <c r="BH99" i="5"/>
  <c r="BG99" i="5"/>
  <c r="BF99" i="5"/>
  <c r="T99" i="5"/>
  <c r="R99" i="5"/>
  <c r="P99" i="5"/>
  <c r="BI98" i="5"/>
  <c r="BH98" i="5"/>
  <c r="BG98" i="5"/>
  <c r="BF98" i="5"/>
  <c r="T98" i="5"/>
  <c r="R98" i="5"/>
  <c r="P98" i="5"/>
  <c r="J92" i="5"/>
  <c r="J91" i="5"/>
  <c r="F91" i="5"/>
  <c r="F89" i="5"/>
  <c r="E87" i="5"/>
  <c r="J63" i="5"/>
  <c r="J62" i="5"/>
  <c r="F62" i="5"/>
  <c r="F60" i="5"/>
  <c r="E58" i="5"/>
  <c r="J22" i="5"/>
  <c r="E22" i="5"/>
  <c r="F92" i="5"/>
  <c r="J21" i="5"/>
  <c r="J16" i="5"/>
  <c r="J89" i="5" s="1"/>
  <c r="E7" i="5"/>
  <c r="E52" i="5"/>
  <c r="J39" i="4"/>
  <c r="J38" i="4"/>
  <c r="AY58" i="1"/>
  <c r="J37" i="4"/>
  <c r="AX58" i="1"/>
  <c r="BI535" i="4"/>
  <c r="BH535" i="4"/>
  <c r="BG535" i="4"/>
  <c r="BF535" i="4"/>
  <c r="T535" i="4"/>
  <c r="R535" i="4"/>
  <c r="P535" i="4"/>
  <c r="BI521" i="4"/>
  <c r="BH521" i="4"/>
  <c r="BG521" i="4"/>
  <c r="BF521" i="4"/>
  <c r="T521" i="4"/>
  <c r="R521" i="4"/>
  <c r="P521" i="4"/>
  <c r="BI505" i="4"/>
  <c r="BH505" i="4"/>
  <c r="BG505" i="4"/>
  <c r="BF505" i="4"/>
  <c r="T505" i="4"/>
  <c r="R505" i="4"/>
  <c r="P505" i="4"/>
  <c r="BI491" i="4"/>
  <c r="BH491" i="4"/>
  <c r="BG491" i="4"/>
  <c r="BF491" i="4"/>
  <c r="T491" i="4"/>
  <c r="R491" i="4"/>
  <c r="P491" i="4"/>
  <c r="BI485" i="4"/>
  <c r="BH485" i="4"/>
  <c r="BG485" i="4"/>
  <c r="BF485" i="4"/>
  <c r="T485" i="4"/>
  <c r="R485" i="4"/>
  <c r="P485" i="4"/>
  <c r="BI479" i="4"/>
  <c r="BH479" i="4"/>
  <c r="BG479" i="4"/>
  <c r="BF479" i="4"/>
  <c r="T479" i="4"/>
  <c r="R479" i="4"/>
  <c r="P479" i="4"/>
  <c r="BI475" i="4"/>
  <c r="BH475" i="4"/>
  <c r="BG475" i="4"/>
  <c r="BF475" i="4"/>
  <c r="T475" i="4"/>
  <c r="R475" i="4"/>
  <c r="P475" i="4"/>
  <c r="BI469" i="4"/>
  <c r="BH469" i="4"/>
  <c r="BG469" i="4"/>
  <c r="BF469" i="4"/>
  <c r="T469" i="4"/>
  <c r="R469" i="4"/>
  <c r="P469" i="4"/>
  <c r="BI463" i="4"/>
  <c r="BH463" i="4"/>
  <c r="BG463" i="4"/>
  <c r="BF463" i="4"/>
  <c r="T463" i="4"/>
  <c r="R463" i="4"/>
  <c r="P463" i="4"/>
  <c r="BI461" i="4"/>
  <c r="BH461" i="4"/>
  <c r="BG461" i="4"/>
  <c r="BF461" i="4"/>
  <c r="T461" i="4"/>
  <c r="R461" i="4"/>
  <c r="P461" i="4"/>
  <c r="BI460" i="4"/>
  <c r="BH460" i="4"/>
  <c r="BG460" i="4"/>
  <c r="BF460" i="4"/>
  <c r="T460" i="4"/>
  <c r="R460" i="4"/>
  <c r="P460" i="4"/>
  <c r="BI458" i="4"/>
  <c r="BH458" i="4"/>
  <c r="BG458" i="4"/>
  <c r="BF458" i="4"/>
  <c r="T458" i="4"/>
  <c r="R458" i="4"/>
  <c r="P458" i="4"/>
  <c r="BI454" i="4"/>
  <c r="BH454" i="4"/>
  <c r="BG454" i="4"/>
  <c r="BF454" i="4"/>
  <c r="T454" i="4"/>
  <c r="R454" i="4"/>
  <c r="P454" i="4"/>
  <c r="BI453" i="4"/>
  <c r="BH453" i="4"/>
  <c r="BG453" i="4"/>
  <c r="BF453" i="4"/>
  <c r="T453" i="4"/>
  <c r="R453" i="4"/>
  <c r="P453" i="4"/>
  <c r="BI452" i="4"/>
  <c r="BH452" i="4"/>
  <c r="BG452" i="4"/>
  <c r="BF452" i="4"/>
  <c r="T452" i="4"/>
  <c r="R452" i="4"/>
  <c r="P452" i="4"/>
  <c r="BI451" i="4"/>
  <c r="BH451" i="4"/>
  <c r="BG451" i="4"/>
  <c r="BF451" i="4"/>
  <c r="T451" i="4"/>
  <c r="R451" i="4"/>
  <c r="P451" i="4"/>
  <c r="BI447" i="4"/>
  <c r="BH447" i="4"/>
  <c r="BG447" i="4"/>
  <c r="BF447" i="4"/>
  <c r="T447" i="4"/>
  <c r="R447" i="4"/>
  <c r="P447" i="4"/>
  <c r="BI446" i="4"/>
  <c r="BH446" i="4"/>
  <c r="BG446" i="4"/>
  <c r="BF446" i="4"/>
  <c r="T446" i="4"/>
  <c r="R446" i="4"/>
  <c r="P446" i="4"/>
  <c r="BI445" i="4"/>
  <c r="BH445" i="4"/>
  <c r="BG445" i="4"/>
  <c r="BF445" i="4"/>
  <c r="T445" i="4"/>
  <c r="R445" i="4"/>
  <c r="P445"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40" i="4"/>
  <c r="BH440" i="4"/>
  <c r="BG440" i="4"/>
  <c r="BF440" i="4"/>
  <c r="T440" i="4"/>
  <c r="R440" i="4"/>
  <c r="P440" i="4"/>
  <c r="BI439" i="4"/>
  <c r="BH439" i="4"/>
  <c r="BG439" i="4"/>
  <c r="BF439" i="4"/>
  <c r="T439" i="4"/>
  <c r="R439" i="4"/>
  <c r="P439" i="4"/>
  <c r="BI438" i="4"/>
  <c r="BH438" i="4"/>
  <c r="BG438" i="4"/>
  <c r="BF438" i="4"/>
  <c r="T438" i="4"/>
  <c r="R438" i="4"/>
  <c r="P438" i="4"/>
  <c r="BI437" i="4"/>
  <c r="BH437" i="4"/>
  <c r="BG437" i="4"/>
  <c r="BF437" i="4"/>
  <c r="T437" i="4"/>
  <c r="R437" i="4"/>
  <c r="P437" i="4"/>
  <c r="BI435" i="4"/>
  <c r="BH435" i="4"/>
  <c r="BG435" i="4"/>
  <c r="BF435" i="4"/>
  <c r="T435" i="4"/>
  <c r="R435" i="4"/>
  <c r="P435" i="4"/>
  <c r="BI433" i="4"/>
  <c r="BH433" i="4"/>
  <c r="BG433" i="4"/>
  <c r="BF433" i="4"/>
  <c r="T433" i="4"/>
  <c r="R433" i="4"/>
  <c r="P433" i="4"/>
  <c r="BI430" i="4"/>
  <c r="BH430" i="4"/>
  <c r="BG430" i="4"/>
  <c r="BF430" i="4"/>
  <c r="T430" i="4"/>
  <c r="R430" i="4"/>
  <c r="P430" i="4"/>
  <c r="BI429" i="4"/>
  <c r="BH429" i="4"/>
  <c r="BG429" i="4"/>
  <c r="BF429" i="4"/>
  <c r="T429" i="4"/>
  <c r="R429" i="4"/>
  <c r="P429" i="4"/>
  <c r="BI427" i="4"/>
  <c r="BH427" i="4"/>
  <c r="BG427" i="4"/>
  <c r="BF427" i="4"/>
  <c r="T427" i="4"/>
  <c r="R427" i="4"/>
  <c r="P427" i="4"/>
  <c r="BI425" i="4"/>
  <c r="BH425" i="4"/>
  <c r="BG425" i="4"/>
  <c r="BF425" i="4"/>
  <c r="T425" i="4"/>
  <c r="R425" i="4"/>
  <c r="P425" i="4"/>
  <c r="BI422" i="4"/>
  <c r="BH422" i="4"/>
  <c r="BG422" i="4"/>
  <c r="BF422" i="4"/>
  <c r="T422" i="4"/>
  <c r="R422" i="4"/>
  <c r="P422"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2" i="4"/>
  <c r="BH412" i="4"/>
  <c r="BG412" i="4"/>
  <c r="BF412" i="4"/>
  <c r="T412" i="4"/>
  <c r="R412" i="4"/>
  <c r="P412" i="4"/>
  <c r="BI408" i="4"/>
  <c r="BH408" i="4"/>
  <c r="BG408" i="4"/>
  <c r="BF408" i="4"/>
  <c r="T408" i="4"/>
  <c r="R408" i="4"/>
  <c r="P408" i="4"/>
  <c r="BI404" i="4"/>
  <c r="BH404" i="4"/>
  <c r="BG404" i="4"/>
  <c r="BF404" i="4"/>
  <c r="T404" i="4"/>
  <c r="R404" i="4"/>
  <c r="P404" i="4"/>
  <c r="BI400" i="4"/>
  <c r="BH400" i="4"/>
  <c r="BG400" i="4"/>
  <c r="BF400" i="4"/>
  <c r="T400" i="4"/>
  <c r="R400" i="4"/>
  <c r="P400" i="4"/>
  <c r="BI396" i="4"/>
  <c r="BH396" i="4"/>
  <c r="BG396" i="4"/>
  <c r="BF396" i="4"/>
  <c r="T396" i="4"/>
  <c r="R396" i="4"/>
  <c r="P396" i="4"/>
  <c r="BI392" i="4"/>
  <c r="BH392" i="4"/>
  <c r="BG392" i="4"/>
  <c r="BF392" i="4"/>
  <c r="T392" i="4"/>
  <c r="R392" i="4"/>
  <c r="P392" i="4"/>
  <c r="BI388" i="4"/>
  <c r="BH388" i="4"/>
  <c r="BG388" i="4"/>
  <c r="BF388" i="4"/>
  <c r="T388" i="4"/>
  <c r="R388" i="4"/>
  <c r="P388" i="4"/>
  <c r="BI384" i="4"/>
  <c r="BH384" i="4"/>
  <c r="BG384" i="4"/>
  <c r="BF384" i="4"/>
  <c r="T384" i="4"/>
  <c r="R384" i="4"/>
  <c r="P384" i="4"/>
  <c r="BI378" i="4"/>
  <c r="BH378" i="4"/>
  <c r="BG378" i="4"/>
  <c r="BF378" i="4"/>
  <c r="T378" i="4"/>
  <c r="R378" i="4"/>
  <c r="P378" i="4"/>
  <c r="BI374" i="4"/>
  <c r="BH374" i="4"/>
  <c r="BG374" i="4"/>
  <c r="BF374" i="4"/>
  <c r="T374" i="4"/>
  <c r="R374" i="4"/>
  <c r="P374" i="4"/>
  <c r="BI373" i="4"/>
  <c r="BH373" i="4"/>
  <c r="BG373" i="4"/>
  <c r="BF373" i="4"/>
  <c r="T373" i="4"/>
  <c r="R373" i="4"/>
  <c r="P373" i="4"/>
  <c r="BI369" i="4"/>
  <c r="BH369" i="4"/>
  <c r="BG369" i="4"/>
  <c r="BF369" i="4"/>
  <c r="T369" i="4"/>
  <c r="R369" i="4"/>
  <c r="P369" i="4"/>
  <c r="BI365" i="4"/>
  <c r="BH365" i="4"/>
  <c r="BG365" i="4"/>
  <c r="BF365" i="4"/>
  <c r="T365" i="4"/>
  <c r="R365" i="4"/>
  <c r="P365" i="4"/>
  <c r="BI364" i="4"/>
  <c r="BH364" i="4"/>
  <c r="BG364" i="4"/>
  <c r="BF364" i="4"/>
  <c r="T364" i="4"/>
  <c r="R364" i="4"/>
  <c r="P364" i="4"/>
  <c r="BI363" i="4"/>
  <c r="BH363" i="4"/>
  <c r="BG363" i="4"/>
  <c r="BF363" i="4"/>
  <c r="T363" i="4"/>
  <c r="R363" i="4"/>
  <c r="P363" i="4"/>
  <c r="BI358" i="4"/>
  <c r="BH358" i="4"/>
  <c r="BG358" i="4"/>
  <c r="BF358" i="4"/>
  <c r="T358" i="4"/>
  <c r="R358" i="4"/>
  <c r="P358" i="4"/>
  <c r="BI353" i="4"/>
  <c r="BH353" i="4"/>
  <c r="BG353" i="4"/>
  <c r="BF353" i="4"/>
  <c r="T353" i="4"/>
  <c r="R353" i="4"/>
  <c r="P353" i="4"/>
  <c r="BI346" i="4"/>
  <c r="BH346" i="4"/>
  <c r="BG346" i="4"/>
  <c r="BF346" i="4"/>
  <c r="T346" i="4"/>
  <c r="R346" i="4"/>
  <c r="P346" i="4"/>
  <c r="BI341" i="4"/>
  <c r="BH341" i="4"/>
  <c r="BG341" i="4"/>
  <c r="BF341" i="4"/>
  <c r="T341" i="4"/>
  <c r="R341" i="4"/>
  <c r="P341" i="4"/>
  <c r="BI334" i="4"/>
  <c r="BH334" i="4"/>
  <c r="BG334" i="4"/>
  <c r="BF334" i="4"/>
  <c r="T334" i="4"/>
  <c r="R334" i="4"/>
  <c r="P334" i="4"/>
  <c r="BI330" i="4"/>
  <c r="BH330" i="4"/>
  <c r="BG330" i="4"/>
  <c r="BF330" i="4"/>
  <c r="T330" i="4"/>
  <c r="R330" i="4"/>
  <c r="P330" i="4"/>
  <c r="BI324" i="4"/>
  <c r="BH324" i="4"/>
  <c r="BG324" i="4"/>
  <c r="BF324" i="4"/>
  <c r="T324" i="4"/>
  <c r="R324" i="4"/>
  <c r="P324" i="4"/>
  <c r="BI318" i="4"/>
  <c r="BH318" i="4"/>
  <c r="BG318" i="4"/>
  <c r="BF318" i="4"/>
  <c r="T318" i="4"/>
  <c r="R318" i="4"/>
  <c r="P318" i="4"/>
  <c r="BI317" i="4"/>
  <c r="BH317" i="4"/>
  <c r="BG317" i="4"/>
  <c r="BF317" i="4"/>
  <c r="T317" i="4"/>
  <c r="R317" i="4"/>
  <c r="P317" i="4"/>
  <c r="BI313" i="4"/>
  <c r="BH313" i="4"/>
  <c r="BG313" i="4"/>
  <c r="BF313" i="4"/>
  <c r="T313" i="4"/>
  <c r="R313" i="4"/>
  <c r="P313" i="4"/>
  <c r="BI312" i="4"/>
  <c r="BH312" i="4"/>
  <c r="BG312" i="4"/>
  <c r="BF312" i="4"/>
  <c r="T312" i="4"/>
  <c r="R312" i="4"/>
  <c r="P312" i="4"/>
  <c r="BI308" i="4"/>
  <c r="BH308" i="4"/>
  <c r="BG308" i="4"/>
  <c r="BF308" i="4"/>
  <c r="T308" i="4"/>
  <c r="R308" i="4"/>
  <c r="P308" i="4"/>
  <c r="BI307" i="4"/>
  <c r="BH307" i="4"/>
  <c r="BG307" i="4"/>
  <c r="BF307" i="4"/>
  <c r="T307" i="4"/>
  <c r="R307" i="4"/>
  <c r="P307" i="4"/>
  <c r="BI303" i="4"/>
  <c r="BH303" i="4"/>
  <c r="BG303" i="4"/>
  <c r="BF303" i="4"/>
  <c r="T303" i="4"/>
  <c r="R303" i="4"/>
  <c r="P303" i="4"/>
  <c r="BI302" i="4"/>
  <c r="BH302" i="4"/>
  <c r="BG302" i="4"/>
  <c r="BF302" i="4"/>
  <c r="T302" i="4"/>
  <c r="R302" i="4"/>
  <c r="P302" i="4"/>
  <c r="BI298" i="4"/>
  <c r="BH298" i="4"/>
  <c r="BG298" i="4"/>
  <c r="BF298" i="4"/>
  <c r="T298" i="4"/>
  <c r="R298" i="4"/>
  <c r="P298" i="4"/>
  <c r="BI297" i="4"/>
  <c r="BH297" i="4"/>
  <c r="BG297" i="4"/>
  <c r="BF297" i="4"/>
  <c r="T297" i="4"/>
  <c r="R297" i="4"/>
  <c r="P297" i="4"/>
  <c r="BI291" i="4"/>
  <c r="BH291" i="4"/>
  <c r="BG291" i="4"/>
  <c r="BF291" i="4"/>
  <c r="T291" i="4"/>
  <c r="R291" i="4"/>
  <c r="P291" i="4"/>
  <c r="BI290" i="4"/>
  <c r="BH290" i="4"/>
  <c r="BG290" i="4"/>
  <c r="BF290" i="4"/>
  <c r="T290" i="4"/>
  <c r="R290" i="4"/>
  <c r="P290"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3" i="4"/>
  <c r="BH273" i="4"/>
  <c r="BG273" i="4"/>
  <c r="BF273" i="4"/>
  <c r="T273" i="4"/>
  <c r="R273" i="4"/>
  <c r="P273" i="4"/>
  <c r="BI269" i="4"/>
  <c r="BH269" i="4"/>
  <c r="BG269" i="4"/>
  <c r="BF269" i="4"/>
  <c r="T269" i="4"/>
  <c r="R269" i="4"/>
  <c r="P269" i="4"/>
  <c r="BI265" i="4"/>
  <c r="BH265" i="4"/>
  <c r="BG265" i="4"/>
  <c r="BF265" i="4"/>
  <c r="T265" i="4"/>
  <c r="R265" i="4"/>
  <c r="P265" i="4"/>
  <c r="BI263" i="4"/>
  <c r="BH263" i="4"/>
  <c r="BG263" i="4"/>
  <c r="BF263" i="4"/>
  <c r="T263" i="4"/>
  <c r="R263" i="4"/>
  <c r="P263" i="4"/>
  <c r="BI260" i="4"/>
  <c r="BH260" i="4"/>
  <c r="BG260" i="4"/>
  <c r="BF260" i="4"/>
  <c r="T260" i="4"/>
  <c r="R260" i="4"/>
  <c r="P260" i="4"/>
  <c r="BI256" i="4"/>
  <c r="BH256" i="4"/>
  <c r="BG256" i="4"/>
  <c r="BF256" i="4"/>
  <c r="T256" i="4"/>
  <c r="R256" i="4"/>
  <c r="P256" i="4"/>
  <c r="BI251" i="4"/>
  <c r="BH251" i="4"/>
  <c r="BG251" i="4"/>
  <c r="BF251" i="4"/>
  <c r="T251" i="4"/>
  <c r="R251" i="4"/>
  <c r="P251" i="4"/>
  <c r="BI246" i="4"/>
  <c r="BH246" i="4"/>
  <c r="BG246" i="4"/>
  <c r="BF246" i="4"/>
  <c r="T246" i="4"/>
  <c r="R246" i="4"/>
  <c r="P246" i="4"/>
  <c r="BI245" i="4"/>
  <c r="BH245" i="4"/>
  <c r="BG245" i="4"/>
  <c r="BF245" i="4"/>
  <c r="T245" i="4"/>
  <c r="R245" i="4"/>
  <c r="P245" i="4"/>
  <c r="BI243" i="4"/>
  <c r="BH243" i="4"/>
  <c r="BG243" i="4"/>
  <c r="BF243" i="4"/>
  <c r="T243" i="4"/>
  <c r="R243" i="4"/>
  <c r="P243"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26" i="4"/>
  <c r="BH226" i="4"/>
  <c r="BG226" i="4"/>
  <c r="BF226" i="4"/>
  <c r="T226" i="4"/>
  <c r="R226" i="4"/>
  <c r="P22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2" i="4"/>
  <c r="BH202" i="4"/>
  <c r="BG202" i="4"/>
  <c r="BF202" i="4"/>
  <c r="T202" i="4"/>
  <c r="R202" i="4"/>
  <c r="P202" i="4"/>
  <c r="BI198" i="4"/>
  <c r="BH198" i="4"/>
  <c r="BG198" i="4"/>
  <c r="BF198" i="4"/>
  <c r="T198" i="4"/>
  <c r="R198" i="4"/>
  <c r="P198" i="4"/>
  <c r="BI195" i="4"/>
  <c r="BH195" i="4"/>
  <c r="BG195" i="4"/>
  <c r="BF195" i="4"/>
  <c r="T195" i="4"/>
  <c r="R195" i="4"/>
  <c r="P195"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67" i="4"/>
  <c r="BH167" i="4"/>
  <c r="BG167" i="4"/>
  <c r="BF167" i="4"/>
  <c r="T167" i="4"/>
  <c r="R167" i="4"/>
  <c r="P167" i="4"/>
  <c r="BI163" i="4"/>
  <c r="BH163" i="4"/>
  <c r="BG163" i="4"/>
  <c r="BF163" i="4"/>
  <c r="T163" i="4"/>
  <c r="R163" i="4"/>
  <c r="P163" i="4"/>
  <c r="BI159" i="4"/>
  <c r="BH159" i="4"/>
  <c r="BG159" i="4"/>
  <c r="BF159" i="4"/>
  <c r="T159" i="4"/>
  <c r="R159" i="4"/>
  <c r="P159" i="4"/>
  <c r="BI155" i="4"/>
  <c r="BH155" i="4"/>
  <c r="BG155" i="4"/>
  <c r="BF155" i="4"/>
  <c r="T155" i="4"/>
  <c r="R155" i="4"/>
  <c r="P155" i="4"/>
  <c r="BI149" i="4"/>
  <c r="BH149" i="4"/>
  <c r="BG149" i="4"/>
  <c r="BF149" i="4"/>
  <c r="T149" i="4"/>
  <c r="R149" i="4"/>
  <c r="P149" i="4"/>
  <c r="BI145" i="4"/>
  <c r="BH145" i="4"/>
  <c r="BG145" i="4"/>
  <c r="BF145" i="4"/>
  <c r="T145" i="4"/>
  <c r="R145" i="4"/>
  <c r="P145"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29" i="4"/>
  <c r="BH129" i="4"/>
  <c r="BG129" i="4"/>
  <c r="BF129" i="4"/>
  <c r="T129" i="4"/>
  <c r="R129" i="4"/>
  <c r="P129" i="4"/>
  <c r="BI125" i="4"/>
  <c r="BH125" i="4"/>
  <c r="BG125" i="4"/>
  <c r="BF125" i="4"/>
  <c r="T125" i="4"/>
  <c r="R125" i="4"/>
  <c r="P125" i="4"/>
  <c r="BI121" i="4"/>
  <c r="BH121" i="4"/>
  <c r="BG121" i="4"/>
  <c r="BF121" i="4"/>
  <c r="T121" i="4"/>
  <c r="R121" i="4"/>
  <c r="P121" i="4"/>
  <c r="BI115" i="4"/>
  <c r="BH115" i="4"/>
  <c r="BG115" i="4"/>
  <c r="BF115" i="4"/>
  <c r="T115" i="4"/>
  <c r="R115" i="4"/>
  <c r="P115" i="4"/>
  <c r="BI109" i="4"/>
  <c r="BH109" i="4"/>
  <c r="BG109" i="4"/>
  <c r="BF109" i="4"/>
  <c r="T109" i="4"/>
  <c r="R109" i="4"/>
  <c r="P109" i="4"/>
  <c r="BI108" i="4"/>
  <c r="BH108" i="4"/>
  <c r="BG108" i="4"/>
  <c r="BF108" i="4"/>
  <c r="T108" i="4"/>
  <c r="R108" i="4"/>
  <c r="P108" i="4"/>
  <c r="BI99" i="4"/>
  <c r="BH99" i="4"/>
  <c r="BG99" i="4"/>
  <c r="BF99" i="4"/>
  <c r="T99" i="4"/>
  <c r="R99" i="4"/>
  <c r="P99" i="4"/>
  <c r="F90" i="4"/>
  <c r="E88" i="4"/>
  <c r="F56" i="4"/>
  <c r="E54" i="4"/>
  <c r="J26" i="4"/>
  <c r="E26" i="4"/>
  <c r="J59" i="4" s="1"/>
  <c r="J25" i="4"/>
  <c r="J23" i="4"/>
  <c r="E23" i="4"/>
  <c r="J58" i="4" s="1"/>
  <c r="J22" i="4"/>
  <c r="J20" i="4"/>
  <c r="E20" i="4"/>
  <c r="F93" i="4" s="1"/>
  <c r="J19" i="4"/>
  <c r="J17" i="4"/>
  <c r="E17" i="4"/>
  <c r="F58" i="4" s="1"/>
  <c r="J16" i="4"/>
  <c r="J14" i="4"/>
  <c r="J90" i="4" s="1"/>
  <c r="E7" i="4"/>
  <c r="E84" i="4"/>
  <c r="J39" i="3"/>
  <c r="J38" i="3"/>
  <c r="AY57" i="1" s="1"/>
  <c r="J37" i="3"/>
  <c r="AX57" i="1"/>
  <c r="BI438" i="3"/>
  <c r="BH438" i="3"/>
  <c r="BG438" i="3"/>
  <c r="BF438" i="3"/>
  <c r="T438" i="3"/>
  <c r="R438" i="3"/>
  <c r="P438" i="3"/>
  <c r="BI437" i="3"/>
  <c r="BH437" i="3"/>
  <c r="BG437" i="3"/>
  <c r="BF437" i="3"/>
  <c r="T437" i="3"/>
  <c r="R437" i="3"/>
  <c r="P437" i="3"/>
  <c r="BI436" i="3"/>
  <c r="BH436" i="3"/>
  <c r="BG436" i="3"/>
  <c r="BF436" i="3"/>
  <c r="T436" i="3"/>
  <c r="R436" i="3"/>
  <c r="P436" i="3"/>
  <c r="BI435" i="3"/>
  <c r="BH435" i="3"/>
  <c r="BG435" i="3"/>
  <c r="BF435" i="3"/>
  <c r="T435" i="3"/>
  <c r="R435" i="3"/>
  <c r="P435" i="3"/>
  <c r="BI432" i="3"/>
  <c r="BH432" i="3"/>
  <c r="BG432" i="3"/>
  <c r="BF432" i="3"/>
  <c r="T432" i="3"/>
  <c r="R432" i="3"/>
  <c r="P432" i="3"/>
  <c r="BI430" i="3"/>
  <c r="BH430" i="3"/>
  <c r="BG430" i="3"/>
  <c r="BF430" i="3"/>
  <c r="T430" i="3"/>
  <c r="R430" i="3"/>
  <c r="P430" i="3"/>
  <c r="BI428" i="3"/>
  <c r="BH428" i="3"/>
  <c r="BG428" i="3"/>
  <c r="BF428" i="3"/>
  <c r="T428" i="3"/>
  <c r="R428" i="3"/>
  <c r="P428" i="3"/>
  <c r="BI426" i="3"/>
  <c r="BH426" i="3"/>
  <c r="BG426" i="3"/>
  <c r="BF426" i="3"/>
  <c r="T426" i="3"/>
  <c r="R426" i="3"/>
  <c r="P426" i="3"/>
  <c r="BI422" i="3"/>
  <c r="BH422" i="3"/>
  <c r="BG422" i="3"/>
  <c r="BF422" i="3"/>
  <c r="T422" i="3"/>
  <c r="R422" i="3"/>
  <c r="P422" i="3"/>
  <c r="BI420" i="3"/>
  <c r="BH420" i="3"/>
  <c r="BG420" i="3"/>
  <c r="BF420" i="3"/>
  <c r="T420" i="3"/>
  <c r="R420" i="3"/>
  <c r="P420" i="3"/>
  <c r="BI418" i="3"/>
  <c r="BH418" i="3"/>
  <c r="BG418" i="3"/>
  <c r="BF418" i="3"/>
  <c r="T418" i="3"/>
  <c r="R418" i="3"/>
  <c r="P418" i="3"/>
  <c r="BI416" i="3"/>
  <c r="BH416" i="3"/>
  <c r="BG416" i="3"/>
  <c r="BF416" i="3"/>
  <c r="T416" i="3"/>
  <c r="R416" i="3"/>
  <c r="P416" i="3"/>
  <c r="BI414" i="3"/>
  <c r="BH414" i="3"/>
  <c r="BG414" i="3"/>
  <c r="BF414" i="3"/>
  <c r="T414" i="3"/>
  <c r="R414" i="3"/>
  <c r="P414" i="3"/>
  <c r="BI411" i="3"/>
  <c r="BH411" i="3"/>
  <c r="BG411" i="3"/>
  <c r="BF411" i="3"/>
  <c r="T411" i="3"/>
  <c r="R411" i="3"/>
  <c r="P411" i="3"/>
  <c r="BI407" i="3"/>
  <c r="BH407" i="3"/>
  <c r="BG407" i="3"/>
  <c r="BF407" i="3"/>
  <c r="T407" i="3"/>
  <c r="R407" i="3"/>
  <c r="P407"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3" i="3"/>
  <c r="BH393" i="3"/>
  <c r="BG393" i="3"/>
  <c r="BF393" i="3"/>
  <c r="T393" i="3"/>
  <c r="R393" i="3"/>
  <c r="P393" i="3"/>
  <c r="BI389" i="3"/>
  <c r="BH389" i="3"/>
  <c r="BG389" i="3"/>
  <c r="BF389" i="3"/>
  <c r="T389" i="3"/>
  <c r="R389" i="3"/>
  <c r="P389" i="3"/>
  <c r="BI385" i="3"/>
  <c r="BH385" i="3"/>
  <c r="BG385" i="3"/>
  <c r="BF385" i="3"/>
  <c r="T385" i="3"/>
  <c r="R385" i="3"/>
  <c r="P385" i="3"/>
  <c r="BI381" i="3"/>
  <c r="BH381" i="3"/>
  <c r="BG381" i="3"/>
  <c r="BF381" i="3"/>
  <c r="T381" i="3"/>
  <c r="R381" i="3"/>
  <c r="P381" i="3"/>
  <c r="BI378" i="3"/>
  <c r="BH378" i="3"/>
  <c r="BG378" i="3"/>
  <c r="BF378" i="3"/>
  <c r="T378" i="3"/>
  <c r="R378" i="3"/>
  <c r="P378"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70" i="3"/>
  <c r="BH370" i="3"/>
  <c r="BG370" i="3"/>
  <c r="BF370" i="3"/>
  <c r="T370" i="3"/>
  <c r="R370" i="3"/>
  <c r="P370"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2" i="3"/>
  <c r="BH352" i="3"/>
  <c r="BG352" i="3"/>
  <c r="BF352" i="3"/>
  <c r="T352" i="3"/>
  <c r="R352" i="3"/>
  <c r="P352" i="3"/>
  <c r="BI350" i="3"/>
  <c r="BH350" i="3"/>
  <c r="BG350" i="3"/>
  <c r="BF350" i="3"/>
  <c r="T350" i="3"/>
  <c r="R350" i="3"/>
  <c r="P350" i="3"/>
  <c r="BI346" i="3"/>
  <c r="BH346" i="3"/>
  <c r="BG346" i="3"/>
  <c r="BF346" i="3"/>
  <c r="T346" i="3"/>
  <c r="R346" i="3"/>
  <c r="P346" i="3"/>
  <c r="BI343" i="3"/>
  <c r="BH343" i="3"/>
  <c r="BG343" i="3"/>
  <c r="BF343" i="3"/>
  <c r="T343" i="3"/>
  <c r="R343" i="3"/>
  <c r="P343" i="3"/>
  <c r="BI340" i="3"/>
  <c r="BH340" i="3"/>
  <c r="BG340" i="3"/>
  <c r="BF340" i="3"/>
  <c r="T340" i="3"/>
  <c r="R340" i="3"/>
  <c r="P340" i="3"/>
  <c r="BI334" i="3"/>
  <c r="BH334" i="3"/>
  <c r="BG334" i="3"/>
  <c r="BF334" i="3"/>
  <c r="T334" i="3"/>
  <c r="R334" i="3"/>
  <c r="P334" i="3"/>
  <c r="BI333" i="3"/>
  <c r="BH333" i="3"/>
  <c r="BG333" i="3"/>
  <c r="BF333" i="3"/>
  <c r="T333" i="3"/>
  <c r="R333" i="3"/>
  <c r="P333" i="3"/>
  <c r="BI331" i="3"/>
  <c r="BH331" i="3"/>
  <c r="BG331" i="3"/>
  <c r="BF331" i="3"/>
  <c r="T331" i="3"/>
  <c r="R331" i="3"/>
  <c r="P331" i="3"/>
  <c r="BI330" i="3"/>
  <c r="BH330" i="3"/>
  <c r="BG330" i="3"/>
  <c r="BF330" i="3"/>
  <c r="T330" i="3"/>
  <c r="R330" i="3"/>
  <c r="P330" i="3"/>
  <c r="BI328" i="3"/>
  <c r="BH328" i="3"/>
  <c r="BG328" i="3"/>
  <c r="BF328" i="3"/>
  <c r="T328" i="3"/>
  <c r="R328" i="3"/>
  <c r="P328" i="3"/>
  <c r="BI326" i="3"/>
  <c r="BH326" i="3"/>
  <c r="BG326" i="3"/>
  <c r="BF326" i="3"/>
  <c r="T326" i="3"/>
  <c r="R326" i="3"/>
  <c r="P326" i="3"/>
  <c r="BI325" i="3"/>
  <c r="BH325" i="3"/>
  <c r="BG325" i="3"/>
  <c r="BF325" i="3"/>
  <c r="T325" i="3"/>
  <c r="R325" i="3"/>
  <c r="P325" i="3"/>
  <c r="BI323" i="3"/>
  <c r="BH323" i="3"/>
  <c r="BG323" i="3"/>
  <c r="BF323" i="3"/>
  <c r="T323" i="3"/>
  <c r="R323" i="3"/>
  <c r="P323" i="3"/>
  <c r="BI321" i="3"/>
  <c r="BH321" i="3"/>
  <c r="BG321" i="3"/>
  <c r="BF321" i="3"/>
  <c r="T321" i="3"/>
  <c r="R321" i="3"/>
  <c r="P321"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81" i="3"/>
  <c r="BH281" i="3"/>
  <c r="BG281" i="3"/>
  <c r="BF281" i="3"/>
  <c r="T281" i="3"/>
  <c r="R281" i="3"/>
  <c r="P281" i="3"/>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4" i="3"/>
  <c r="BH264" i="3"/>
  <c r="BG264" i="3"/>
  <c r="BF264" i="3"/>
  <c r="T264" i="3"/>
  <c r="R264" i="3"/>
  <c r="P264" i="3"/>
  <c r="BI262" i="3"/>
  <c r="BH262" i="3"/>
  <c r="BG262" i="3"/>
  <c r="BF262" i="3"/>
  <c r="T262" i="3"/>
  <c r="R262" i="3"/>
  <c r="P262" i="3"/>
  <c r="BI261" i="3"/>
  <c r="BH261" i="3"/>
  <c r="BG261" i="3"/>
  <c r="BF261" i="3"/>
  <c r="T261" i="3"/>
  <c r="R261" i="3"/>
  <c r="P261" i="3"/>
  <c r="BI254" i="3"/>
  <c r="BH254" i="3"/>
  <c r="BG254" i="3"/>
  <c r="BF254" i="3"/>
  <c r="T254" i="3"/>
  <c r="R254" i="3"/>
  <c r="P254" i="3"/>
  <c r="BI253" i="3"/>
  <c r="BH253" i="3"/>
  <c r="BG253" i="3"/>
  <c r="BF253" i="3"/>
  <c r="T253" i="3"/>
  <c r="R253" i="3"/>
  <c r="P253" i="3"/>
  <c r="BI251" i="3"/>
  <c r="BH251" i="3"/>
  <c r="BG251" i="3"/>
  <c r="BF251" i="3"/>
  <c r="T251" i="3"/>
  <c r="R251" i="3"/>
  <c r="P251" i="3"/>
  <c r="BI250" i="3"/>
  <c r="BH250" i="3"/>
  <c r="BG250" i="3"/>
  <c r="BF250" i="3"/>
  <c r="T250" i="3"/>
  <c r="R250" i="3"/>
  <c r="P250" i="3"/>
  <c r="BI243" i="3"/>
  <c r="BH243" i="3"/>
  <c r="BG243" i="3"/>
  <c r="BF243" i="3"/>
  <c r="T243" i="3"/>
  <c r="R243" i="3"/>
  <c r="P243" i="3"/>
  <c r="BI241" i="3"/>
  <c r="BH241" i="3"/>
  <c r="BG241" i="3"/>
  <c r="BF241" i="3"/>
  <c r="T241" i="3"/>
  <c r="R241" i="3"/>
  <c r="P241" i="3"/>
  <c r="BI240" i="3"/>
  <c r="BH240" i="3"/>
  <c r="BG240" i="3"/>
  <c r="BF240" i="3"/>
  <c r="T240" i="3"/>
  <c r="R240" i="3"/>
  <c r="P240" i="3"/>
  <c r="BI238" i="3"/>
  <c r="BH238" i="3"/>
  <c r="BG238" i="3"/>
  <c r="BF238" i="3"/>
  <c r="T238" i="3"/>
  <c r="R238" i="3"/>
  <c r="P238" i="3"/>
  <c r="BI237" i="3"/>
  <c r="BH237" i="3"/>
  <c r="BG237" i="3"/>
  <c r="BF237" i="3"/>
  <c r="T237" i="3"/>
  <c r="R237" i="3"/>
  <c r="P237" i="3"/>
  <c r="BI235" i="3"/>
  <c r="BH235" i="3"/>
  <c r="BG235" i="3"/>
  <c r="BF235" i="3"/>
  <c r="T235" i="3"/>
  <c r="R235" i="3"/>
  <c r="P235"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9" i="3"/>
  <c r="BH199" i="3"/>
  <c r="BG199" i="3"/>
  <c r="BF199" i="3"/>
  <c r="T199" i="3"/>
  <c r="R199" i="3"/>
  <c r="P199"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2" i="3"/>
  <c r="BH182" i="3"/>
  <c r="BG182" i="3"/>
  <c r="BF182" i="3"/>
  <c r="T182" i="3"/>
  <c r="R182" i="3"/>
  <c r="P182" i="3"/>
  <c r="BI180" i="3"/>
  <c r="BH180" i="3"/>
  <c r="BG180" i="3"/>
  <c r="BF180" i="3"/>
  <c r="T180" i="3"/>
  <c r="R180" i="3"/>
  <c r="P180" i="3"/>
  <c r="BI179" i="3"/>
  <c r="BH179" i="3"/>
  <c r="BG179" i="3"/>
  <c r="BF179" i="3"/>
  <c r="T179" i="3"/>
  <c r="R179" i="3"/>
  <c r="P179" i="3"/>
  <c r="BI177" i="3"/>
  <c r="BH177" i="3"/>
  <c r="BG177" i="3"/>
  <c r="BF177" i="3"/>
  <c r="T177" i="3"/>
  <c r="R177" i="3"/>
  <c r="P177" i="3"/>
  <c r="BI176" i="3"/>
  <c r="BH176" i="3"/>
  <c r="BG176" i="3"/>
  <c r="BF176" i="3"/>
  <c r="T176" i="3"/>
  <c r="R176" i="3"/>
  <c r="P176" i="3"/>
  <c r="BI174" i="3"/>
  <c r="BH174" i="3"/>
  <c r="BG174" i="3"/>
  <c r="BF174" i="3"/>
  <c r="T174" i="3"/>
  <c r="R174" i="3"/>
  <c r="P174" i="3"/>
  <c r="BI173" i="3"/>
  <c r="BH173" i="3"/>
  <c r="BG173" i="3"/>
  <c r="BF173" i="3"/>
  <c r="T173" i="3"/>
  <c r="R173" i="3"/>
  <c r="P173" i="3"/>
  <c r="BI171" i="3"/>
  <c r="BH171" i="3"/>
  <c r="BG171" i="3"/>
  <c r="BF171" i="3"/>
  <c r="T171" i="3"/>
  <c r="R171" i="3"/>
  <c r="P171" i="3"/>
  <c r="BI169" i="3"/>
  <c r="BH169" i="3"/>
  <c r="BG169" i="3"/>
  <c r="BF169" i="3"/>
  <c r="T169" i="3"/>
  <c r="R169" i="3"/>
  <c r="P169" i="3"/>
  <c r="BI168" i="3"/>
  <c r="BH168" i="3"/>
  <c r="BG168" i="3"/>
  <c r="BF168" i="3"/>
  <c r="T168" i="3"/>
  <c r="R168" i="3"/>
  <c r="P168" i="3"/>
  <c r="BI166" i="3"/>
  <c r="BH166" i="3"/>
  <c r="BG166" i="3"/>
  <c r="BF166" i="3"/>
  <c r="T166" i="3"/>
  <c r="R166" i="3"/>
  <c r="P166" i="3"/>
  <c r="BI165" i="3"/>
  <c r="BH165" i="3"/>
  <c r="BG165" i="3"/>
  <c r="BF165" i="3"/>
  <c r="T165" i="3"/>
  <c r="R165" i="3"/>
  <c r="P165" i="3"/>
  <c r="BI163" i="3"/>
  <c r="BH163" i="3"/>
  <c r="BG163" i="3"/>
  <c r="BF163" i="3"/>
  <c r="T163" i="3"/>
  <c r="R163" i="3"/>
  <c r="P163" i="3"/>
  <c r="BI162" i="3"/>
  <c r="BH162" i="3"/>
  <c r="BG162" i="3"/>
  <c r="BF162" i="3"/>
  <c r="T162" i="3"/>
  <c r="R162" i="3"/>
  <c r="P162"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3" i="3"/>
  <c r="BH133" i="3"/>
  <c r="BG133" i="3"/>
  <c r="BF133" i="3"/>
  <c r="T133" i="3"/>
  <c r="R133" i="3"/>
  <c r="P133" i="3"/>
  <c r="BI129" i="3"/>
  <c r="BH129" i="3"/>
  <c r="BG129" i="3"/>
  <c r="BF129" i="3"/>
  <c r="T129" i="3"/>
  <c r="R129" i="3"/>
  <c r="P129" i="3"/>
  <c r="BI125" i="3"/>
  <c r="BH125" i="3"/>
  <c r="BG125" i="3"/>
  <c r="BF125" i="3"/>
  <c r="T125" i="3"/>
  <c r="R125" i="3"/>
  <c r="P125" i="3"/>
  <c r="BI121" i="3"/>
  <c r="BH121" i="3"/>
  <c r="BG121" i="3"/>
  <c r="BF121" i="3"/>
  <c r="T121" i="3"/>
  <c r="R121" i="3"/>
  <c r="P121" i="3"/>
  <c r="BI117" i="3"/>
  <c r="BH117" i="3"/>
  <c r="BG117" i="3"/>
  <c r="BF117" i="3"/>
  <c r="T117" i="3"/>
  <c r="R117" i="3"/>
  <c r="P117" i="3"/>
  <c r="BI116" i="3"/>
  <c r="BH116" i="3"/>
  <c r="BG116" i="3"/>
  <c r="BF116" i="3"/>
  <c r="T116" i="3"/>
  <c r="R116" i="3"/>
  <c r="P116" i="3"/>
  <c r="BI112" i="3"/>
  <c r="BH112" i="3"/>
  <c r="BG112" i="3"/>
  <c r="BF112" i="3"/>
  <c r="T112" i="3"/>
  <c r="R112" i="3"/>
  <c r="P112" i="3"/>
  <c r="BI108" i="3"/>
  <c r="BH108" i="3"/>
  <c r="BG108" i="3"/>
  <c r="BF108" i="3"/>
  <c r="T108" i="3"/>
  <c r="R108" i="3"/>
  <c r="P108" i="3"/>
  <c r="BI104" i="3"/>
  <c r="BH104" i="3"/>
  <c r="BG104" i="3"/>
  <c r="BF104" i="3"/>
  <c r="T104" i="3"/>
  <c r="R104" i="3"/>
  <c r="P104" i="3"/>
  <c r="BI103" i="3"/>
  <c r="BH103" i="3"/>
  <c r="BG103" i="3"/>
  <c r="BF103" i="3"/>
  <c r="T103" i="3"/>
  <c r="R103" i="3"/>
  <c r="P103" i="3"/>
  <c r="F94" i="3"/>
  <c r="E92" i="3"/>
  <c r="F56" i="3"/>
  <c r="E54" i="3"/>
  <c r="J26" i="3"/>
  <c r="E26" i="3"/>
  <c r="J59" i="3"/>
  <c r="J25" i="3"/>
  <c r="J23" i="3"/>
  <c r="E23" i="3"/>
  <c r="J96" i="3" s="1"/>
  <c r="J22" i="3"/>
  <c r="J20" i="3"/>
  <c r="E20" i="3"/>
  <c r="F59" i="3"/>
  <c r="J19" i="3"/>
  <c r="J17" i="3"/>
  <c r="E17" i="3"/>
  <c r="F96" i="3" s="1"/>
  <c r="J16" i="3"/>
  <c r="J14" i="3"/>
  <c r="J94" i="3" s="1"/>
  <c r="E7" i="3"/>
  <c r="E50" i="3" s="1"/>
  <c r="J39" i="2"/>
  <c r="J38" i="2"/>
  <c r="AY56" i="1" s="1"/>
  <c r="J37" i="2"/>
  <c r="AX56" i="1"/>
  <c r="BI1632" i="2"/>
  <c r="BH1632" i="2"/>
  <c r="BG1632" i="2"/>
  <c r="BF1632" i="2"/>
  <c r="T1632" i="2"/>
  <c r="T1631" i="2" s="1"/>
  <c r="T1630" i="2" s="1"/>
  <c r="R1632" i="2"/>
  <c r="R1631" i="2" s="1"/>
  <c r="R1630" i="2" s="1"/>
  <c r="P1632" i="2"/>
  <c r="P1631" i="2" s="1"/>
  <c r="P1630" i="2" s="1"/>
  <c r="BI1619" i="2"/>
  <c r="BH1619" i="2"/>
  <c r="BG1619" i="2"/>
  <c r="BF1619" i="2"/>
  <c r="T1619" i="2"/>
  <c r="R1619" i="2"/>
  <c r="P1619" i="2"/>
  <c r="BI1609" i="2"/>
  <c r="BH1609" i="2"/>
  <c r="BG1609" i="2"/>
  <c r="BF1609" i="2"/>
  <c r="T1609" i="2"/>
  <c r="R1609" i="2"/>
  <c r="P1609" i="2"/>
  <c r="BI1599" i="2"/>
  <c r="BH1599" i="2"/>
  <c r="BG1599" i="2"/>
  <c r="BF1599" i="2"/>
  <c r="T1599" i="2"/>
  <c r="R1599" i="2"/>
  <c r="P1599" i="2"/>
  <c r="BI1597" i="2"/>
  <c r="BH1597" i="2"/>
  <c r="BG1597" i="2"/>
  <c r="BF1597" i="2"/>
  <c r="T1597" i="2"/>
  <c r="R1597" i="2"/>
  <c r="P1597" i="2"/>
  <c r="BI1574" i="2"/>
  <c r="BH1574" i="2"/>
  <c r="BG1574" i="2"/>
  <c r="BF1574" i="2"/>
  <c r="T1574" i="2"/>
  <c r="T1573" i="2" s="1"/>
  <c r="R1574" i="2"/>
  <c r="R1573" i="2" s="1"/>
  <c r="P1574" i="2"/>
  <c r="P1573" i="2" s="1"/>
  <c r="BI1572" i="2"/>
  <c r="BH1572" i="2"/>
  <c r="BG1572" i="2"/>
  <c r="BF1572" i="2"/>
  <c r="T1572" i="2"/>
  <c r="R1572" i="2"/>
  <c r="P1572"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43" i="2"/>
  <c r="BH1543" i="2"/>
  <c r="BG1543" i="2"/>
  <c r="BF1543" i="2"/>
  <c r="T1543" i="2"/>
  <c r="R1543" i="2"/>
  <c r="P1543" i="2"/>
  <c r="BI1531" i="2"/>
  <c r="BH1531" i="2"/>
  <c r="BG1531" i="2"/>
  <c r="BF1531" i="2"/>
  <c r="T1531" i="2"/>
  <c r="R1531" i="2"/>
  <c r="P1531"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2" i="2"/>
  <c r="BH1492" i="2"/>
  <c r="BG1492" i="2"/>
  <c r="BF1492" i="2"/>
  <c r="T1492" i="2"/>
  <c r="R1492" i="2"/>
  <c r="P1492"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69" i="2"/>
  <c r="BH1469" i="2"/>
  <c r="BG1469" i="2"/>
  <c r="BF1469" i="2"/>
  <c r="T1469" i="2"/>
  <c r="R1469" i="2"/>
  <c r="P1469" i="2"/>
  <c r="BI1465" i="2"/>
  <c r="BH1465" i="2"/>
  <c r="BG1465" i="2"/>
  <c r="BF1465" i="2"/>
  <c r="T1465" i="2"/>
  <c r="R1465" i="2"/>
  <c r="P1465" i="2"/>
  <c r="BI1462" i="2"/>
  <c r="BH1462" i="2"/>
  <c r="BG1462" i="2"/>
  <c r="BF1462" i="2"/>
  <c r="T1462" i="2"/>
  <c r="R1462" i="2"/>
  <c r="P1462" i="2"/>
  <c r="BI1456" i="2"/>
  <c r="BH1456" i="2"/>
  <c r="BG1456" i="2"/>
  <c r="BF1456" i="2"/>
  <c r="T1456" i="2"/>
  <c r="R1456" i="2"/>
  <c r="P1456" i="2"/>
  <c r="BI1453" i="2"/>
  <c r="BH1453" i="2"/>
  <c r="BG1453" i="2"/>
  <c r="BF1453" i="2"/>
  <c r="T1453" i="2"/>
  <c r="R1453" i="2"/>
  <c r="P1453" i="2"/>
  <c r="BI1450" i="2"/>
  <c r="BH1450" i="2"/>
  <c r="BG1450" i="2"/>
  <c r="BF1450" i="2"/>
  <c r="T1450" i="2"/>
  <c r="R1450" i="2"/>
  <c r="P1450" i="2"/>
  <c r="BI1447" i="2"/>
  <c r="BH1447" i="2"/>
  <c r="BG1447" i="2"/>
  <c r="BF1447" i="2"/>
  <c r="T1447" i="2"/>
  <c r="R1447" i="2"/>
  <c r="P1447" i="2"/>
  <c r="BI1444" i="2"/>
  <c r="BH1444" i="2"/>
  <c r="BG1444" i="2"/>
  <c r="BF1444" i="2"/>
  <c r="T1444" i="2"/>
  <c r="R1444" i="2"/>
  <c r="P1444" i="2"/>
  <c r="BI1441" i="2"/>
  <c r="BH1441" i="2"/>
  <c r="BG1441" i="2"/>
  <c r="BF1441" i="2"/>
  <c r="T1441" i="2"/>
  <c r="R1441" i="2"/>
  <c r="P1441"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30" i="2"/>
  <c r="BH1430" i="2"/>
  <c r="BG1430" i="2"/>
  <c r="BF1430" i="2"/>
  <c r="T1430" i="2"/>
  <c r="R1430" i="2"/>
  <c r="P1430" i="2"/>
  <c r="BI1429" i="2"/>
  <c r="BH1429" i="2"/>
  <c r="BG1429" i="2"/>
  <c r="BF1429" i="2"/>
  <c r="T1429" i="2"/>
  <c r="R1429" i="2"/>
  <c r="P1429" i="2"/>
  <c r="BI1428" i="2"/>
  <c r="BH1428" i="2"/>
  <c r="BG1428" i="2"/>
  <c r="BF1428" i="2"/>
  <c r="T1428" i="2"/>
  <c r="R1428" i="2"/>
  <c r="P1428" i="2"/>
  <c r="BI1427" i="2"/>
  <c r="BH1427" i="2"/>
  <c r="BG1427" i="2"/>
  <c r="BF1427" i="2"/>
  <c r="T1427" i="2"/>
  <c r="R1427" i="2"/>
  <c r="P1427" i="2"/>
  <c r="BI1425" i="2"/>
  <c r="BH1425" i="2"/>
  <c r="BG1425" i="2"/>
  <c r="BF1425" i="2"/>
  <c r="T1425" i="2"/>
  <c r="R1425" i="2"/>
  <c r="P1425" i="2"/>
  <c r="BI1424" i="2"/>
  <c r="BH1424" i="2"/>
  <c r="BG1424" i="2"/>
  <c r="BF1424" i="2"/>
  <c r="T1424" i="2"/>
  <c r="R1424" i="2"/>
  <c r="P1424" i="2"/>
  <c r="BI1423" i="2"/>
  <c r="BH1423" i="2"/>
  <c r="BG1423" i="2"/>
  <c r="BF1423" i="2"/>
  <c r="T1423" i="2"/>
  <c r="R1423" i="2"/>
  <c r="P1423"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0" i="2"/>
  <c r="BH1390" i="2"/>
  <c r="BG1390" i="2"/>
  <c r="BF1390" i="2"/>
  <c r="T1390" i="2"/>
  <c r="T1389" i="2" s="1"/>
  <c r="R1390" i="2"/>
  <c r="R1389" i="2"/>
  <c r="P1390" i="2"/>
  <c r="P1389" i="2" s="1"/>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5" i="2"/>
  <c r="BH1375" i="2"/>
  <c r="BG1375" i="2"/>
  <c r="BF1375" i="2"/>
  <c r="T1375" i="2"/>
  <c r="R1375" i="2"/>
  <c r="P1375" i="2"/>
  <c r="BI1372" i="2"/>
  <c r="BH1372" i="2"/>
  <c r="BG1372" i="2"/>
  <c r="BF1372" i="2"/>
  <c r="T1372" i="2"/>
  <c r="R1372" i="2"/>
  <c r="P1372" i="2"/>
  <c r="BI1369" i="2"/>
  <c r="BH1369" i="2"/>
  <c r="BG1369" i="2"/>
  <c r="BF1369" i="2"/>
  <c r="T1369" i="2"/>
  <c r="R1369" i="2"/>
  <c r="P1369" i="2"/>
  <c r="BI1360" i="2"/>
  <c r="BH1360" i="2"/>
  <c r="BG1360" i="2"/>
  <c r="BF1360" i="2"/>
  <c r="T1360" i="2"/>
  <c r="R1360" i="2"/>
  <c r="P1360" i="2"/>
  <c r="BI1357" i="2"/>
  <c r="BH1357" i="2"/>
  <c r="BG1357" i="2"/>
  <c r="BF1357" i="2"/>
  <c r="T1357" i="2"/>
  <c r="R1357" i="2"/>
  <c r="P1357" i="2"/>
  <c r="BI1354" i="2"/>
  <c r="BH1354" i="2"/>
  <c r="BG1354" i="2"/>
  <c r="BF1354" i="2"/>
  <c r="T1354" i="2"/>
  <c r="R1354" i="2"/>
  <c r="P1354" i="2"/>
  <c r="BI1351" i="2"/>
  <c r="BH1351" i="2"/>
  <c r="BG1351" i="2"/>
  <c r="BF1351" i="2"/>
  <c r="T1351" i="2"/>
  <c r="R1351" i="2"/>
  <c r="P1351" i="2"/>
  <c r="BI1348" i="2"/>
  <c r="BH1348" i="2"/>
  <c r="BG1348" i="2"/>
  <c r="BF1348" i="2"/>
  <c r="T1348" i="2"/>
  <c r="R1348" i="2"/>
  <c r="P1348" i="2"/>
  <c r="BI1346" i="2"/>
  <c r="BH1346" i="2"/>
  <c r="BG1346" i="2"/>
  <c r="BF1346" i="2"/>
  <c r="T1346" i="2"/>
  <c r="R1346" i="2"/>
  <c r="P1346" i="2"/>
  <c r="BI1344" i="2"/>
  <c r="BH1344" i="2"/>
  <c r="BG1344" i="2"/>
  <c r="BF1344" i="2"/>
  <c r="T1344" i="2"/>
  <c r="R1344" i="2"/>
  <c r="P1344" i="2"/>
  <c r="BI1339" i="2"/>
  <c r="BH1339" i="2"/>
  <c r="BG1339" i="2"/>
  <c r="BF1339" i="2"/>
  <c r="T1339" i="2"/>
  <c r="R1339" i="2"/>
  <c r="P1339" i="2"/>
  <c r="BI1331" i="2"/>
  <c r="BH1331" i="2"/>
  <c r="BG1331" i="2"/>
  <c r="BF1331" i="2"/>
  <c r="T1331" i="2"/>
  <c r="R1331" i="2"/>
  <c r="P1331" i="2"/>
  <c r="BI1328" i="2"/>
  <c r="BH1328" i="2"/>
  <c r="BG1328" i="2"/>
  <c r="BF1328" i="2"/>
  <c r="T1328" i="2"/>
  <c r="R1328" i="2"/>
  <c r="P1328" i="2"/>
  <c r="BI1319" i="2"/>
  <c r="BH1319" i="2"/>
  <c r="BG1319" i="2"/>
  <c r="BF1319" i="2"/>
  <c r="T1319" i="2"/>
  <c r="R1319" i="2"/>
  <c r="P1319" i="2"/>
  <c r="BI1317" i="2"/>
  <c r="BH1317" i="2"/>
  <c r="BG1317" i="2"/>
  <c r="BF1317" i="2"/>
  <c r="T1317" i="2"/>
  <c r="R1317" i="2"/>
  <c r="P1317" i="2"/>
  <c r="BI1315" i="2"/>
  <c r="BH1315" i="2"/>
  <c r="BG1315" i="2"/>
  <c r="BF1315" i="2"/>
  <c r="T1315" i="2"/>
  <c r="R1315" i="2"/>
  <c r="P1315"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6" i="2"/>
  <c r="BH1296" i="2"/>
  <c r="BG1296" i="2"/>
  <c r="BF1296" i="2"/>
  <c r="T1296" i="2"/>
  <c r="R1296" i="2"/>
  <c r="P1296" i="2"/>
  <c r="BI1292" i="2"/>
  <c r="BH1292" i="2"/>
  <c r="BG1292" i="2"/>
  <c r="BF1292" i="2"/>
  <c r="T1292" i="2"/>
  <c r="R1292" i="2"/>
  <c r="P1292" i="2"/>
  <c r="BI1290" i="2"/>
  <c r="BH1290" i="2"/>
  <c r="BG1290" i="2"/>
  <c r="BF1290" i="2"/>
  <c r="T1290" i="2"/>
  <c r="R1290" i="2"/>
  <c r="P1290" i="2"/>
  <c r="BI1288" i="2"/>
  <c r="BH1288" i="2"/>
  <c r="BG1288" i="2"/>
  <c r="BF1288" i="2"/>
  <c r="T1288" i="2"/>
  <c r="R1288" i="2"/>
  <c r="P1288" i="2"/>
  <c r="BI1285" i="2"/>
  <c r="BH1285" i="2"/>
  <c r="BG1285" i="2"/>
  <c r="BF1285" i="2"/>
  <c r="T1285" i="2"/>
  <c r="R1285" i="2"/>
  <c r="P1285" i="2"/>
  <c r="BI1279" i="2"/>
  <c r="BH1279" i="2"/>
  <c r="BG1279" i="2"/>
  <c r="BF1279" i="2"/>
  <c r="T1279" i="2"/>
  <c r="R1279" i="2"/>
  <c r="P1279" i="2"/>
  <c r="BI1276" i="2"/>
  <c r="BH1276" i="2"/>
  <c r="BG1276" i="2"/>
  <c r="BF1276" i="2"/>
  <c r="T1276" i="2"/>
  <c r="R1276" i="2"/>
  <c r="P1276" i="2"/>
  <c r="BI1268" i="2"/>
  <c r="BH1268" i="2"/>
  <c r="BG1268" i="2"/>
  <c r="BF1268" i="2"/>
  <c r="T1268" i="2"/>
  <c r="R1268" i="2"/>
  <c r="P1268" i="2"/>
  <c r="BI1254" i="2"/>
  <c r="BH1254" i="2"/>
  <c r="BG1254" i="2"/>
  <c r="BF1254" i="2"/>
  <c r="T1254" i="2"/>
  <c r="R1254" i="2"/>
  <c r="P1254" i="2"/>
  <c r="BI1251" i="2"/>
  <c r="BH1251" i="2"/>
  <c r="BG1251" i="2"/>
  <c r="BF1251" i="2"/>
  <c r="T1251" i="2"/>
  <c r="R1251" i="2"/>
  <c r="P1251" i="2"/>
  <c r="BI1246" i="2"/>
  <c r="BH1246" i="2"/>
  <c r="BG1246" i="2"/>
  <c r="BF1246" i="2"/>
  <c r="T1246" i="2"/>
  <c r="R1246" i="2"/>
  <c r="P1246" i="2"/>
  <c r="BI1243" i="2"/>
  <c r="BH1243" i="2"/>
  <c r="BG1243" i="2"/>
  <c r="BF1243" i="2"/>
  <c r="T1243" i="2"/>
  <c r="R1243" i="2"/>
  <c r="P1243" i="2"/>
  <c r="BI1240" i="2"/>
  <c r="BH1240" i="2"/>
  <c r="BG1240" i="2"/>
  <c r="BF1240" i="2"/>
  <c r="T1240" i="2"/>
  <c r="R1240" i="2"/>
  <c r="P1240" i="2"/>
  <c r="BI1235" i="2"/>
  <c r="BH1235" i="2"/>
  <c r="BG1235" i="2"/>
  <c r="BF1235" i="2"/>
  <c r="T1235" i="2"/>
  <c r="R1235" i="2"/>
  <c r="P1235" i="2"/>
  <c r="BI1230" i="2"/>
  <c r="BH1230" i="2"/>
  <c r="BG1230" i="2"/>
  <c r="BF1230" i="2"/>
  <c r="T1230" i="2"/>
  <c r="R1230" i="2"/>
  <c r="P1230" i="2"/>
  <c r="BI1227" i="2"/>
  <c r="BH1227" i="2"/>
  <c r="BG1227" i="2"/>
  <c r="BF1227" i="2"/>
  <c r="T1227" i="2"/>
  <c r="R1227" i="2"/>
  <c r="P1227" i="2"/>
  <c r="BI1222" i="2"/>
  <c r="BH1222" i="2"/>
  <c r="BG1222" i="2"/>
  <c r="BF1222" i="2"/>
  <c r="T1222" i="2"/>
  <c r="R1222" i="2"/>
  <c r="P1222" i="2"/>
  <c r="BI1219" i="2"/>
  <c r="BH1219" i="2"/>
  <c r="BG1219" i="2"/>
  <c r="BF1219" i="2"/>
  <c r="T1219" i="2"/>
  <c r="R1219" i="2"/>
  <c r="P1219" i="2"/>
  <c r="BI1214" i="2"/>
  <c r="BH1214" i="2"/>
  <c r="BG1214" i="2"/>
  <c r="BF1214" i="2"/>
  <c r="T1214" i="2"/>
  <c r="R1214" i="2"/>
  <c r="P1214" i="2"/>
  <c r="BI1188" i="2"/>
  <c r="BH1188" i="2"/>
  <c r="BG1188" i="2"/>
  <c r="BF1188" i="2"/>
  <c r="T1188" i="2"/>
  <c r="R1188" i="2"/>
  <c r="P1188" i="2"/>
  <c r="BI1186" i="2"/>
  <c r="BH1186" i="2"/>
  <c r="BG1186" i="2"/>
  <c r="BF1186" i="2"/>
  <c r="T1186" i="2"/>
  <c r="R1186" i="2"/>
  <c r="P1186" i="2"/>
  <c r="BI1181" i="2"/>
  <c r="BH1181" i="2"/>
  <c r="BG1181" i="2"/>
  <c r="BF1181" i="2"/>
  <c r="T1181" i="2"/>
  <c r="R1181" i="2"/>
  <c r="P1181" i="2"/>
  <c r="BI1179" i="2"/>
  <c r="BH1179" i="2"/>
  <c r="BG1179" i="2"/>
  <c r="BF1179" i="2"/>
  <c r="T1179" i="2"/>
  <c r="R1179" i="2"/>
  <c r="P1179" i="2"/>
  <c r="BI1176" i="2"/>
  <c r="BH1176" i="2"/>
  <c r="BG1176" i="2"/>
  <c r="BF1176" i="2"/>
  <c r="T1176" i="2"/>
  <c r="R1176" i="2"/>
  <c r="P1176" i="2"/>
  <c r="BI1173" i="2"/>
  <c r="BH1173" i="2"/>
  <c r="BG1173" i="2"/>
  <c r="BF1173" i="2"/>
  <c r="T1173" i="2"/>
  <c r="R1173" i="2"/>
  <c r="P1173" i="2"/>
  <c r="BI1171" i="2"/>
  <c r="BH1171" i="2"/>
  <c r="BG1171" i="2"/>
  <c r="BF1171" i="2"/>
  <c r="T1171" i="2"/>
  <c r="R1171" i="2"/>
  <c r="P1171"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23" i="2"/>
  <c r="BH1123" i="2"/>
  <c r="BG1123" i="2"/>
  <c r="BF1123" i="2"/>
  <c r="T1123" i="2"/>
  <c r="R1123" i="2"/>
  <c r="P1123" i="2"/>
  <c r="BI1121" i="2"/>
  <c r="BH1121" i="2"/>
  <c r="BG1121" i="2"/>
  <c r="BF1121" i="2"/>
  <c r="T1121" i="2"/>
  <c r="R1121" i="2"/>
  <c r="P1121" i="2"/>
  <c r="BI1120" i="2"/>
  <c r="BH1120" i="2"/>
  <c r="BG1120" i="2"/>
  <c r="BF1120" i="2"/>
  <c r="T1120" i="2"/>
  <c r="R1120" i="2"/>
  <c r="P1120" i="2"/>
  <c r="BI1118" i="2"/>
  <c r="BH1118" i="2"/>
  <c r="BG1118" i="2"/>
  <c r="BF1118" i="2"/>
  <c r="T1118" i="2"/>
  <c r="R1118" i="2"/>
  <c r="P1118" i="2"/>
  <c r="BI1115" i="2"/>
  <c r="BH1115" i="2"/>
  <c r="BG1115" i="2"/>
  <c r="BF1115" i="2"/>
  <c r="T1115" i="2"/>
  <c r="R1115" i="2"/>
  <c r="P1115" i="2"/>
  <c r="BI1110" i="2"/>
  <c r="BH1110" i="2"/>
  <c r="BG1110" i="2"/>
  <c r="BF1110" i="2"/>
  <c r="T1110" i="2"/>
  <c r="R1110" i="2"/>
  <c r="P1110" i="2"/>
  <c r="BI1105" i="2"/>
  <c r="BH1105" i="2"/>
  <c r="BG1105" i="2"/>
  <c r="BF1105" i="2"/>
  <c r="T1105" i="2"/>
  <c r="R1105" i="2"/>
  <c r="P1105" i="2"/>
  <c r="BI1100" i="2"/>
  <c r="BH1100" i="2"/>
  <c r="BG1100" i="2"/>
  <c r="BF1100" i="2"/>
  <c r="T1100" i="2"/>
  <c r="R1100" i="2"/>
  <c r="P1100" i="2"/>
  <c r="BI1095" i="2"/>
  <c r="BH1095" i="2"/>
  <c r="BG1095" i="2"/>
  <c r="BF1095" i="2"/>
  <c r="T1095" i="2"/>
  <c r="R1095" i="2"/>
  <c r="P1095" i="2"/>
  <c r="BI1076" i="2"/>
  <c r="BH1076" i="2"/>
  <c r="BG1076" i="2"/>
  <c r="BF1076" i="2"/>
  <c r="T1076" i="2"/>
  <c r="R1076" i="2"/>
  <c r="P1076" i="2"/>
  <c r="BI1057" i="2"/>
  <c r="BH1057" i="2"/>
  <c r="BG1057" i="2"/>
  <c r="BF1057" i="2"/>
  <c r="T1057" i="2"/>
  <c r="R1057" i="2"/>
  <c r="P1057" i="2"/>
  <c r="BI1038" i="2"/>
  <c r="BH1038" i="2"/>
  <c r="BG1038" i="2"/>
  <c r="BF1038" i="2"/>
  <c r="T1038" i="2"/>
  <c r="R1038" i="2"/>
  <c r="P1038" i="2"/>
  <c r="BI1019" i="2"/>
  <c r="BH1019" i="2"/>
  <c r="BG1019" i="2"/>
  <c r="BF1019" i="2"/>
  <c r="T1019" i="2"/>
  <c r="R1019" i="2"/>
  <c r="P1019" i="2"/>
  <c r="BI1014" i="2"/>
  <c r="BH1014" i="2"/>
  <c r="BG1014" i="2"/>
  <c r="BF1014" i="2"/>
  <c r="T1014" i="2"/>
  <c r="R1014" i="2"/>
  <c r="P1014" i="2"/>
  <c r="BI995" i="2"/>
  <c r="BH995" i="2"/>
  <c r="BG995" i="2"/>
  <c r="BF995" i="2"/>
  <c r="T995" i="2"/>
  <c r="R995" i="2"/>
  <c r="P995" i="2"/>
  <c r="BI972" i="2"/>
  <c r="BH972" i="2"/>
  <c r="BG972" i="2"/>
  <c r="BF972" i="2"/>
  <c r="T972" i="2"/>
  <c r="R972" i="2"/>
  <c r="P972" i="2"/>
  <c r="BI970" i="2"/>
  <c r="BH970" i="2"/>
  <c r="BG970" i="2"/>
  <c r="BF970" i="2"/>
  <c r="T970" i="2"/>
  <c r="R970" i="2"/>
  <c r="P970" i="2"/>
  <c r="BI947" i="2"/>
  <c r="BH947" i="2"/>
  <c r="BG947" i="2"/>
  <c r="BF947" i="2"/>
  <c r="T947" i="2"/>
  <c r="R947" i="2"/>
  <c r="P947" i="2"/>
  <c r="BI945" i="2"/>
  <c r="BH945" i="2"/>
  <c r="BG945" i="2"/>
  <c r="BF945" i="2"/>
  <c r="T945" i="2"/>
  <c r="R945" i="2"/>
  <c r="P945" i="2"/>
  <c r="BI937" i="2"/>
  <c r="BH937" i="2"/>
  <c r="BG937" i="2"/>
  <c r="BF937" i="2"/>
  <c r="T937" i="2"/>
  <c r="R937" i="2"/>
  <c r="P937" i="2"/>
  <c r="BI935" i="2"/>
  <c r="BH935" i="2"/>
  <c r="BG935" i="2"/>
  <c r="BF935" i="2"/>
  <c r="T935" i="2"/>
  <c r="R935" i="2"/>
  <c r="P935" i="2"/>
  <c r="BI933" i="2"/>
  <c r="BH933" i="2"/>
  <c r="BG933" i="2"/>
  <c r="BF933" i="2"/>
  <c r="T933" i="2"/>
  <c r="R933" i="2"/>
  <c r="P933" i="2"/>
  <c r="BI929" i="2"/>
  <c r="BH929" i="2"/>
  <c r="BG929" i="2"/>
  <c r="BF929" i="2"/>
  <c r="T929" i="2"/>
  <c r="R929" i="2"/>
  <c r="P929" i="2"/>
  <c r="BI922" i="2"/>
  <c r="BH922" i="2"/>
  <c r="BG922" i="2"/>
  <c r="BF922" i="2"/>
  <c r="T922" i="2"/>
  <c r="R922" i="2"/>
  <c r="P922" i="2"/>
  <c r="BI918" i="2"/>
  <c r="BH918" i="2"/>
  <c r="BG918" i="2"/>
  <c r="BF918" i="2"/>
  <c r="T918" i="2"/>
  <c r="R918" i="2"/>
  <c r="P918" i="2"/>
  <c r="BI916" i="2"/>
  <c r="BH916" i="2"/>
  <c r="BG916" i="2"/>
  <c r="BF916" i="2"/>
  <c r="T916" i="2"/>
  <c r="R916" i="2"/>
  <c r="P916" i="2"/>
  <c r="BI914" i="2"/>
  <c r="BH914" i="2"/>
  <c r="BG914" i="2"/>
  <c r="BF914" i="2"/>
  <c r="T914" i="2"/>
  <c r="R914" i="2"/>
  <c r="P914" i="2"/>
  <c r="BI910" i="2"/>
  <c r="BH910" i="2"/>
  <c r="BG910" i="2"/>
  <c r="BF910" i="2"/>
  <c r="T910" i="2"/>
  <c r="R910" i="2"/>
  <c r="P910" i="2"/>
  <c r="BI908" i="2"/>
  <c r="BH908" i="2"/>
  <c r="BG908" i="2"/>
  <c r="BF908" i="2"/>
  <c r="T908" i="2"/>
  <c r="R908" i="2"/>
  <c r="P908" i="2"/>
  <c r="BI905" i="2"/>
  <c r="BH905" i="2"/>
  <c r="BG905" i="2"/>
  <c r="BF905" i="2"/>
  <c r="T905" i="2"/>
  <c r="T904" i="2" s="1"/>
  <c r="R905" i="2"/>
  <c r="R904" i="2"/>
  <c r="P905" i="2"/>
  <c r="P904" i="2"/>
  <c r="BI901" i="2"/>
  <c r="BH901" i="2"/>
  <c r="BG901" i="2"/>
  <c r="BF901" i="2"/>
  <c r="T901" i="2"/>
  <c r="R901" i="2"/>
  <c r="P901" i="2"/>
  <c r="BI890" i="2"/>
  <c r="BH890" i="2"/>
  <c r="BG890" i="2"/>
  <c r="BF890" i="2"/>
  <c r="T890" i="2"/>
  <c r="R890" i="2"/>
  <c r="P890" i="2"/>
  <c r="BI879" i="2"/>
  <c r="BH879" i="2"/>
  <c r="BG879" i="2"/>
  <c r="BF879" i="2"/>
  <c r="T879" i="2"/>
  <c r="R879" i="2"/>
  <c r="P879" i="2"/>
  <c r="BI878" i="2"/>
  <c r="BH878" i="2"/>
  <c r="BG878" i="2"/>
  <c r="BF878" i="2"/>
  <c r="T878" i="2"/>
  <c r="R878" i="2"/>
  <c r="P878"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63" i="2"/>
  <c r="BH863" i="2"/>
  <c r="BG863" i="2"/>
  <c r="BF863" i="2"/>
  <c r="T863" i="2"/>
  <c r="R863" i="2"/>
  <c r="P863" i="2"/>
  <c r="BI860" i="2"/>
  <c r="BH860" i="2"/>
  <c r="BG860" i="2"/>
  <c r="BF860" i="2"/>
  <c r="T860" i="2"/>
  <c r="R860" i="2"/>
  <c r="P860" i="2"/>
  <c r="BI854" i="2"/>
  <c r="BH854" i="2"/>
  <c r="BG854" i="2"/>
  <c r="BF854" i="2"/>
  <c r="T854" i="2"/>
  <c r="R854" i="2"/>
  <c r="P854" i="2"/>
  <c r="BI852" i="2"/>
  <c r="BH852" i="2"/>
  <c r="BG852" i="2"/>
  <c r="BF852" i="2"/>
  <c r="T852" i="2"/>
  <c r="R852" i="2"/>
  <c r="P852" i="2"/>
  <c r="BI850" i="2"/>
  <c r="BH850" i="2"/>
  <c r="BG850" i="2"/>
  <c r="BF850" i="2"/>
  <c r="T850" i="2"/>
  <c r="R850" i="2"/>
  <c r="P850" i="2"/>
  <c r="BI848" i="2"/>
  <c r="BH848" i="2"/>
  <c r="BG848" i="2"/>
  <c r="BF848" i="2"/>
  <c r="T848" i="2"/>
  <c r="R848" i="2"/>
  <c r="P848" i="2"/>
  <c r="BI846" i="2"/>
  <c r="BH846" i="2"/>
  <c r="BG846" i="2"/>
  <c r="BF846" i="2"/>
  <c r="T846" i="2"/>
  <c r="R846" i="2"/>
  <c r="P846" i="2"/>
  <c r="BI844" i="2"/>
  <c r="BH844" i="2"/>
  <c r="BG844" i="2"/>
  <c r="BF844" i="2"/>
  <c r="T844" i="2"/>
  <c r="R844" i="2"/>
  <c r="P844" i="2"/>
  <c r="BI841" i="2"/>
  <c r="BH841" i="2"/>
  <c r="BG841" i="2"/>
  <c r="BF841" i="2"/>
  <c r="T841" i="2"/>
  <c r="R841" i="2"/>
  <c r="P841" i="2"/>
  <c r="BI838" i="2"/>
  <c r="BH838" i="2"/>
  <c r="BG838" i="2"/>
  <c r="BF838" i="2"/>
  <c r="T838" i="2"/>
  <c r="R838" i="2"/>
  <c r="P838" i="2"/>
  <c r="BI832" i="2"/>
  <c r="BH832" i="2"/>
  <c r="BG832" i="2"/>
  <c r="BF832" i="2"/>
  <c r="T832" i="2"/>
  <c r="R832" i="2"/>
  <c r="P832" i="2"/>
  <c r="BI820" i="2"/>
  <c r="BH820" i="2"/>
  <c r="BG820" i="2"/>
  <c r="BF820" i="2"/>
  <c r="T820" i="2"/>
  <c r="R820" i="2"/>
  <c r="P820" i="2"/>
  <c r="BI812" i="2"/>
  <c r="BH812" i="2"/>
  <c r="BG812" i="2"/>
  <c r="BF812" i="2"/>
  <c r="T812" i="2"/>
  <c r="R812" i="2"/>
  <c r="P812" i="2"/>
  <c r="BI809" i="2"/>
  <c r="BH809" i="2"/>
  <c r="BG809" i="2"/>
  <c r="BF809" i="2"/>
  <c r="T809" i="2"/>
  <c r="R809" i="2"/>
  <c r="P809" i="2"/>
  <c r="BI803" i="2"/>
  <c r="BH803" i="2"/>
  <c r="BG803" i="2"/>
  <c r="BF803" i="2"/>
  <c r="T803" i="2"/>
  <c r="R803" i="2"/>
  <c r="P803" i="2"/>
  <c r="BI795" i="2"/>
  <c r="BH795" i="2"/>
  <c r="BG795" i="2"/>
  <c r="BF795" i="2"/>
  <c r="T795" i="2"/>
  <c r="R795" i="2"/>
  <c r="P795" i="2"/>
  <c r="BI792" i="2"/>
  <c r="BH792" i="2"/>
  <c r="BG792" i="2"/>
  <c r="BF792" i="2"/>
  <c r="T792" i="2"/>
  <c r="R792" i="2"/>
  <c r="P792" i="2"/>
  <c r="BI789" i="2"/>
  <c r="BH789" i="2"/>
  <c r="BG789" i="2"/>
  <c r="BF789" i="2"/>
  <c r="T789" i="2"/>
  <c r="R789" i="2"/>
  <c r="P789" i="2"/>
  <c r="BI787" i="2"/>
  <c r="BH787" i="2"/>
  <c r="BG787" i="2"/>
  <c r="BF787" i="2"/>
  <c r="T787" i="2"/>
  <c r="R787" i="2"/>
  <c r="P787" i="2"/>
  <c r="BI773" i="2"/>
  <c r="BH773" i="2"/>
  <c r="BG773" i="2"/>
  <c r="BF773" i="2"/>
  <c r="T773" i="2"/>
  <c r="R773" i="2"/>
  <c r="P773" i="2"/>
  <c r="BI767" i="2"/>
  <c r="BH767" i="2"/>
  <c r="BG767" i="2"/>
  <c r="BF767" i="2"/>
  <c r="T767" i="2"/>
  <c r="R767" i="2"/>
  <c r="P767" i="2"/>
  <c r="BI764" i="2"/>
  <c r="BH764" i="2"/>
  <c r="BG764" i="2"/>
  <c r="BF764" i="2"/>
  <c r="T764" i="2"/>
  <c r="R764" i="2"/>
  <c r="P764" i="2"/>
  <c r="BI758" i="2"/>
  <c r="BH758" i="2"/>
  <c r="BG758" i="2"/>
  <c r="BF758" i="2"/>
  <c r="T758" i="2"/>
  <c r="R758" i="2"/>
  <c r="P758" i="2"/>
  <c r="BI750" i="2"/>
  <c r="BH750" i="2"/>
  <c r="BG750" i="2"/>
  <c r="BF750" i="2"/>
  <c r="T750" i="2"/>
  <c r="R750" i="2"/>
  <c r="P750" i="2"/>
  <c r="BI748" i="2"/>
  <c r="BH748" i="2"/>
  <c r="BG748" i="2"/>
  <c r="BF748" i="2"/>
  <c r="T748" i="2"/>
  <c r="R748" i="2"/>
  <c r="P748" i="2"/>
  <c r="BI746" i="2"/>
  <c r="BH746" i="2"/>
  <c r="BG746" i="2"/>
  <c r="BF746" i="2"/>
  <c r="T746" i="2"/>
  <c r="R746" i="2"/>
  <c r="P746" i="2"/>
  <c r="BI740" i="2"/>
  <c r="BH740" i="2"/>
  <c r="BG740" i="2"/>
  <c r="BF740" i="2"/>
  <c r="T740" i="2"/>
  <c r="R740" i="2"/>
  <c r="P740" i="2"/>
  <c r="BI738" i="2"/>
  <c r="BH738" i="2"/>
  <c r="BG738" i="2"/>
  <c r="BF738" i="2"/>
  <c r="T738" i="2"/>
  <c r="R738" i="2"/>
  <c r="P738" i="2"/>
  <c r="BI732" i="2"/>
  <c r="BH732" i="2"/>
  <c r="BG732" i="2"/>
  <c r="BF732" i="2"/>
  <c r="T732" i="2"/>
  <c r="R732" i="2"/>
  <c r="P732" i="2"/>
  <c r="BI730" i="2"/>
  <c r="BH730" i="2"/>
  <c r="BG730" i="2"/>
  <c r="BF730" i="2"/>
  <c r="T730" i="2"/>
  <c r="R730" i="2"/>
  <c r="P730" i="2"/>
  <c r="BI728" i="2"/>
  <c r="BH728" i="2"/>
  <c r="BG728" i="2"/>
  <c r="BF728" i="2"/>
  <c r="T728" i="2"/>
  <c r="R728" i="2"/>
  <c r="P728" i="2"/>
  <c r="BI718" i="2"/>
  <c r="BH718" i="2"/>
  <c r="BG718" i="2"/>
  <c r="BF718" i="2"/>
  <c r="T718" i="2"/>
  <c r="R718" i="2"/>
  <c r="P718" i="2"/>
  <c r="BI709" i="2"/>
  <c r="BH709" i="2"/>
  <c r="BG709" i="2"/>
  <c r="BF709" i="2"/>
  <c r="T709" i="2"/>
  <c r="R709" i="2"/>
  <c r="P709" i="2"/>
  <c r="BI700" i="2"/>
  <c r="BH700" i="2"/>
  <c r="BG700" i="2"/>
  <c r="BF700" i="2"/>
  <c r="T700" i="2"/>
  <c r="R700" i="2"/>
  <c r="P700" i="2"/>
  <c r="BI695" i="2"/>
  <c r="BH695" i="2"/>
  <c r="BG695" i="2"/>
  <c r="BF695" i="2"/>
  <c r="T695" i="2"/>
  <c r="R695" i="2"/>
  <c r="P695" i="2"/>
  <c r="BI693" i="2"/>
  <c r="BH693" i="2"/>
  <c r="BG693" i="2"/>
  <c r="BF693" i="2"/>
  <c r="T693" i="2"/>
  <c r="R693" i="2"/>
  <c r="P693" i="2"/>
  <c r="BI688" i="2"/>
  <c r="BH688" i="2"/>
  <c r="BG688" i="2"/>
  <c r="BF688" i="2"/>
  <c r="T688" i="2"/>
  <c r="R688" i="2"/>
  <c r="P688" i="2"/>
  <c r="BI686" i="2"/>
  <c r="BH686" i="2"/>
  <c r="BG686" i="2"/>
  <c r="BF686" i="2"/>
  <c r="T686" i="2"/>
  <c r="R686" i="2"/>
  <c r="P686" i="2"/>
  <c r="BI681" i="2"/>
  <c r="BH681" i="2"/>
  <c r="BG681" i="2"/>
  <c r="BF681" i="2"/>
  <c r="T681" i="2"/>
  <c r="R681" i="2"/>
  <c r="P681"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7" i="2"/>
  <c r="BH647" i="2"/>
  <c r="BG647" i="2"/>
  <c r="BF647" i="2"/>
  <c r="T647" i="2"/>
  <c r="R647" i="2"/>
  <c r="P647" i="2"/>
  <c r="BI646" i="2"/>
  <c r="BH646" i="2"/>
  <c r="BG646" i="2"/>
  <c r="BF646" i="2"/>
  <c r="T646" i="2"/>
  <c r="R646" i="2"/>
  <c r="P646" i="2"/>
  <c r="BI645" i="2"/>
  <c r="BH645" i="2"/>
  <c r="BG645" i="2"/>
  <c r="BF645" i="2"/>
  <c r="T645" i="2"/>
  <c r="R645" i="2"/>
  <c r="P645" i="2"/>
  <c r="BI644" i="2"/>
  <c r="BH644" i="2"/>
  <c r="BG644" i="2"/>
  <c r="BF644" i="2"/>
  <c r="T644" i="2"/>
  <c r="R644" i="2"/>
  <c r="P644" i="2"/>
  <c r="BI643" i="2"/>
  <c r="BH643" i="2"/>
  <c r="BG643" i="2"/>
  <c r="BF643" i="2"/>
  <c r="T643" i="2"/>
  <c r="R643" i="2"/>
  <c r="P643" i="2"/>
  <c r="BI640" i="2"/>
  <c r="BH640" i="2"/>
  <c r="BG640" i="2"/>
  <c r="BF640" i="2"/>
  <c r="T640" i="2"/>
  <c r="R640" i="2"/>
  <c r="P640" i="2"/>
  <c r="BI639" i="2"/>
  <c r="BH639" i="2"/>
  <c r="BG639" i="2"/>
  <c r="BF639" i="2"/>
  <c r="T639" i="2"/>
  <c r="R639" i="2"/>
  <c r="P639" i="2"/>
  <c r="BI633" i="2"/>
  <c r="BH633" i="2"/>
  <c r="BG633" i="2"/>
  <c r="BF633" i="2"/>
  <c r="T633" i="2"/>
  <c r="R633" i="2"/>
  <c r="P633" i="2"/>
  <c r="BI627" i="2"/>
  <c r="BH627" i="2"/>
  <c r="BG627" i="2"/>
  <c r="BF627" i="2"/>
  <c r="T627" i="2"/>
  <c r="R627" i="2"/>
  <c r="P627" i="2"/>
  <c r="BI624" i="2"/>
  <c r="BH624" i="2"/>
  <c r="BG624" i="2"/>
  <c r="BF624" i="2"/>
  <c r="T624" i="2"/>
  <c r="R624" i="2"/>
  <c r="P624" i="2"/>
  <c r="BI623" i="2"/>
  <c r="BH623" i="2"/>
  <c r="BG623" i="2"/>
  <c r="BF623" i="2"/>
  <c r="T623" i="2"/>
  <c r="R623" i="2"/>
  <c r="P623" i="2"/>
  <c r="BI604" i="2"/>
  <c r="BH604" i="2"/>
  <c r="BG604" i="2"/>
  <c r="BF604" i="2"/>
  <c r="T604" i="2"/>
  <c r="R604" i="2"/>
  <c r="P604" i="2"/>
  <c r="BI603" i="2"/>
  <c r="BH603" i="2"/>
  <c r="BG603" i="2"/>
  <c r="BF603" i="2"/>
  <c r="T603" i="2"/>
  <c r="R603" i="2"/>
  <c r="P603" i="2"/>
  <c r="BI584" i="2"/>
  <c r="BH584" i="2"/>
  <c r="BG584" i="2"/>
  <c r="BF584" i="2"/>
  <c r="T584" i="2"/>
  <c r="R584" i="2"/>
  <c r="P584" i="2"/>
  <c r="BI565" i="2"/>
  <c r="BH565" i="2"/>
  <c r="BG565" i="2"/>
  <c r="BF565" i="2"/>
  <c r="T565" i="2"/>
  <c r="R565" i="2"/>
  <c r="P565" i="2"/>
  <c r="BI547" i="2"/>
  <c r="BH547" i="2"/>
  <c r="BG547" i="2"/>
  <c r="BF547" i="2"/>
  <c r="T547" i="2"/>
  <c r="R547" i="2"/>
  <c r="P547" i="2"/>
  <c r="BI541" i="2"/>
  <c r="BH541" i="2"/>
  <c r="BG541" i="2"/>
  <c r="BF541" i="2"/>
  <c r="T541" i="2"/>
  <c r="R541" i="2"/>
  <c r="P541" i="2"/>
  <c r="BI540" i="2"/>
  <c r="BH540" i="2"/>
  <c r="BG540" i="2"/>
  <c r="BF540" i="2"/>
  <c r="T540" i="2"/>
  <c r="R540" i="2"/>
  <c r="P540" i="2"/>
  <c r="BI537" i="2"/>
  <c r="BH537" i="2"/>
  <c r="BG537" i="2"/>
  <c r="BF537" i="2"/>
  <c r="T537" i="2"/>
  <c r="R537" i="2"/>
  <c r="P537" i="2"/>
  <c r="BI536" i="2"/>
  <c r="BH536" i="2"/>
  <c r="BG536" i="2"/>
  <c r="BF536" i="2"/>
  <c r="T536" i="2"/>
  <c r="R536" i="2"/>
  <c r="P536" i="2"/>
  <c r="BI520" i="2"/>
  <c r="BH520" i="2"/>
  <c r="BG520" i="2"/>
  <c r="BF520" i="2"/>
  <c r="T520" i="2"/>
  <c r="R520" i="2"/>
  <c r="P520" i="2"/>
  <c r="BI517" i="2"/>
  <c r="BH517" i="2"/>
  <c r="BG517" i="2"/>
  <c r="BF517" i="2"/>
  <c r="T517" i="2"/>
  <c r="R517" i="2"/>
  <c r="P517" i="2"/>
  <c r="BI516" i="2"/>
  <c r="BH516" i="2"/>
  <c r="BG516" i="2"/>
  <c r="BF516" i="2"/>
  <c r="T516" i="2"/>
  <c r="R516" i="2"/>
  <c r="P516" i="2"/>
  <c r="BI511" i="2"/>
  <c r="BH511" i="2"/>
  <c r="BG511" i="2"/>
  <c r="BF511" i="2"/>
  <c r="T511" i="2"/>
  <c r="R511" i="2"/>
  <c r="P511" i="2"/>
  <c r="BI510" i="2"/>
  <c r="BH510" i="2"/>
  <c r="BG510" i="2"/>
  <c r="BF510" i="2"/>
  <c r="T510" i="2"/>
  <c r="R510" i="2"/>
  <c r="P510" i="2"/>
  <c r="BI488" i="2"/>
  <c r="BH488" i="2"/>
  <c r="BG488" i="2"/>
  <c r="BF488" i="2"/>
  <c r="T488" i="2"/>
  <c r="R488" i="2"/>
  <c r="P488" i="2"/>
  <c r="BI471" i="2"/>
  <c r="BH471" i="2"/>
  <c r="BG471" i="2"/>
  <c r="BF471" i="2"/>
  <c r="T471" i="2"/>
  <c r="R471" i="2"/>
  <c r="P471"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3" i="2"/>
  <c r="BH463" i="2"/>
  <c r="BG463" i="2"/>
  <c r="BF463" i="2"/>
  <c r="T463" i="2"/>
  <c r="R463" i="2"/>
  <c r="P463" i="2"/>
  <c r="BI455" i="2"/>
  <c r="BH455" i="2"/>
  <c r="BG455" i="2"/>
  <c r="BF455" i="2"/>
  <c r="T455" i="2"/>
  <c r="R455" i="2"/>
  <c r="P455" i="2"/>
  <c r="BI452" i="2"/>
  <c r="BH452" i="2"/>
  <c r="BG452" i="2"/>
  <c r="BF452" i="2"/>
  <c r="T452" i="2"/>
  <c r="R452" i="2"/>
  <c r="P452" i="2"/>
  <c r="BI451" i="2"/>
  <c r="BH451" i="2"/>
  <c r="BG451" i="2"/>
  <c r="BF451" i="2"/>
  <c r="T451" i="2"/>
  <c r="R451" i="2"/>
  <c r="P451" i="2"/>
  <c r="BI442" i="2"/>
  <c r="BH442" i="2"/>
  <c r="BG442" i="2"/>
  <c r="BF442" i="2"/>
  <c r="T442" i="2"/>
  <c r="R442" i="2"/>
  <c r="P442" i="2"/>
  <c r="BI433" i="2"/>
  <c r="BH433" i="2"/>
  <c r="BG433" i="2"/>
  <c r="BF433" i="2"/>
  <c r="T433" i="2"/>
  <c r="R433" i="2"/>
  <c r="P433" i="2"/>
  <c r="BI420" i="2"/>
  <c r="BH420" i="2"/>
  <c r="BG420" i="2"/>
  <c r="BF420" i="2"/>
  <c r="T420" i="2"/>
  <c r="R420" i="2"/>
  <c r="P420" i="2"/>
  <c r="BI403" i="2"/>
  <c r="BH403" i="2"/>
  <c r="BG403" i="2"/>
  <c r="BF403" i="2"/>
  <c r="T403" i="2"/>
  <c r="R403" i="2"/>
  <c r="P403" i="2"/>
  <c r="BI385" i="2"/>
  <c r="BH385" i="2"/>
  <c r="BG385" i="2"/>
  <c r="BF385" i="2"/>
  <c r="T385" i="2"/>
  <c r="R385" i="2"/>
  <c r="P385" i="2"/>
  <c r="BI366" i="2"/>
  <c r="BH366" i="2"/>
  <c r="BG366" i="2"/>
  <c r="BF366" i="2"/>
  <c r="T366" i="2"/>
  <c r="R366" i="2"/>
  <c r="P366" i="2"/>
  <c r="BI360" i="2"/>
  <c r="BH360" i="2"/>
  <c r="BG360" i="2"/>
  <c r="BF360" i="2"/>
  <c r="T360" i="2"/>
  <c r="R360" i="2"/>
  <c r="P360" i="2"/>
  <c r="BI359" i="2"/>
  <c r="BH359" i="2"/>
  <c r="BG359" i="2"/>
  <c r="BF359" i="2"/>
  <c r="T359" i="2"/>
  <c r="R359" i="2"/>
  <c r="P359" i="2"/>
  <c r="BI341" i="2"/>
  <c r="BH341" i="2"/>
  <c r="BG341" i="2"/>
  <c r="BF341" i="2"/>
  <c r="T341" i="2"/>
  <c r="R341" i="2"/>
  <c r="P341" i="2"/>
  <c r="BI323" i="2"/>
  <c r="BH323" i="2"/>
  <c r="BG323" i="2"/>
  <c r="BF323" i="2"/>
  <c r="T323" i="2"/>
  <c r="R323" i="2"/>
  <c r="P323" i="2"/>
  <c r="BI321" i="2"/>
  <c r="BH321" i="2"/>
  <c r="BG321" i="2"/>
  <c r="BF321" i="2"/>
  <c r="T321" i="2"/>
  <c r="R321" i="2"/>
  <c r="P321"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1" i="2"/>
  <c r="BH291" i="2"/>
  <c r="BG291" i="2"/>
  <c r="BF291" i="2"/>
  <c r="T291" i="2"/>
  <c r="R291" i="2"/>
  <c r="P291" i="2"/>
  <c r="BI283" i="2"/>
  <c r="BH283" i="2"/>
  <c r="BG283" i="2"/>
  <c r="BF283" i="2"/>
  <c r="T283" i="2"/>
  <c r="R283" i="2"/>
  <c r="P283" i="2"/>
  <c r="BI282" i="2"/>
  <c r="BH282" i="2"/>
  <c r="BG282" i="2"/>
  <c r="BF282" i="2"/>
  <c r="T282" i="2"/>
  <c r="R282" i="2"/>
  <c r="P282" i="2"/>
  <c r="BI254" i="2"/>
  <c r="BH254" i="2"/>
  <c r="BG254" i="2"/>
  <c r="BF254" i="2"/>
  <c r="T254" i="2"/>
  <c r="R254" i="2"/>
  <c r="P254" i="2"/>
  <c r="BI226" i="2"/>
  <c r="BH226" i="2"/>
  <c r="BG226" i="2"/>
  <c r="BF226" i="2"/>
  <c r="T226" i="2"/>
  <c r="R226" i="2"/>
  <c r="P226" i="2"/>
  <c r="BI212" i="2"/>
  <c r="BH212" i="2"/>
  <c r="BG212" i="2"/>
  <c r="BF212" i="2"/>
  <c r="T212" i="2"/>
  <c r="R212" i="2"/>
  <c r="P212" i="2"/>
  <c r="BI205" i="2"/>
  <c r="BH205" i="2"/>
  <c r="BG205" i="2"/>
  <c r="BF205" i="2"/>
  <c r="T205" i="2"/>
  <c r="R205" i="2"/>
  <c r="P205" i="2"/>
  <c r="BI204" i="2"/>
  <c r="BH204" i="2"/>
  <c r="BG204" i="2"/>
  <c r="BF204" i="2"/>
  <c r="T204" i="2"/>
  <c r="R204" i="2"/>
  <c r="P204" i="2"/>
  <c r="BI200" i="2"/>
  <c r="BH200" i="2"/>
  <c r="BG200" i="2"/>
  <c r="BF200" i="2"/>
  <c r="T200" i="2"/>
  <c r="R200" i="2"/>
  <c r="P200" i="2"/>
  <c r="BI196" i="2"/>
  <c r="BH196" i="2"/>
  <c r="BG196" i="2"/>
  <c r="BF196" i="2"/>
  <c r="T196" i="2"/>
  <c r="R196" i="2"/>
  <c r="P196" i="2"/>
  <c r="BI193" i="2"/>
  <c r="BH193" i="2"/>
  <c r="BG193" i="2"/>
  <c r="BF193" i="2"/>
  <c r="T193" i="2"/>
  <c r="R193" i="2"/>
  <c r="P193" i="2"/>
  <c r="BI190" i="2"/>
  <c r="BH190" i="2"/>
  <c r="BG190" i="2"/>
  <c r="BF190" i="2"/>
  <c r="T190" i="2"/>
  <c r="R190" i="2"/>
  <c r="P190"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80" i="2"/>
  <c r="BH180" i="2"/>
  <c r="BG180" i="2"/>
  <c r="BF180" i="2"/>
  <c r="T180" i="2"/>
  <c r="R180" i="2"/>
  <c r="P180" i="2"/>
  <c r="BI178" i="2"/>
  <c r="BH178" i="2"/>
  <c r="BG178" i="2"/>
  <c r="BF178" i="2"/>
  <c r="T178" i="2"/>
  <c r="R178" i="2"/>
  <c r="P178" i="2"/>
  <c r="BI176" i="2"/>
  <c r="BH176" i="2"/>
  <c r="BG176" i="2"/>
  <c r="BF176" i="2"/>
  <c r="T176" i="2"/>
  <c r="R176" i="2"/>
  <c r="P176" i="2"/>
  <c r="BI173" i="2"/>
  <c r="BH173" i="2"/>
  <c r="BG173" i="2"/>
  <c r="BF173" i="2"/>
  <c r="T173" i="2"/>
  <c r="R173" i="2"/>
  <c r="P173" i="2"/>
  <c r="BI172" i="2"/>
  <c r="BH172" i="2"/>
  <c r="BG172" i="2"/>
  <c r="BF172" i="2"/>
  <c r="T172" i="2"/>
  <c r="R172" i="2"/>
  <c r="P172" i="2"/>
  <c r="BI170" i="2"/>
  <c r="BH170" i="2"/>
  <c r="BG170" i="2"/>
  <c r="BF170" i="2"/>
  <c r="T170" i="2"/>
  <c r="R170" i="2"/>
  <c r="P170" i="2"/>
  <c r="BI168" i="2"/>
  <c r="BH168" i="2"/>
  <c r="BG168" i="2"/>
  <c r="BF168" i="2"/>
  <c r="T168" i="2"/>
  <c r="R168" i="2"/>
  <c r="P168" i="2"/>
  <c r="BI165" i="2"/>
  <c r="BH165" i="2"/>
  <c r="BG165" i="2"/>
  <c r="BF165" i="2"/>
  <c r="T165" i="2"/>
  <c r="R165" i="2"/>
  <c r="P165"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4" i="2"/>
  <c r="BH144" i="2"/>
  <c r="BG144" i="2"/>
  <c r="BF144" i="2"/>
  <c r="T144" i="2"/>
  <c r="R144" i="2"/>
  <c r="P144" i="2"/>
  <c r="BI142" i="2"/>
  <c r="BH142" i="2"/>
  <c r="BG142" i="2"/>
  <c r="BF142" i="2"/>
  <c r="T142" i="2"/>
  <c r="R142" i="2"/>
  <c r="P142" i="2"/>
  <c r="BI139" i="2"/>
  <c r="BH139" i="2"/>
  <c r="BG139" i="2"/>
  <c r="BF139" i="2"/>
  <c r="T139" i="2"/>
  <c r="R139" i="2"/>
  <c r="P139" i="2"/>
  <c r="BI136" i="2"/>
  <c r="BH136" i="2"/>
  <c r="BG136" i="2"/>
  <c r="BF136" i="2"/>
  <c r="T136" i="2"/>
  <c r="R136" i="2"/>
  <c r="P136" i="2"/>
  <c r="BI135" i="2"/>
  <c r="BH135" i="2"/>
  <c r="BG135" i="2"/>
  <c r="BF135" i="2"/>
  <c r="T135" i="2"/>
  <c r="R135" i="2"/>
  <c r="P135" i="2"/>
  <c r="BI129" i="2"/>
  <c r="BH129" i="2"/>
  <c r="BG129" i="2"/>
  <c r="BF129" i="2"/>
  <c r="T129" i="2"/>
  <c r="R129" i="2"/>
  <c r="P129" i="2"/>
  <c r="BI126" i="2"/>
  <c r="BH126" i="2"/>
  <c r="BG126" i="2"/>
  <c r="BF126" i="2"/>
  <c r="T126" i="2"/>
  <c r="R126" i="2"/>
  <c r="P126" i="2"/>
  <c r="BI125" i="2"/>
  <c r="BH125" i="2"/>
  <c r="BG125" i="2"/>
  <c r="BF125" i="2"/>
  <c r="T125" i="2"/>
  <c r="R125" i="2"/>
  <c r="P125" i="2"/>
  <c r="BI123" i="2"/>
  <c r="BH123" i="2"/>
  <c r="BG123" i="2"/>
  <c r="BF123" i="2"/>
  <c r="T123" i="2"/>
  <c r="R123" i="2"/>
  <c r="P123" i="2"/>
  <c r="BI120" i="2"/>
  <c r="BH120" i="2"/>
  <c r="BG120" i="2"/>
  <c r="BF120" i="2"/>
  <c r="T120" i="2"/>
  <c r="R120" i="2"/>
  <c r="P120" i="2"/>
  <c r="BI117" i="2"/>
  <c r="BH117" i="2"/>
  <c r="BG117" i="2"/>
  <c r="BF117" i="2"/>
  <c r="T117" i="2"/>
  <c r="R117" i="2"/>
  <c r="P117" i="2"/>
  <c r="J111" i="2"/>
  <c r="J110" i="2"/>
  <c r="F110" i="2"/>
  <c r="F108" i="2"/>
  <c r="E106" i="2"/>
  <c r="J59" i="2"/>
  <c r="J58" i="2"/>
  <c r="F58" i="2"/>
  <c r="F56" i="2"/>
  <c r="E54" i="2"/>
  <c r="J20" i="2"/>
  <c r="E20" i="2"/>
  <c r="F59" i="2"/>
  <c r="J19" i="2"/>
  <c r="J14" i="2"/>
  <c r="J56" i="2" s="1"/>
  <c r="E7" i="2"/>
  <c r="E102" i="2"/>
  <c r="L50" i="1"/>
  <c r="AM50" i="1"/>
  <c r="AM49" i="1"/>
  <c r="L49" i="1"/>
  <c r="AM47" i="1"/>
  <c r="L47" i="1"/>
  <c r="L45" i="1"/>
  <c r="L44" i="1"/>
  <c r="BK1561" i="2"/>
  <c r="J1469" i="2"/>
  <c r="J852" i="2"/>
  <c r="BK1447" i="2"/>
  <c r="BK1471" i="2"/>
  <c r="J1472" i="2"/>
  <c r="BK1115" i="2"/>
  <c r="BK652" i="2"/>
  <c r="J686" i="2"/>
  <c r="BK1407" i="2"/>
  <c r="J161" i="2"/>
  <c r="J154" i="3"/>
  <c r="BK405" i="3"/>
  <c r="BK308" i="3"/>
  <c r="J156" i="3"/>
  <c r="J143" i="3"/>
  <c r="BK535" i="4"/>
  <c r="J195" i="4"/>
  <c r="BK441" i="4"/>
  <c r="J237" i="4"/>
  <c r="J435" i="4"/>
  <c r="BK108" i="4"/>
  <c r="BK181" i="5"/>
  <c r="J156" i="7"/>
  <c r="J107" i="8"/>
  <c r="J204" i="10"/>
  <c r="J229" i="10"/>
  <c r="BK99" i="14"/>
  <c r="BK107" i="15"/>
  <c r="J115" i="17"/>
  <c r="J206" i="18"/>
  <c r="J235" i="18"/>
  <c r="J227" i="18"/>
  <c r="BK286" i="18"/>
  <c r="BK223" i="18"/>
  <c r="J170" i="18"/>
  <c r="BK253" i="19"/>
  <c r="BK193" i="19"/>
  <c r="J168" i="19"/>
  <c r="J189" i="19"/>
  <c r="J118" i="20"/>
  <c r="BK130" i="20"/>
  <c r="BK107" i="20"/>
  <c r="BK105" i="22"/>
  <c r="BK115" i="25"/>
  <c r="J112" i="28"/>
  <c r="J126" i="30"/>
  <c r="J123" i="32"/>
  <c r="BK100" i="34"/>
  <c r="BK109" i="37"/>
  <c r="BK121" i="39"/>
  <c r="J134" i="40"/>
  <c r="BK104" i="42"/>
  <c r="BK111" i="47"/>
  <c r="BK140" i="49"/>
  <c r="J139" i="50"/>
  <c r="J110" i="51"/>
  <c r="BK108" i="52"/>
  <c r="J113" i="52"/>
  <c r="J288" i="53"/>
  <c r="BK157" i="55"/>
  <c r="BK112" i="55"/>
  <c r="BK172" i="55"/>
  <c r="J112" i="56"/>
  <c r="BK126" i="56"/>
  <c r="J137" i="58"/>
  <c r="BK134" i="58"/>
  <c r="BK1357" i="2"/>
  <c r="J565" i="2"/>
  <c r="BK1095" i="2"/>
  <c r="BK1503" i="2"/>
  <c r="J787" i="2"/>
  <c r="BK1105" i="2"/>
  <c r="J123" i="2"/>
  <c r="BK520" i="2"/>
  <c r="BK718" i="2"/>
  <c r="J1317" i="2"/>
  <c r="BK204" i="2"/>
  <c r="BK1141" i="2"/>
  <c r="BK166" i="3"/>
  <c r="J232" i="3"/>
  <c r="BK162" i="3"/>
  <c r="J273" i="3"/>
  <c r="BK350" i="3"/>
  <c r="J238" i="4"/>
  <c r="J139" i="4"/>
  <c r="J206" i="4"/>
  <c r="J440" i="4"/>
  <c r="BK243" i="4"/>
  <c r="J121" i="4"/>
  <c r="BK130" i="10"/>
  <c r="BK147" i="12"/>
  <c r="J144" i="12"/>
  <c r="BK132" i="13"/>
  <c r="J115" i="14"/>
  <c r="BK133" i="15"/>
  <c r="BK149" i="16"/>
  <c r="J106" i="17"/>
  <c r="J95" i="18"/>
  <c r="BK269" i="18"/>
  <c r="J293" i="18"/>
  <c r="BK212" i="18"/>
  <c r="BK150" i="18"/>
  <c r="J167" i="19"/>
  <c r="J205" i="19"/>
  <c r="J120" i="19"/>
  <c r="J162" i="19"/>
  <c r="J110" i="19"/>
  <c r="J175" i="20"/>
  <c r="BK186" i="20"/>
  <c r="J118" i="24"/>
  <c r="BK126" i="27"/>
  <c r="BK118" i="30"/>
  <c r="J100" i="32"/>
  <c r="J107" i="34"/>
  <c r="J126" i="36"/>
  <c r="BK121" i="38"/>
  <c r="BK127" i="40"/>
  <c r="BK100" i="42"/>
  <c r="J113" i="44"/>
  <c r="J124" i="45"/>
  <c r="BK127" i="47"/>
  <c r="BK130" i="49"/>
  <c r="J116" i="50"/>
  <c r="BK218" i="52"/>
  <c r="BK288" i="53"/>
  <c r="BK160" i="55"/>
  <c r="J158" i="55"/>
  <c r="BK149" i="55"/>
  <c r="J86" i="56"/>
  <c r="J101" i="58"/>
  <c r="J125" i="58"/>
  <c r="J1410" i="2"/>
  <c r="J226" i="2"/>
  <c r="J658" i="2"/>
  <c r="J1292" i="2"/>
  <c r="J1414" i="2"/>
  <c r="J318" i="2"/>
  <c r="J1354" i="2"/>
  <c r="J181" i="2"/>
  <c r="BK1485" i="2"/>
  <c r="BK660" i="2"/>
  <c r="BK879" i="2"/>
  <c r="J369" i="3"/>
  <c r="J187" i="3"/>
  <c r="BK281" i="3"/>
  <c r="J282" i="3"/>
  <c r="J108" i="3"/>
  <c r="BK240" i="4"/>
  <c r="J444" i="4"/>
  <c r="BK175" i="4"/>
  <c r="J307" i="4"/>
  <c r="J125" i="5"/>
  <c r="J178" i="5"/>
  <c r="BK148" i="6"/>
  <c r="J99" i="7"/>
  <c r="BK123" i="8"/>
  <c r="BK105" i="10"/>
  <c r="J167" i="12"/>
  <c r="J161" i="12"/>
  <c r="BK111" i="13"/>
  <c r="BK136" i="14"/>
  <c r="BK101" i="15"/>
  <c r="J112" i="16"/>
  <c r="J123" i="17"/>
  <c r="J310" i="18"/>
  <c r="J321" i="18"/>
  <c r="BK173" i="18"/>
  <c r="J306" i="18"/>
  <c r="BK258" i="18"/>
  <c r="J285" i="18"/>
  <c r="BK190" i="18"/>
  <c r="BK252" i="19"/>
  <c r="J159" i="19"/>
  <c r="BK245" i="19"/>
  <c r="BK116" i="19"/>
  <c r="J157" i="20"/>
  <c r="J115" i="20"/>
  <c r="BK115" i="22"/>
  <c r="BK107" i="24"/>
  <c r="BK112" i="26"/>
  <c r="BK123" i="28"/>
  <c r="BK100" i="31"/>
  <c r="J116" i="34"/>
  <c r="J122" i="36"/>
  <c r="BK125" i="38"/>
  <c r="J100" i="39"/>
  <c r="J105" i="41"/>
  <c r="J100" i="43"/>
  <c r="J113" i="45"/>
  <c r="J109" i="46"/>
  <c r="J100" i="48"/>
  <c r="BK111" i="49"/>
  <c r="J120" i="50"/>
  <c r="J110" i="50"/>
  <c r="BK135" i="51"/>
  <c r="BK106" i="52"/>
  <c r="BK207" i="52"/>
  <c r="J296" i="53"/>
  <c r="BK111" i="54"/>
  <c r="J98" i="55"/>
  <c r="J153" i="55"/>
  <c r="BK96" i="56"/>
  <c r="J130" i="56"/>
  <c r="J103" i="58"/>
  <c r="J115" i="58"/>
  <c r="BK90" i="60"/>
  <c r="J905" i="2"/>
  <c r="BK792" i="2"/>
  <c r="J1299" i="2"/>
  <c r="J1351" i="2"/>
  <c r="BK1425" i="2"/>
  <c r="BK159" i="2"/>
  <c r="BK841" i="2"/>
  <c r="J1632" i="2"/>
  <c r="J681" i="2"/>
  <c r="J237" i="3"/>
  <c r="BK205" i="3"/>
  <c r="J414" i="3"/>
  <c r="J302" i="3"/>
  <c r="J479" i="4"/>
  <c r="BK125" i="4"/>
  <c r="BK440" i="4"/>
  <c r="J429" i="4"/>
  <c r="J115" i="5"/>
  <c r="BK241" i="5"/>
  <c r="J119" i="6"/>
  <c r="BK157" i="7"/>
  <c r="J157" i="7"/>
  <c r="J113" i="7"/>
  <c r="J126" i="8"/>
  <c r="BK145" i="8"/>
  <c r="J118" i="8"/>
  <c r="BK120" i="8"/>
  <c r="BK135" i="8"/>
  <c r="BK144" i="9"/>
  <c r="J228" i="10"/>
  <c r="J205" i="10"/>
  <c r="J123" i="10"/>
  <c r="J106" i="14"/>
  <c r="J99" i="16"/>
  <c r="BK343" i="18"/>
  <c r="J102" i="18"/>
  <c r="J243" i="18"/>
  <c r="J253" i="18"/>
  <c r="J110" i="18"/>
  <c r="BK327" i="18"/>
  <c r="BK292" i="18"/>
  <c r="BK123" i="18"/>
  <c r="J148" i="19"/>
  <c r="BK202" i="19"/>
  <c r="BK177" i="19"/>
  <c r="BK173" i="19"/>
  <c r="J191" i="19"/>
  <c r="BK126" i="20"/>
  <c r="J171" i="20"/>
  <c r="BK106" i="21"/>
  <c r="J126" i="23"/>
  <c r="BK99" i="25"/>
  <c r="BK123" i="27"/>
  <c r="J116" i="30"/>
  <c r="BK105" i="32"/>
  <c r="J100" i="36"/>
  <c r="J134" i="38"/>
  <c r="J113" i="41"/>
  <c r="J103" i="42"/>
  <c r="J104" i="44"/>
  <c r="J131" i="45"/>
  <c r="J140" i="47"/>
  <c r="BK131" i="49"/>
  <c r="J101" i="50"/>
  <c r="J118" i="50"/>
  <c r="BK215" i="52"/>
  <c r="J103" i="52"/>
  <c r="BK234" i="53"/>
  <c r="J147" i="54"/>
  <c r="BK167" i="55"/>
  <c r="BK127" i="55"/>
  <c r="J95" i="55"/>
  <c r="J106" i="55"/>
  <c r="BK130" i="56"/>
  <c r="J133" i="58"/>
  <c r="J118" i="58"/>
  <c r="BK90" i="59"/>
  <c r="J1235" i="2"/>
  <c r="BK366" i="2"/>
  <c r="BK309" i="2"/>
  <c r="BK1146" i="2"/>
  <c r="J1387" i="2"/>
  <c r="BK200" i="2"/>
  <c r="BK468" i="2"/>
  <c r="J1419" i="2"/>
  <c r="BK252" i="5"/>
  <c r="BK110" i="5"/>
  <c r="BK138" i="6"/>
  <c r="BK102" i="7"/>
  <c r="BK118" i="8"/>
  <c r="J163" i="9"/>
  <c r="J107" i="10"/>
  <c r="BK127" i="10"/>
  <c r="J106" i="11"/>
  <c r="BK117" i="12"/>
  <c r="J108" i="13"/>
  <c r="J99" i="13"/>
  <c r="BK106" i="14"/>
  <c r="J113" i="16"/>
  <c r="BK136" i="17"/>
  <c r="BK127" i="18"/>
  <c r="J226" i="18"/>
  <c r="BK151" i="18"/>
  <c r="J295" i="18"/>
  <c r="J341" i="18"/>
  <c r="J176" i="18"/>
  <c r="BK249" i="19"/>
  <c r="J172" i="19"/>
  <c r="BK111" i="19"/>
  <c r="BK141" i="19"/>
  <c r="BK102" i="19"/>
  <c r="J141" i="20"/>
  <c r="BK95" i="20"/>
  <c r="J113" i="20"/>
  <c r="J126" i="22"/>
  <c r="J116" i="25"/>
  <c r="BK106" i="28"/>
  <c r="BK112" i="30"/>
  <c r="J115" i="32"/>
  <c r="BK107" i="34"/>
  <c r="J125" i="37"/>
  <c r="J127" i="39"/>
  <c r="BK101" i="40"/>
  <c r="J111" i="42"/>
  <c r="BK115" i="44"/>
  <c r="BK133" i="46"/>
  <c r="J130" i="48"/>
  <c r="J101" i="49"/>
  <c r="BK113" i="50"/>
  <c r="J133" i="52"/>
  <c r="J147" i="52"/>
  <c r="J237" i="53"/>
  <c r="J126" i="54"/>
  <c r="BK1328" i="2"/>
  <c r="BK1484" i="2"/>
  <c r="J452" i="2"/>
  <c r="J639" i="2"/>
  <c r="J1315" i="2"/>
  <c r="BK196" i="2"/>
  <c r="BK649" i="2"/>
  <c r="J1409" i="2"/>
  <c r="J516" i="2"/>
  <c r="J901" i="2"/>
  <c r="J372" i="3"/>
  <c r="J326" i="3"/>
  <c r="BK264" i="3"/>
  <c r="J370" i="3"/>
  <c r="BK269" i="3"/>
  <c r="J274" i="3"/>
  <c r="J278" i="4"/>
  <c r="J491" i="4"/>
  <c r="J297" i="4"/>
  <c r="J173" i="5"/>
  <c r="J159" i="6"/>
  <c r="BK105" i="7"/>
  <c r="J100" i="8"/>
  <c r="BK146" i="9"/>
  <c r="J201" i="10"/>
  <c r="BK203" i="10"/>
  <c r="BK117" i="11"/>
  <c r="J115" i="12"/>
  <c r="BK118" i="13"/>
  <c r="J107" i="13"/>
  <c r="BK131" i="14"/>
  <c r="BK148" i="16"/>
  <c r="J98" i="17"/>
  <c r="BK347" i="18"/>
  <c r="BK333" i="18"/>
  <c r="BK271" i="18"/>
  <c r="BK170" i="18"/>
  <c r="BK208" i="18"/>
  <c r="BK222" i="18"/>
  <c r="BK151" i="19"/>
  <c r="BK180" i="19"/>
  <c r="BK103" i="19"/>
  <c r="BK121" i="20"/>
  <c r="BK99" i="20"/>
  <c r="J167" i="20"/>
  <c r="BK128" i="21"/>
  <c r="J105" i="23"/>
  <c r="BK105" i="25"/>
  <c r="BK107" i="27"/>
  <c r="J126" i="29"/>
  <c r="J107" i="31"/>
  <c r="BK117" i="36"/>
  <c r="J130" i="38"/>
  <c r="J126" i="40"/>
  <c r="J108" i="42"/>
  <c r="BK136" i="44"/>
  <c r="BK131" i="45"/>
  <c r="BK130" i="47"/>
  <c r="BK103" i="48"/>
  <c r="BK129" i="50"/>
  <c r="BK111" i="50"/>
  <c r="J134" i="51"/>
  <c r="J96" i="52"/>
  <c r="J161" i="52"/>
  <c r="J270" i="53"/>
  <c r="J143" i="55"/>
  <c r="J148" i="55"/>
  <c r="J114" i="55"/>
  <c r="J155" i="55"/>
  <c r="J93" i="56"/>
  <c r="J123" i="58"/>
  <c r="BK93" i="59"/>
  <c r="BK1413" i="2"/>
  <c r="BK173" i="2"/>
  <c r="J809" i="2"/>
  <c r="J1563" i="2"/>
  <c r="BK681" i="2"/>
  <c r="BK1292" i="2"/>
  <c r="J1462" i="2"/>
  <c r="BK695" i="2"/>
  <c r="J748" i="2"/>
  <c r="J1375" i="2"/>
  <c r="J291" i="2"/>
  <c r="BK670" i="2"/>
  <c r="BK157" i="3"/>
  <c r="BK103" i="3"/>
  <c r="J340" i="3"/>
  <c r="BK381" i="3"/>
  <c r="J358" i="3"/>
  <c r="J281" i="3"/>
  <c r="BK223" i="3"/>
  <c r="BK133" i="3"/>
  <c r="BK323" i="3"/>
  <c r="BK438" i="3"/>
  <c r="BK334" i="4"/>
  <c r="BK136" i="4"/>
  <c r="J260" i="4"/>
  <c r="BK317" i="4"/>
  <c r="BK195" i="5"/>
  <c r="BK173" i="5"/>
  <c r="BK155" i="6"/>
  <c r="J142" i="8"/>
  <c r="BK128" i="9"/>
  <c r="BK197" i="10"/>
  <c r="J133" i="10"/>
  <c r="J156" i="11"/>
  <c r="BK99" i="12"/>
  <c r="J107" i="12"/>
  <c r="BK322" i="18"/>
  <c r="BK167" i="18"/>
  <c r="J178" i="19"/>
  <c r="BK147" i="19"/>
  <c r="J228" i="19"/>
  <c r="J181" i="19"/>
  <c r="BK114" i="20"/>
  <c r="J185" i="20"/>
  <c r="J122" i="20"/>
  <c r="J121" i="23"/>
  <c r="BK102" i="25"/>
  <c r="J105" i="28"/>
  <c r="J123" i="30"/>
  <c r="BK102" i="33"/>
  <c r="J136" i="37"/>
  <c r="BK108" i="39"/>
  <c r="BK111" i="40"/>
  <c r="BK115" i="42"/>
  <c r="J100" i="44"/>
  <c r="BK117" i="46"/>
  <c r="J111" i="48"/>
  <c r="BK113" i="49"/>
  <c r="J112" i="50"/>
  <c r="BK90" i="50"/>
  <c r="BK90" i="51"/>
  <c r="J177" i="52"/>
  <c r="J207" i="52"/>
  <c r="BK293" i="53"/>
  <c r="J149" i="54"/>
  <c r="J108" i="55"/>
  <c r="BK169" i="55"/>
  <c r="J149" i="55"/>
  <c r="J99" i="55"/>
  <c r="BK93" i="56"/>
  <c r="BK132" i="58"/>
  <c r="J110" i="58"/>
  <c r="BK97" i="59"/>
  <c r="J1118" i="2"/>
  <c r="BK1408" i="2"/>
  <c r="BK123" i="2"/>
  <c r="BK565" i="2"/>
  <c r="BK1110" i="2"/>
  <c r="J1421" i="2"/>
  <c r="J471" i="2"/>
  <c r="BK639" i="2"/>
  <c r="BK341" i="2"/>
  <c r="BK1301" i="2"/>
  <c r="J367" i="3"/>
  <c r="BK356" i="3"/>
  <c r="J243" i="5"/>
  <c r="BK153" i="6"/>
  <c r="J147" i="7"/>
  <c r="J113" i="9"/>
  <c r="J117" i="9"/>
  <c r="BK201" i="10"/>
  <c r="J221" i="10"/>
  <c r="BK169" i="11"/>
  <c r="J121" i="12"/>
  <c r="F38" i="12"/>
  <c r="J119" i="19"/>
  <c r="BK209" i="19"/>
  <c r="BK225" i="19"/>
  <c r="BK148" i="20"/>
  <c r="BK129" i="20"/>
  <c r="J182" i="20"/>
  <c r="BK121" i="22"/>
  <c r="BK118" i="24"/>
  <c r="J123" i="27"/>
  <c r="BK105" i="29"/>
  <c r="J106" i="32"/>
  <c r="BK101" i="35"/>
  <c r="J131" i="37"/>
  <c r="BK134" i="38"/>
  <c r="J129" i="40"/>
  <c r="J129" i="42"/>
  <c r="J127" i="44"/>
  <c r="BK140" i="46"/>
  <c r="BK103" i="47"/>
  <c r="J108" i="49"/>
  <c r="BK120" i="50"/>
  <c r="BK103" i="50"/>
  <c r="J132" i="51"/>
  <c r="J169" i="52"/>
  <c r="BK119" i="52"/>
  <c r="BK255" i="53"/>
  <c r="J95" i="54"/>
  <c r="J156" i="55"/>
  <c r="J157" i="55"/>
  <c r="J136" i="55"/>
  <c r="BK124" i="56"/>
  <c r="J84" i="57"/>
  <c r="J96" i="58"/>
  <c r="BK89" i="60"/>
  <c r="J877" i="2"/>
  <c r="J603" i="2"/>
  <c r="J718" i="2"/>
  <c r="BK1414" i="2"/>
  <c r="J184" i="2"/>
  <c r="BK738" i="2"/>
  <c r="BK1276" i="2"/>
  <c r="J1569" i="2"/>
  <c r="BK1285" i="2"/>
  <c r="J200" i="2"/>
  <c r="J584" i="2"/>
  <c r="BK277" i="3"/>
  <c r="J192" i="3"/>
  <c r="BK173" i="3"/>
  <c r="BK365" i="4"/>
  <c r="BK430" i="4"/>
  <c r="J475" i="4"/>
  <c r="J384" i="4"/>
  <c r="J218" i="4"/>
  <c r="BK417" i="4"/>
  <c r="BK150" i="5"/>
  <c r="J148" i="6"/>
  <c r="J172" i="8"/>
  <c r="BK141" i="9"/>
  <c r="BK221" i="10"/>
  <c r="BK161" i="10"/>
  <c r="BK101" i="11"/>
  <c r="BK107" i="14"/>
  <c r="BK106" i="15"/>
  <c r="BK146" i="16"/>
  <c r="J304" i="18"/>
  <c r="BK246" i="18"/>
  <c r="J98" i="18"/>
  <c r="BK206" i="18"/>
  <c r="BK351" i="18"/>
  <c r="J326" i="18"/>
  <c r="J217" i="19"/>
  <c r="BK179" i="19"/>
  <c r="J149" i="19"/>
  <c r="BK149" i="19"/>
  <c r="BK170" i="19"/>
  <c r="BK108" i="20"/>
  <c r="J179" i="20"/>
  <c r="J123" i="22"/>
  <c r="J107" i="24"/>
  <c r="BK116" i="27"/>
  <c r="J116" i="29"/>
  <c r="J112" i="32"/>
  <c r="J100" i="35"/>
  <c r="J125" i="38"/>
  <c r="J112" i="39"/>
  <c r="BK103" i="42"/>
  <c r="BK104" i="44"/>
  <c r="BK108" i="46"/>
  <c r="BK130" i="48"/>
  <c r="BK130" i="50"/>
  <c r="BK99" i="50"/>
  <c r="BK128" i="51"/>
  <c r="J122" i="51"/>
  <c r="J106" i="52"/>
  <c r="J202" i="53"/>
  <c r="J86" i="54"/>
  <c r="J94" i="55"/>
  <c r="BK89" i="55"/>
  <c r="J132" i="56"/>
  <c r="J135" i="56"/>
  <c r="BK100" i="58"/>
  <c r="BK1632" i="2"/>
  <c r="BK732" i="2"/>
  <c r="BK1227" i="2"/>
  <c r="BK1486" i="2"/>
  <c r="J168" i="2"/>
  <c r="BK1437" i="2"/>
  <c r="BK157" i="2"/>
  <c r="J746" i="2"/>
  <c r="BK1436" i="2"/>
  <c r="J758" i="2"/>
  <c r="BK401" i="3"/>
  <c r="J360" i="3"/>
  <c r="BK407" i="3"/>
  <c r="BK168" i="3"/>
  <c r="J381" i="3"/>
  <c r="J266" i="3"/>
  <c r="BK179" i="4"/>
  <c r="J460" i="4"/>
  <c r="BK479" i="4"/>
  <c r="BK521" i="4"/>
  <c r="J358" i="4"/>
  <c r="BK145" i="4"/>
  <c r="J109" i="10"/>
  <c r="BK137" i="11"/>
  <c r="BK177" i="12"/>
  <c r="BK137" i="13"/>
  <c r="J107" i="14"/>
  <c r="BK110" i="15"/>
  <c r="J121" i="16"/>
  <c r="J208" i="18"/>
  <c r="BK215" i="18"/>
  <c r="BK111" i="18"/>
  <c r="J318" i="18"/>
  <c r="BK94" i="18"/>
  <c r="J237" i="19"/>
  <c r="BK117" i="19"/>
  <c r="J204" i="19"/>
  <c r="BK134" i="19"/>
  <c r="J126" i="20"/>
  <c r="J100" i="22"/>
  <c r="J106" i="27"/>
  <c r="BK107" i="28"/>
  <c r="BK116" i="31"/>
  <c r="J118" i="33"/>
  <c r="BK117" i="35"/>
  <c r="J112" i="37"/>
  <c r="J100" i="40"/>
  <c r="J117" i="41"/>
  <c r="J123" i="43"/>
  <c r="BK124" i="45"/>
  <c r="J100" i="47"/>
  <c r="BK113" i="48"/>
  <c r="J125" i="50"/>
  <c r="J191" i="52"/>
  <c r="J123" i="53"/>
  <c r="BK108" i="54"/>
  <c r="BK114" i="55"/>
  <c r="BK170" i="55"/>
  <c r="BK88" i="55"/>
  <c r="BK92" i="56"/>
  <c r="J108" i="56"/>
  <c r="BK109" i="58"/>
  <c r="BK106" i="58"/>
  <c r="J1276" i="2"/>
  <c r="BK1428" i="2"/>
  <c r="BK1489" i="2"/>
  <c r="J740" i="2"/>
  <c r="J1038" i="2"/>
  <c r="J1453" i="2"/>
  <c r="J863" i="2"/>
  <c r="J970" i="2"/>
  <c r="BK1465" i="2"/>
  <c r="BK730" i="2"/>
  <c r="J1344" i="2"/>
  <c r="J467" i="2"/>
  <c r="BK310" i="3"/>
  <c r="J277" i="3"/>
  <c r="BK151" i="3"/>
  <c r="J243" i="3"/>
  <c r="J364" i="4"/>
  <c r="BK438" i="4"/>
  <c r="J341" i="4"/>
  <c r="J133" i="4"/>
  <c r="J134" i="4"/>
  <c r="J252" i="5"/>
  <c r="J253" i="5"/>
  <c r="J108" i="6"/>
  <c r="J115" i="7"/>
  <c r="BK105" i="8"/>
  <c r="J207" i="10"/>
  <c r="J146" i="10"/>
  <c r="BK117" i="13"/>
  <c r="J133" i="14"/>
  <c r="J109" i="14"/>
  <c r="BK130" i="16"/>
  <c r="J120" i="17"/>
  <c r="J140" i="18"/>
  <c r="J234" i="18"/>
  <c r="J237" i="18"/>
  <c r="J230" i="18"/>
  <c r="BK189" i="18"/>
  <c r="J269" i="18"/>
  <c r="J103" i="18"/>
  <c r="BK172" i="19"/>
  <c r="J226" i="19"/>
  <c r="J221" i="19"/>
  <c r="J195" i="19"/>
  <c r="J107" i="20"/>
  <c r="BK187" i="20"/>
  <c r="BK194" i="20"/>
  <c r="BK122" i="21"/>
  <c r="BK123" i="23"/>
  <c r="J105" i="25"/>
  <c r="BK118" i="27"/>
  <c r="J118" i="30"/>
  <c r="J118" i="32"/>
  <c r="BK105" i="34"/>
  <c r="BK112" i="37"/>
  <c r="BK127" i="38"/>
  <c r="J108" i="40"/>
  <c r="J113" i="42"/>
  <c r="BK127" i="44"/>
  <c r="J111" i="45"/>
  <c r="BK140" i="47"/>
  <c r="J138" i="49"/>
  <c r="J119" i="50"/>
  <c r="BK107" i="50"/>
  <c r="BK132" i="51"/>
  <c r="BK109" i="51"/>
  <c r="J110" i="52"/>
  <c r="J179" i="52"/>
  <c r="J118" i="54"/>
  <c r="J97" i="55"/>
  <c r="J163" i="55"/>
  <c r="BK142" i="55"/>
  <c r="J116" i="56"/>
  <c r="J97" i="56"/>
  <c r="BK129" i="58"/>
  <c r="BK141" i="58"/>
  <c r="J1597" i="2"/>
  <c r="BK463" i="2"/>
  <c r="BK1019" i="2"/>
  <c r="BK1487" i="2"/>
  <c r="J1405" i="2"/>
  <c r="BK455" i="2"/>
  <c r="BK1176" i="2"/>
  <c r="BK1100" i="2"/>
  <c r="J463" i="2"/>
  <c r="J1176" i="2"/>
  <c r="BK193" i="2"/>
  <c r="BK163" i="3"/>
  <c r="BK389" i="3"/>
  <c r="BK355" i="3"/>
  <c r="J373" i="3"/>
  <c r="J270" i="3"/>
  <c r="J461" i="4"/>
  <c r="BK374" i="4"/>
  <c r="BK149" i="4"/>
  <c r="J241" i="5"/>
  <c r="BK182" i="5"/>
  <c r="BK156" i="6"/>
  <c r="J141" i="7"/>
  <c r="BK150" i="7"/>
  <c r="J171" i="8"/>
  <c r="J165" i="8"/>
  <c r="J135" i="8"/>
  <c r="BK172" i="8"/>
  <c r="J145" i="8"/>
  <c r="BK174" i="8"/>
  <c r="BK121" i="9"/>
  <c r="J128" i="9"/>
  <c r="BK101" i="10"/>
  <c r="BK171" i="10"/>
  <c r="BK112" i="11"/>
  <c r="BK171" i="12"/>
  <c r="BK104" i="14"/>
  <c r="J112" i="15"/>
  <c r="J143" i="16"/>
  <c r="J301" i="18"/>
  <c r="J277" i="18"/>
  <c r="BK287" i="18"/>
  <c r="BK238" i="18"/>
  <c r="J209" i="18"/>
  <c r="BK194" i="18"/>
  <c r="BK207" i="18"/>
  <c r="BK181" i="18"/>
  <c r="J212" i="19"/>
  <c r="BK242" i="19"/>
  <c r="BK243" i="19"/>
  <c r="J236" i="19"/>
  <c r="BK158" i="19"/>
  <c r="BK133" i="20"/>
  <c r="BK137" i="20"/>
  <c r="J135" i="20"/>
  <c r="J99" i="22"/>
  <c r="J107" i="25"/>
  <c r="J112" i="27"/>
  <c r="BK116" i="30"/>
  <c r="J102" i="32"/>
  <c r="BK119" i="35"/>
  <c r="BK128" i="37"/>
  <c r="BK123" i="40"/>
  <c r="J120" i="42"/>
  <c r="BK138" i="44"/>
  <c r="BK136" i="46"/>
  <c r="J124" i="48"/>
  <c r="BK117" i="50"/>
  <c r="J102" i="50"/>
  <c r="J199" i="52"/>
  <c r="J159" i="52"/>
  <c r="J162" i="53"/>
  <c r="J102" i="54"/>
  <c r="J170" i="55"/>
  <c r="BK136" i="55"/>
  <c r="J102" i="56"/>
  <c r="BK121" i="56"/>
  <c r="J95" i="58"/>
  <c r="J143" i="58"/>
  <c r="J84" i="60"/>
  <c r="BK918" i="2"/>
  <c r="BK674" i="2"/>
  <c r="BK1317" i="2"/>
  <c r="J1471" i="2"/>
  <c r="J789" i="2"/>
  <c r="BK848" i="2"/>
  <c r="J1505" i="2"/>
  <c r="J844" i="2"/>
  <c r="BK1348" i="2"/>
  <c r="BK360" i="2"/>
  <c r="BK189" i="3"/>
  <c r="BK266" i="3"/>
  <c r="BK292" i="3"/>
  <c r="BK156" i="3"/>
  <c r="BK312" i="3"/>
  <c r="BK400" i="4"/>
  <c r="J109" i="4"/>
  <c r="BK246" i="4"/>
  <c r="J103" i="5"/>
  <c r="J185" i="5"/>
  <c r="J137" i="6"/>
  <c r="J151" i="7"/>
  <c r="J121" i="9"/>
  <c r="J120" i="9"/>
  <c r="BK133" i="10"/>
  <c r="BK143" i="11"/>
  <c r="J109" i="11"/>
  <c r="J157" i="12"/>
  <c r="BK124" i="13"/>
  <c r="J154" i="14"/>
  <c r="BK115" i="14"/>
  <c r="BK119" i="15"/>
  <c r="BK113" i="17"/>
  <c r="BK166" i="18"/>
  <c r="J203" i="18"/>
  <c r="J262" i="18"/>
  <c r="BK321" i="18"/>
  <c r="BK265" i="18"/>
  <c r="J239" i="18"/>
  <c r="J216" i="19"/>
  <c r="BK148" i="19"/>
  <c r="BK207" i="19"/>
  <c r="J100" i="19"/>
  <c r="J192" i="20"/>
  <c r="J120" i="20"/>
  <c r="J139" i="20"/>
  <c r="J98" i="20"/>
  <c r="BK123" i="22"/>
  <c r="J102" i="24"/>
  <c r="J105" i="27"/>
  <c r="J107" i="30"/>
  <c r="J126" i="32"/>
  <c r="J112" i="34"/>
  <c r="J128" i="37"/>
  <c r="BK114" i="38"/>
  <c r="J111" i="40"/>
  <c r="BK109" i="42"/>
  <c r="J103" i="43"/>
  <c r="BK113" i="45"/>
  <c r="J127" i="47"/>
  <c r="J140" i="49"/>
  <c r="BK91" i="50"/>
  <c r="BK110" i="50"/>
  <c r="BK101" i="52"/>
  <c r="BK171" i="52"/>
  <c r="BK123" i="53"/>
  <c r="BK86" i="54"/>
  <c r="BK156" i="55"/>
  <c r="J87" i="55"/>
  <c r="J105" i="56"/>
  <c r="J115" i="56"/>
  <c r="BK130" i="58"/>
  <c r="J147" i="58"/>
  <c r="J91" i="59"/>
  <c r="BK1419" i="2"/>
  <c r="J624" i="2"/>
  <c r="J929" i="2"/>
  <c r="BK1501" i="2"/>
  <c r="BK764" i="2"/>
  <c r="BK795" i="2"/>
  <c r="BK1476" i="2"/>
  <c r="J1424" i="2"/>
  <c r="J1567" i="2"/>
  <c r="J1288" i="2"/>
  <c r="BK1288" i="2"/>
  <c r="BK315" i="2"/>
  <c r="J428" i="3"/>
  <c r="BK318" i="3"/>
  <c r="BK321" i="3"/>
  <c r="BK437" i="3"/>
  <c r="J392" i="4"/>
  <c r="BK461" i="4"/>
  <c r="J451" i="4"/>
  <c r="J196" i="5"/>
  <c r="BK243" i="5"/>
  <c r="J121" i="6"/>
  <c r="J119" i="7"/>
  <c r="BK113" i="8"/>
  <c r="J123" i="9"/>
  <c r="BK116" i="10"/>
  <c r="BK187" i="10"/>
  <c r="J108" i="11"/>
  <c r="BK157" i="12"/>
  <c r="J139" i="13"/>
  <c r="BK120" i="14"/>
  <c r="J118" i="14"/>
  <c r="BK103" i="16"/>
  <c r="J112" i="17"/>
  <c r="J111" i="18"/>
  <c r="J305" i="18"/>
  <c r="BK235" i="18"/>
  <c r="BK325" i="18"/>
  <c r="BK336" i="18"/>
  <c r="BK202" i="18"/>
  <c r="J131" i="19"/>
  <c r="BK241" i="19"/>
  <c r="BK236" i="19"/>
  <c r="BK166" i="19"/>
  <c r="J224" i="19"/>
  <c r="BK167" i="20"/>
  <c r="BK169" i="20"/>
  <c r="J140" i="20"/>
  <c r="BK132" i="21"/>
  <c r="BK106" i="22"/>
  <c r="BK118" i="25"/>
  <c r="BK115" i="26"/>
  <c r="BK123" i="29"/>
  <c r="J121" i="32"/>
  <c r="J100" i="34"/>
  <c r="J105" i="37"/>
  <c r="BK110" i="38"/>
  <c r="BK103" i="40"/>
  <c r="BK106" i="41"/>
  <c r="BK119" i="43"/>
  <c r="J103" i="44"/>
  <c r="BK115" i="46"/>
  <c r="BK131" i="48"/>
  <c r="BK104" i="50"/>
  <c r="BK106" i="50"/>
  <c r="J113" i="50"/>
  <c r="BK165" i="52"/>
  <c r="BK154" i="52"/>
  <c r="BK191" i="53"/>
  <c r="BK143" i="54"/>
  <c r="BK105" i="55"/>
  <c r="BK138" i="55"/>
  <c r="J119" i="56"/>
  <c r="J109" i="56"/>
  <c r="BK91" i="58"/>
  <c r="BK135" i="58"/>
  <c r="J1599" i="2"/>
  <c r="J1137" i="2"/>
  <c r="BK547" i="2"/>
  <c r="BK901" i="2"/>
  <c r="BK1482" i="2"/>
  <c r="J541" i="2"/>
  <c r="J451" i="2"/>
  <c r="BK995" i="2"/>
  <c r="BK916" i="2"/>
  <c r="J1432" i="2"/>
  <c r="J738" i="2"/>
  <c r="J1303" i="2"/>
  <c r="BK323" i="2"/>
  <c r="J397" i="3"/>
  <c r="BK366" i="3"/>
  <c r="BK270" i="3"/>
  <c r="BK418" i="3"/>
  <c r="J356" i="3"/>
  <c r="J296" i="3"/>
  <c r="BK262" i="3"/>
  <c r="J165" i="3"/>
  <c r="J125" i="3"/>
  <c r="BK343" i="3"/>
  <c r="J166" i="3"/>
  <c r="BK121" i="3"/>
  <c r="J313" i="4"/>
  <c r="BK463" i="4"/>
  <c r="BK138" i="4"/>
  <c r="BK303" i="4"/>
  <c r="BK118" i="5"/>
  <c r="J164" i="5"/>
  <c r="BK115" i="6"/>
  <c r="J133" i="7"/>
  <c r="J110" i="8"/>
  <c r="J143" i="9"/>
  <c r="BK109" i="10"/>
  <c r="BK104" i="10"/>
  <c r="J147" i="11"/>
  <c r="BK109" i="12"/>
  <c r="J129" i="13"/>
  <c r="BK114" i="13"/>
  <c r="BK113" i="14"/>
  <c r="BK103" i="15"/>
  <c r="BK104" i="16"/>
  <c r="J107" i="17"/>
  <c r="BK344" i="18"/>
  <c r="J324" i="18"/>
  <c r="BK337" i="18"/>
  <c r="J300" i="18"/>
  <c r="J320" i="18"/>
  <c r="J188" i="18"/>
  <c r="BK195" i="19"/>
  <c r="BK104" i="19"/>
  <c r="BK210" i="19"/>
  <c r="J163" i="19"/>
  <c r="BK138" i="19"/>
  <c r="J161" i="20"/>
  <c r="BK140" i="20"/>
  <c r="J186" i="20"/>
  <c r="J106" i="22"/>
  <c r="J102" i="25"/>
  <c r="J107" i="27"/>
  <c r="BK107" i="29"/>
  <c r="J100" i="31"/>
  <c r="BK100" i="33"/>
  <c r="BK124" i="35"/>
  <c r="J129" i="37"/>
  <c r="BK102" i="39"/>
  <c r="J109" i="40"/>
  <c r="J115" i="42"/>
  <c r="J104" i="43"/>
  <c r="J105" i="45"/>
  <c r="BK124" i="47"/>
  <c r="BK133" i="48"/>
  <c r="J135" i="50"/>
  <c r="J97" i="50"/>
  <c r="BK110" i="51"/>
  <c r="BK145" i="52"/>
  <c r="BK139" i="52"/>
  <c r="BK202" i="53"/>
  <c r="J111" i="54"/>
  <c r="J182" i="55"/>
  <c r="J104" i="55"/>
  <c r="J172" i="55"/>
  <c r="J99" i="56"/>
  <c r="J88" i="56"/>
  <c r="J100" i="58"/>
  <c r="J90" i="58"/>
  <c r="BK1372" i="2"/>
  <c r="BK176" i="2"/>
  <c r="BK767" i="2"/>
  <c r="J1408" i="2"/>
  <c r="J323" i="2"/>
  <c r="BK970" i="2"/>
  <c r="BK1303" i="2"/>
  <c r="J1143" i="2"/>
  <c r="J129" i="2"/>
  <c r="J1110" i="2"/>
  <c r="J1501" i="2"/>
  <c r="BK688" i="2"/>
  <c r="J375" i="3"/>
  <c r="BK279" i="3"/>
  <c r="BK194" i="3"/>
  <c r="J407" i="3"/>
  <c r="BK330" i="3"/>
  <c r="BK180" i="3"/>
  <c r="J289" i="3"/>
  <c r="J371" i="3"/>
  <c r="J264" i="3"/>
  <c r="J157" i="3"/>
  <c r="BK320" i="3"/>
  <c r="BK226" i="3"/>
  <c r="J153" i="3"/>
  <c r="J373" i="4"/>
  <c r="BK210" i="4"/>
  <c r="J447" i="4"/>
  <c r="BK263" i="4"/>
  <c r="J145" i="4"/>
  <c r="BK491" i="4"/>
  <c r="BK341" i="4"/>
  <c r="BK218" i="4"/>
  <c r="J439" i="4"/>
  <c r="J155" i="4"/>
  <c r="BK358" i="4"/>
  <c r="J171" i="4"/>
  <c r="BK416" i="4"/>
  <c r="J136" i="4"/>
  <c r="J132" i="5"/>
  <c r="J184" i="5"/>
  <c r="BK178" i="5"/>
  <c r="J181" i="5"/>
  <c r="J157" i="6"/>
  <c r="BK151" i="7"/>
  <c r="BK142" i="8"/>
  <c r="J133" i="9"/>
  <c r="J191" i="10"/>
  <c r="BK99" i="10"/>
  <c r="J174" i="11"/>
  <c r="J99" i="12"/>
  <c r="J155" i="14"/>
  <c r="J139" i="15"/>
  <c r="BK112" i="17"/>
  <c r="BK263" i="18"/>
  <c r="BK236" i="18"/>
  <c r="J265" i="18"/>
  <c r="BK233" i="18"/>
  <c r="J215" i="18"/>
  <c r="BK126" i="18"/>
  <c r="BK203" i="18"/>
  <c r="J130" i="19"/>
  <c r="J234" i="19"/>
  <c r="BK227" i="19"/>
  <c r="BK190" i="19"/>
  <c r="J179" i="19"/>
  <c r="J122" i="19"/>
  <c r="J183" i="20"/>
  <c r="J108" i="20"/>
  <c r="J118" i="22"/>
  <c r="BK118" i="23"/>
  <c r="BK123" i="26"/>
  <c r="BK99" i="27"/>
  <c r="BK123" i="30"/>
  <c r="BK116" i="32"/>
  <c r="J126" i="35"/>
  <c r="J99" i="37"/>
  <c r="BK130" i="39"/>
  <c r="J110" i="41"/>
  <c r="J126" i="42"/>
  <c r="J117" i="44"/>
  <c r="BK127" i="46"/>
  <c r="J104" i="48"/>
  <c r="J136" i="49"/>
  <c r="BK115" i="50"/>
  <c r="BK137" i="51"/>
  <c r="BK130" i="52"/>
  <c r="BK157" i="52"/>
  <c r="J259" i="53"/>
  <c r="J150" i="54"/>
  <c r="J120" i="55"/>
  <c r="BK103" i="55"/>
  <c r="J93" i="55"/>
  <c r="J111" i="56"/>
  <c r="J105" i="58"/>
  <c r="J113" i="58"/>
  <c r="BK91" i="60"/>
  <c r="BK403" i="2"/>
  <c r="J1141" i="2"/>
  <c r="BK935" i="2"/>
  <c r="J1420" i="2"/>
  <c r="BK1412" i="2"/>
  <c r="BK442" i="2"/>
  <c r="BK1387" i="2"/>
  <c r="J442" i="2"/>
  <c r="J945" i="2"/>
  <c r="J422" i="3"/>
  <c r="BK185" i="3"/>
  <c r="J212" i="3"/>
  <c r="J268" i="3"/>
  <c r="J300" i="3"/>
  <c r="J240" i="4"/>
  <c r="J346" i="4"/>
  <c r="J363" i="4"/>
  <c r="BK109" i="4"/>
  <c r="J308" i="4"/>
  <c r="J125" i="4"/>
  <c r="J142" i="4"/>
  <c r="J110" i="5"/>
  <c r="BK118" i="7"/>
  <c r="BK153" i="9"/>
  <c r="BK223" i="10"/>
  <c r="J130" i="10"/>
  <c r="BK99" i="11"/>
  <c r="BK109" i="14"/>
  <c r="BK140" i="15"/>
  <c r="J106" i="16"/>
  <c r="J130" i="17"/>
  <c r="J322" i="18"/>
  <c r="J264" i="18"/>
  <c r="J315" i="18"/>
  <c r="BK276" i="18"/>
  <c r="BK243" i="18"/>
  <c r="BK192" i="19"/>
  <c r="BK201" i="19"/>
  <c r="J103" i="19"/>
  <c r="J177" i="19"/>
  <c r="BK118" i="19"/>
  <c r="BK132" i="20"/>
  <c r="BK113" i="20"/>
  <c r="BK115" i="21"/>
  <c r="BK112" i="23"/>
  <c r="J118" i="26"/>
  <c r="BK116" i="29"/>
  <c r="J121" i="33"/>
  <c r="BK105" i="35"/>
  <c r="BK125" i="37"/>
  <c r="BK110" i="39"/>
  <c r="BK101" i="41"/>
  <c r="J130" i="43"/>
  <c r="J104" i="45"/>
  <c r="J103" i="47"/>
  <c r="BK105" i="48"/>
  <c r="BK97" i="50"/>
  <c r="J126" i="50"/>
  <c r="J108" i="51"/>
  <c r="BK188" i="52"/>
  <c r="J126" i="52"/>
  <c r="BK102" i="54"/>
  <c r="J107" i="55"/>
  <c r="BK126" i="55"/>
  <c r="J131" i="55"/>
  <c r="BK129" i="56"/>
  <c r="BK145" i="58"/>
  <c r="BK140" i="58"/>
  <c r="BK87" i="60"/>
  <c r="J649" i="2"/>
  <c r="BK1379" i="2"/>
  <c r="BK155" i="2"/>
  <c r="J520" i="2"/>
  <c r="BK875" i="2"/>
  <c r="J1465" i="2"/>
  <c r="J874" i="2"/>
  <c r="J1305" i="2"/>
  <c r="J1482" i="2"/>
  <c r="BK672" i="2"/>
  <c r="BK874" i="2"/>
  <c r="J285" i="3"/>
  <c r="BK300" i="3"/>
  <c r="J330" i="3"/>
  <c r="J374" i="3"/>
  <c r="J223" i="3"/>
  <c r="J438" i="4"/>
  <c r="BK384" i="4"/>
  <c r="BK324" i="4"/>
  <c r="BK469" i="4"/>
  <c r="BK298" i="4"/>
  <c r="J219" i="10"/>
  <c r="BK118" i="11"/>
  <c r="J110" i="12"/>
  <c r="J138" i="13"/>
  <c r="J114" i="13"/>
  <c r="J121" i="15"/>
  <c r="J109" i="16"/>
  <c r="BK296" i="18"/>
  <c r="BK303" i="18"/>
  <c r="BK252" i="18"/>
  <c r="BK130" i="18"/>
  <c r="BK274" i="18"/>
  <c r="J284" i="18"/>
  <c r="J136" i="18"/>
  <c r="J188" i="19"/>
  <c r="J170" i="19"/>
  <c r="BK223" i="19"/>
  <c r="BK192" i="20"/>
  <c r="J136" i="20"/>
  <c r="BK106" i="23"/>
  <c r="BK105" i="26"/>
  <c r="J107" i="28"/>
  <c r="J112" i="30"/>
  <c r="BK107" i="33"/>
  <c r="BK116" i="35"/>
  <c r="J112" i="38"/>
  <c r="BK129" i="40"/>
  <c r="J101" i="41"/>
  <c r="J125" i="43"/>
  <c r="J140" i="45"/>
  <c r="BK136" i="47"/>
  <c r="J103" i="49"/>
  <c r="BK125" i="51"/>
  <c r="BK159" i="52"/>
  <c r="J146" i="54"/>
  <c r="J148" i="54"/>
  <c r="J139" i="55"/>
  <c r="J165" i="55"/>
  <c r="BK116" i="56"/>
  <c r="BK87" i="57"/>
  <c r="J121" i="58"/>
  <c r="BK1599" i="2"/>
  <c r="J750" i="2"/>
  <c r="J1246" i="2"/>
  <c r="J1360" i="2"/>
  <c r="BK1254" i="2"/>
  <c r="BK120" i="2"/>
  <c r="J604" i="2"/>
  <c r="J627" i="2"/>
  <c r="BK1331" i="2"/>
  <c r="J173" i="2"/>
  <c r="BK1038" i="2"/>
  <c r="J208" i="3"/>
  <c r="J241" i="3"/>
  <c r="J352" i="3"/>
  <c r="BK218" i="3"/>
  <c r="J189" i="3"/>
  <c r="J521" i="4"/>
  <c r="J234" i="4"/>
  <c r="BK446" i="4"/>
  <c r="BK232" i="4"/>
  <c r="BK125" i="5"/>
  <c r="BK121" i="6"/>
  <c r="J107" i="6"/>
  <c r="BK111" i="7"/>
  <c r="BK110" i="9"/>
  <c r="BK176" i="10"/>
  <c r="BK120" i="11"/>
  <c r="BK156" i="11"/>
  <c r="BK112" i="12"/>
  <c r="J182" i="12"/>
  <c r="BK105" i="13"/>
  <c r="J152" i="14"/>
  <c r="J127" i="15"/>
  <c r="J101" i="16"/>
  <c r="BK306" i="18"/>
  <c r="BK301" i="18"/>
  <c r="BK297" i="18"/>
  <c r="J158" i="18"/>
  <c r="J319" i="18"/>
  <c r="BK354" i="18"/>
  <c r="J238" i="18"/>
  <c r="BK144" i="19"/>
  <c r="BK205" i="19"/>
  <c r="J115" i="19"/>
  <c r="BK162" i="19"/>
  <c r="BK146" i="20"/>
  <c r="J133" i="20"/>
  <c r="J115" i="21"/>
  <c r="BK107" i="22"/>
  <c r="BK106" i="25"/>
  <c r="J102" i="27"/>
  <c r="BK118" i="29"/>
  <c r="J105" i="31"/>
  <c r="J105" i="35"/>
  <c r="BK136" i="37"/>
  <c r="BK120" i="40"/>
  <c r="BK111" i="41"/>
  <c r="J102" i="43"/>
  <c r="BK133" i="44"/>
  <c r="BK100" i="47"/>
  <c r="BK136" i="48"/>
  <c r="J127" i="50"/>
  <c r="BK105" i="50"/>
  <c r="BK134" i="51"/>
  <c r="J195" i="52"/>
  <c r="J252" i="53"/>
  <c r="J191" i="53"/>
  <c r="J176" i="55"/>
  <c r="BK132" i="55"/>
  <c r="J161" i="55"/>
  <c r="J114" i="56"/>
  <c r="J87" i="57"/>
  <c r="BK98" i="58"/>
  <c r="J108" i="58"/>
  <c r="J1397" i="2"/>
  <c r="J1480" i="2"/>
  <c r="J640" i="2"/>
  <c r="BK1429" i="2"/>
  <c r="BK178" i="2"/>
  <c r="BK604" i="2"/>
  <c r="BK1319" i="2"/>
  <c r="BK1290" i="2"/>
  <c r="BK282" i="2"/>
  <c r="BK809" i="2"/>
  <c r="BK328" i="3"/>
  <c r="J240" i="3"/>
  <c r="BK208" i="3"/>
  <c r="J138" i="3"/>
  <c r="J323" i="3"/>
  <c r="J416" i="4"/>
  <c r="BK251" i="4"/>
  <c r="BK419" i="4"/>
  <c r="J112" i="5"/>
  <c r="BK254" i="5"/>
  <c r="BK140" i="6"/>
  <c r="J105" i="7"/>
  <c r="BK128" i="7"/>
  <c r="BK108" i="7"/>
  <c r="BK116" i="8"/>
  <c r="J146" i="8"/>
  <c r="BK100" i="8"/>
  <c r="J116" i="8"/>
  <c r="BK163" i="8"/>
  <c r="BK133" i="9"/>
  <c r="J203" i="10"/>
  <c r="BK211" i="10"/>
  <c r="BK105" i="11"/>
  <c r="J143" i="12"/>
  <c r="BK110" i="14"/>
  <c r="J119" i="16"/>
  <c r="BK98" i="17"/>
  <c r="BK213" i="18"/>
  <c r="J249" i="18"/>
  <c r="BK147" i="18"/>
  <c r="J212" i="18"/>
  <c r="J112" i="18"/>
  <c r="J354" i="18"/>
  <c r="BK335" i="18"/>
  <c r="J128" i="19"/>
  <c r="BK196" i="19"/>
  <c r="J138" i="19"/>
  <c r="J111" i="19"/>
  <c r="J169" i="20"/>
  <c r="BK165" i="20"/>
  <c r="J193" i="20"/>
  <c r="J121" i="22"/>
  <c r="J106" i="24"/>
  <c r="J115" i="27"/>
  <c r="J123" i="29"/>
  <c r="BK115" i="31"/>
  <c r="BK116" i="34"/>
  <c r="J119" i="36"/>
  <c r="BK108" i="38"/>
  <c r="BK125" i="41"/>
  <c r="BK125" i="43"/>
  <c r="BK111" i="45"/>
  <c r="BK117" i="47"/>
  <c r="BK109" i="49"/>
  <c r="BK95" i="50"/>
  <c r="J94" i="50"/>
  <c r="BK150" i="52"/>
  <c r="BK252" i="53"/>
  <c r="BK176" i="53"/>
  <c r="J128" i="55"/>
  <c r="BK180" i="55"/>
  <c r="J179" i="55"/>
  <c r="BK111" i="56"/>
  <c r="BK90" i="58"/>
  <c r="J117" i="58"/>
  <c r="BK1574" i="2"/>
  <c r="J730" i="2"/>
  <c r="J1488" i="2"/>
  <c r="BK645" i="2"/>
  <c r="J914" i="2"/>
  <c r="J1173" i="2"/>
  <c r="J126" i="2"/>
  <c r="J933" i="2"/>
  <c r="J254" i="2"/>
  <c r="J676" i="2"/>
  <c r="BK116" i="3"/>
  <c r="J435" i="3"/>
  <c r="BK435" i="3"/>
  <c r="J262" i="3"/>
  <c r="J171" i="3"/>
  <c r="BK265" i="4"/>
  <c r="BK429" i="4"/>
  <c r="J445" i="4"/>
  <c r="BK121" i="5"/>
  <c r="BK250" i="5"/>
  <c r="J104" i="6"/>
  <c r="BK159" i="7"/>
  <c r="BK166" i="8"/>
  <c r="BK112" i="9"/>
  <c r="J193" i="10"/>
  <c r="J116" i="10"/>
  <c r="J120" i="11"/>
  <c r="J163" i="12"/>
  <c r="J112" i="12"/>
  <c r="BK98" i="13"/>
  <c r="J143" i="14"/>
  <c r="BK109" i="16"/>
  <c r="BK135" i="17"/>
  <c r="J259" i="18"/>
  <c r="J242" i="18"/>
  <c r="BK249" i="18"/>
  <c r="J224" i="18"/>
  <c r="BK262" i="18"/>
  <c r="J228" i="18"/>
  <c r="BK140" i="18"/>
  <c r="J194" i="19"/>
  <c r="BK171" i="19"/>
  <c r="BK112" i="19"/>
  <c r="BK114" i="19"/>
  <c r="BK119" i="19"/>
  <c r="J190" i="20"/>
  <c r="BK106" i="20"/>
  <c r="J103" i="21"/>
  <c r="BK99" i="24"/>
  <c r="J126" i="27"/>
  <c r="BK106" i="29"/>
  <c r="BK105" i="31"/>
  <c r="J123" i="33"/>
  <c r="BK100" i="36"/>
  <c r="BK102" i="38"/>
  <c r="J114" i="39"/>
  <c r="J100" i="42"/>
  <c r="J122" i="43"/>
  <c r="BK104" i="45"/>
  <c r="BK101" i="46"/>
  <c r="J115" i="48"/>
  <c r="J115" i="49"/>
  <c r="J87" i="51"/>
  <c r="J205" i="52"/>
  <c r="BK230" i="53"/>
  <c r="BK148" i="54"/>
  <c r="BK154" i="55"/>
  <c r="BK145" i="55"/>
  <c r="BK179" i="55"/>
  <c r="J125" i="56"/>
  <c r="J137" i="56"/>
  <c r="J94" i="58"/>
  <c r="BK114" i="58"/>
  <c r="BK92" i="60"/>
  <c r="J1100" i="2"/>
  <c r="J1484" i="2"/>
  <c r="J644" i="2"/>
  <c r="J1394" i="2"/>
  <c r="BK1432" i="2"/>
  <c r="BK1423" i="2"/>
  <c r="BK467" i="2"/>
  <c r="J1433" i="2"/>
  <c r="BK420" i="2"/>
  <c r="BK832" i="2"/>
  <c r="BK202" i="3"/>
  <c r="BK432" i="3"/>
  <c r="BK261" i="3"/>
  <c r="BK231" i="3"/>
  <c r="BK330" i="4"/>
  <c r="BK226" i="4"/>
  <c r="BK121" i="4"/>
  <c r="BK103" i="5"/>
  <c r="BK159" i="6"/>
  <c r="BK137" i="7"/>
  <c r="BK143" i="9"/>
  <c r="BK152" i="9"/>
  <c r="J101" i="10"/>
  <c r="BK111" i="11"/>
  <c r="J150" i="12"/>
  <c r="J101" i="12"/>
  <c r="BK139" i="13"/>
  <c r="J99" i="14"/>
  <c r="BK118" i="15"/>
  <c r="BK99" i="17"/>
  <c r="J221" i="18"/>
  <c r="BK231" i="18"/>
  <c r="BK310" i="18"/>
  <c r="J347" i="18"/>
  <c r="J94" i="18"/>
  <c r="J173" i="18"/>
  <c r="J184" i="19"/>
  <c r="J213" i="19"/>
  <c r="J180" i="19"/>
  <c r="J117" i="19"/>
  <c r="J129" i="19"/>
  <c r="BK147" i="20"/>
  <c r="J119" i="20"/>
  <c r="J128" i="20"/>
  <c r="J115" i="22"/>
  <c r="J99" i="24"/>
  <c r="BK102" i="27"/>
  <c r="J105" i="30"/>
  <c r="BK100" i="32"/>
  <c r="J117" i="35"/>
  <c r="BK105" i="36"/>
  <c r="J121" i="39"/>
  <c r="J105" i="40"/>
  <c r="J101" i="42"/>
  <c r="BK113" i="44"/>
  <c r="J115" i="46"/>
  <c r="BK108" i="47"/>
  <c r="J133" i="49"/>
  <c r="J103" i="50"/>
  <c r="J137" i="51"/>
  <c r="BK182" i="52"/>
  <c r="BK249" i="53"/>
  <c r="BK146" i="54"/>
  <c r="J105" i="55"/>
  <c r="J150" i="55"/>
  <c r="BK125" i="55"/>
  <c r="BK125" i="56"/>
  <c r="J140" i="58"/>
  <c r="J111" i="58"/>
  <c r="BK88" i="60"/>
  <c r="J937" i="2"/>
  <c r="J1407" i="2"/>
  <c r="J511" i="2"/>
  <c r="J1339" i="2"/>
  <c r="BK1121" i="2"/>
  <c r="J1435" i="2"/>
  <c r="BK184" i="2"/>
  <c r="BK226" i="2"/>
  <c r="J153" i="2"/>
  <c r="BK748" i="2"/>
  <c r="BK374" i="3"/>
  <c r="J334" i="3"/>
  <c r="J234" i="3"/>
  <c r="BK108" i="3"/>
  <c r="J365" i="3"/>
  <c r="J306" i="3"/>
  <c r="J250" i="3"/>
  <c r="BK159" i="3"/>
  <c r="J418" i="3"/>
  <c r="BK367" i="3"/>
  <c r="BK238" i="3"/>
  <c r="J469" i="4"/>
  <c r="J175" i="4"/>
  <c r="BK214" i="4"/>
  <c r="J400" i="4"/>
  <c r="BK129" i="4"/>
  <c r="J130" i="5"/>
  <c r="J155" i="6"/>
  <c r="J110" i="7"/>
  <c r="BK173" i="9"/>
  <c r="J211" i="10"/>
  <c r="J213" i="10"/>
  <c r="J104" i="10"/>
  <c r="BK174" i="11"/>
  <c r="BK153" i="12"/>
  <c r="J128" i="13"/>
  <c r="J141" i="14"/>
  <c r="BK113" i="15"/>
  <c r="BK121" i="17"/>
  <c r="BK298" i="18"/>
  <c r="J294" i="18"/>
  <c r="BK295" i="18"/>
  <c r="BK237" i="18"/>
  <c r="J217" i="18"/>
  <c r="J190" i="18"/>
  <c r="BK232" i="18"/>
  <c r="BK136" i="19"/>
  <c r="J220" i="19"/>
  <c r="BK174" i="19"/>
  <c r="BK248" i="19"/>
  <c r="BK123" i="19"/>
  <c r="BK144" i="20"/>
  <c r="J99" i="20"/>
  <c r="BK126" i="22"/>
  <c r="BK106" i="24"/>
  <c r="J121" i="27"/>
  <c r="J118" i="29"/>
  <c r="J106" i="31"/>
  <c r="J118" i="34"/>
  <c r="J110" i="36"/>
  <c r="J121" i="38"/>
  <c r="J123" i="40"/>
  <c r="J111" i="41"/>
  <c r="J132" i="43"/>
  <c r="BK103" i="45"/>
  <c r="J113" i="46"/>
  <c r="J127" i="48"/>
  <c r="BK121" i="50"/>
  <c r="J98" i="50"/>
  <c r="BK133" i="51"/>
  <c r="BK93" i="52"/>
  <c r="BK141" i="53"/>
  <c r="BK122" i="54"/>
  <c r="BK165" i="55"/>
  <c r="BK97" i="55"/>
  <c r="BK102" i="56"/>
  <c r="J128" i="56"/>
  <c r="J92" i="58"/>
  <c r="J126" i="58"/>
  <c r="J1619" i="2"/>
  <c r="BK789" i="2"/>
  <c r="BK1354" i="2"/>
  <c r="BK187" i="2"/>
  <c r="BK937" i="2"/>
  <c r="J846" i="2"/>
  <c r="J1439" i="2"/>
  <c r="J660" i="2"/>
  <c r="BK651" i="2"/>
  <c r="J1402" i="2"/>
  <c r="BK624" i="2"/>
  <c r="J1390" i="2"/>
  <c r="J309" i="2"/>
  <c r="J331" i="3"/>
  <c r="J312" i="3"/>
  <c r="J116" i="5"/>
  <c r="BK108" i="6"/>
  <c r="BK155" i="7"/>
  <c r="BK118" i="9"/>
  <c r="BK226" i="10"/>
  <c r="J158" i="10"/>
  <c r="J164" i="11"/>
  <c r="J113" i="12"/>
  <c r="J98" i="14"/>
  <c r="BK134" i="15"/>
  <c r="BK106" i="16"/>
  <c r="J121" i="17"/>
  <c r="J155" i="18"/>
  <c r="BK228" i="18"/>
  <c r="J244" i="18"/>
  <c r="BK105" i="18"/>
  <c r="BK352" i="18"/>
  <c r="J144" i="18"/>
  <c r="J254" i="19"/>
  <c r="BK183" i="19"/>
  <c r="BK250" i="19"/>
  <c r="BK219" i="19"/>
  <c r="J182" i="19"/>
  <c r="BK182" i="20"/>
  <c r="BK175" i="20"/>
  <c r="BK95" i="21"/>
  <c r="BK126" i="24"/>
  <c r="BK118" i="26"/>
  <c r="J121" i="29"/>
  <c r="J99" i="31"/>
  <c r="J102" i="34"/>
  <c r="J100" i="37"/>
  <c r="BK127" i="39"/>
  <c r="J122" i="41"/>
  <c r="J119" i="43"/>
  <c r="J103" i="45"/>
  <c r="J136" i="47"/>
  <c r="J133" i="48"/>
  <c r="BK134" i="50"/>
  <c r="BK125" i="50"/>
  <c r="BK122" i="51"/>
  <c r="BK128" i="52"/>
  <c r="BK191" i="52"/>
  <c r="J230" i="53"/>
  <c r="J139" i="54"/>
  <c r="BK92" i="55"/>
  <c r="BK111" i="55"/>
  <c r="J168" i="55"/>
  <c r="J122" i="56"/>
  <c r="BK112" i="56"/>
  <c r="BK142" i="58"/>
  <c r="J96" i="59"/>
  <c r="J1014" i="2"/>
  <c r="BK773" i="2"/>
  <c r="J1186" i="2"/>
  <c r="J159" i="2"/>
  <c r="BK852" i="2"/>
  <c r="J1115" i="2"/>
  <c r="BK126" i="2"/>
  <c r="BK291" i="2"/>
  <c r="BK312" i="2"/>
  <c r="J910" i="2"/>
  <c r="BK1444" i="2"/>
  <c r="BK668" i="2"/>
  <c r="BK137" i="3"/>
  <c r="J104" i="3"/>
  <c r="BK416" i="3"/>
  <c r="J446" i="4"/>
  <c r="BK269" i="4"/>
  <c r="BK451" i="4"/>
  <c r="J396" i="4"/>
  <c r="J275" i="4"/>
  <c r="J318" i="4"/>
  <c r="BK109" i="5"/>
  <c r="J146" i="6"/>
  <c r="J150" i="8"/>
  <c r="BK98" i="9"/>
  <c r="J98" i="9"/>
  <c r="BK207" i="10"/>
  <c r="J101" i="11"/>
  <c r="BK143" i="14"/>
  <c r="BK154" i="14"/>
  <c r="BK139" i="16"/>
  <c r="J278" i="18"/>
  <c r="J297" i="18"/>
  <c r="BK315" i="18"/>
  <c r="BK219" i="18"/>
  <c r="BK133" i="18"/>
  <c r="BK317" i="18"/>
  <c r="J199" i="18"/>
  <c r="BK226" i="19"/>
  <c r="J174" i="19"/>
  <c r="J223" i="19"/>
  <c r="J102" i="19"/>
  <c r="BK145" i="20"/>
  <c r="BK128" i="20"/>
  <c r="BK102" i="21"/>
  <c r="J107" i="22"/>
  <c r="BK116" i="26"/>
  <c r="BK99" i="29"/>
  <c r="J116" i="31"/>
  <c r="J123" i="34"/>
  <c r="J124" i="36"/>
  <c r="BK100" i="38"/>
  <c r="BK100" i="40"/>
  <c r="J115" i="41"/>
  <c r="BK105" i="42"/>
  <c r="J140" i="44"/>
  <c r="BK105" i="46"/>
  <c r="BK109" i="47"/>
  <c r="J140" i="50"/>
  <c r="BK141" i="50"/>
  <c r="J91" i="50"/>
  <c r="J99" i="51"/>
  <c r="J93" i="52"/>
  <c r="BK177" i="52"/>
  <c r="BK105" i="53"/>
  <c r="J178" i="55"/>
  <c r="BK121" i="55"/>
  <c r="BK107" i="55"/>
  <c r="J127" i="56"/>
  <c r="J88" i="57"/>
  <c r="BK117" i="58"/>
  <c r="J88" i="59"/>
  <c r="BK945" i="2"/>
  <c r="BK170" i="2"/>
  <c r="BK750" i="2"/>
  <c r="J1416" i="2"/>
  <c r="J321" i="2"/>
  <c r="BK1369" i="2"/>
  <c r="BK117" i="2"/>
  <c r="BK1420" i="2"/>
  <c r="BK643" i="2"/>
  <c r="J1307" i="2"/>
  <c r="J155" i="2"/>
  <c r="J398" i="3"/>
  <c r="BK235" i="3"/>
  <c r="BK224" i="3"/>
  <c r="BK268" i="3"/>
  <c r="J160" i="3"/>
  <c r="BK475" i="4"/>
  <c r="BK238" i="4"/>
  <c r="BK307" i="4"/>
  <c r="J317" i="4"/>
  <c r="BK135" i="4"/>
  <c r="BK113" i="10"/>
  <c r="BK164" i="11"/>
  <c r="BK167" i="12"/>
  <c r="BK146" i="12"/>
  <c r="J111" i="13"/>
  <c r="BK103" i="14"/>
  <c r="J109" i="15"/>
  <c r="J131" i="17"/>
  <c r="J113" i="18"/>
  <c r="BK155" i="18"/>
  <c r="J323" i="18"/>
  <c r="J343" i="18"/>
  <c r="BK355" i="18"/>
  <c r="J211" i="18"/>
  <c r="J253" i="19"/>
  <c r="J164" i="19"/>
  <c r="BK235" i="19"/>
  <c r="J116" i="19"/>
  <c r="J142" i="20"/>
  <c r="BK185" i="20"/>
  <c r="J126" i="24"/>
  <c r="J126" i="26"/>
  <c r="BK99" i="28"/>
  <c r="J100" i="29"/>
  <c r="BK126" i="33"/>
  <c r="J101" i="36"/>
  <c r="BK103" i="38"/>
  <c r="BK132" i="39"/>
  <c r="J131" i="41"/>
  <c r="BK102" i="43"/>
  <c r="J101" i="45"/>
  <c r="J104" i="46"/>
  <c r="J117" i="48"/>
  <c r="BK100" i="49"/>
  <c r="BK119" i="51"/>
  <c r="J98" i="52"/>
  <c r="BK87" i="53"/>
  <c r="J143" i="54"/>
  <c r="J174" i="55"/>
  <c r="BK120" i="55"/>
  <c r="BK127" i="56"/>
  <c r="BK125" i="58"/>
  <c r="BK104" i="58"/>
  <c r="BK1488" i="2"/>
  <c r="BK914" i="2"/>
  <c r="BK1481" i="2"/>
  <c r="J1357" i="2"/>
  <c r="J728" i="2"/>
  <c r="J1268" i="2"/>
  <c r="J1429" i="2"/>
  <c r="BK153" i="2"/>
  <c r="BK1014" i="2"/>
  <c r="J1431" i="2"/>
  <c r="BK664" i="2"/>
  <c r="J117" i="3"/>
  <c r="BK371" i="3"/>
  <c r="BK125" i="3"/>
  <c r="J276" i="3"/>
  <c r="J235" i="3"/>
  <c r="J183" i="4"/>
  <c r="J284" i="4"/>
  <c r="BK302" i="4"/>
  <c r="BK369" i="4"/>
  <c r="BK127" i="5"/>
  <c r="BK227" i="5"/>
  <c r="BK146" i="6"/>
  <c r="J138" i="7"/>
  <c r="BK147" i="9"/>
  <c r="J173" i="10"/>
  <c r="J168" i="11"/>
  <c r="BK158" i="11"/>
  <c r="J106" i="12"/>
  <c r="J117" i="13"/>
  <c r="BK150" i="14"/>
  <c r="BK99" i="15"/>
  <c r="BK124" i="17"/>
  <c r="J108" i="18"/>
  <c r="BK185" i="18"/>
  <c r="BK221" i="18"/>
  <c r="BK284" i="18"/>
  <c r="J225" i="18"/>
  <c r="BK191" i="18"/>
  <c r="J197" i="19"/>
  <c r="BK186" i="19"/>
  <c r="J144" i="19"/>
  <c r="J202" i="19"/>
  <c r="J105" i="20"/>
  <c r="BK98" i="20"/>
  <c r="BK171" i="20"/>
  <c r="BK116" i="22"/>
  <c r="BK115" i="24"/>
  <c r="J99" i="27"/>
  <c r="BK102" i="30"/>
  <c r="J102" i="33"/>
  <c r="BK126" i="36"/>
  <c r="J109" i="37"/>
  <c r="BK107" i="39"/>
  <c r="J104" i="40"/>
  <c r="J127" i="42"/>
  <c r="J138" i="44"/>
  <c r="BK133" i="45"/>
  <c r="J101" i="46"/>
  <c r="J109" i="48"/>
  <c r="BK108" i="50"/>
  <c r="J137" i="50"/>
  <c r="BK87" i="51"/>
  <c r="J145" i="52"/>
  <c r="J154" i="52"/>
  <c r="J255" i="53"/>
  <c r="BK147" i="54"/>
  <c r="BK108" i="55"/>
  <c r="BK86" i="55"/>
  <c r="BK101" i="56"/>
  <c r="BK149" i="58"/>
  <c r="J144" i="58"/>
  <c r="J93" i="59"/>
  <c r="J1437" i="2"/>
  <c r="BK1424" i="2"/>
  <c r="J385" i="2"/>
  <c r="BK1137" i="2"/>
  <c r="BK1473" i="2"/>
  <c r="BK306" i="2"/>
  <c r="BK846" i="2"/>
  <c r="J767" i="2"/>
  <c r="J652" i="2"/>
  <c r="J1290" i="2"/>
  <c r="J403" i="2"/>
  <c r="BK358" i="3"/>
  <c r="BK273" i="3"/>
  <c r="BK183" i="3"/>
  <c r="BK154" i="3"/>
  <c r="J243" i="4"/>
  <c r="BK433" i="4"/>
  <c r="BK242" i="5"/>
  <c r="BK135" i="5"/>
  <c r="BK100" i="6"/>
  <c r="J135" i="7"/>
  <c r="J159" i="7"/>
  <c r="J140" i="7"/>
  <c r="J120" i="8"/>
  <c r="BK154" i="8"/>
  <c r="BK124" i="8"/>
  <c r="J157" i="8"/>
  <c r="BK108" i="8"/>
  <c r="BK168" i="8"/>
  <c r="J103" i="9"/>
  <c r="BK151" i="10"/>
  <c r="J176" i="10"/>
  <c r="J99" i="11"/>
  <c r="BK109" i="11"/>
  <c r="BK122" i="19"/>
  <c r="J146" i="20"/>
  <c r="BK142" i="20"/>
  <c r="J98" i="21"/>
  <c r="BK99" i="23"/>
  <c r="J112" i="26"/>
  <c r="J118" i="28"/>
  <c r="J102" i="30"/>
  <c r="J106" i="33"/>
  <c r="J113" i="35"/>
  <c r="BK105" i="37"/>
  <c r="BK120" i="42"/>
  <c r="J108" i="44"/>
  <c r="BK100" i="45"/>
  <c r="BK113" i="46"/>
  <c r="J101" i="48"/>
  <c r="BK124" i="49"/>
  <c r="BK137" i="50"/>
  <c r="BK126" i="52"/>
  <c r="BK174" i="52"/>
  <c r="J293" i="53"/>
  <c r="BK119" i="55"/>
  <c r="BK162" i="55"/>
  <c r="J111" i="55"/>
  <c r="BK120" i="56"/>
  <c r="BK90" i="56"/>
  <c r="BK118" i="58"/>
  <c r="BK133" i="58"/>
  <c r="J90" i="60"/>
  <c r="J838" i="2"/>
  <c r="BK812" i="2"/>
  <c r="BK1434" i="2"/>
  <c r="BK212" i="2"/>
  <c r="BK1230" i="2"/>
  <c r="J1400" i="2"/>
  <c r="J1474" i="2"/>
  <c r="BK758" i="2"/>
  <c r="BK1490" i="2"/>
  <c r="BK1120" i="2"/>
  <c r="J426" i="3"/>
  <c r="J321" i="3"/>
  <c r="J269" i="3"/>
  <c r="J225" i="3"/>
  <c r="BK272" i="3"/>
  <c r="BK138" i="3"/>
  <c r="J269" i="4"/>
  <c r="BK235" i="4"/>
  <c r="BK273" i="4"/>
  <c r="BK215" i="5"/>
  <c r="BK128" i="6"/>
  <c r="BK133" i="6"/>
  <c r="J100" i="7"/>
  <c r="J159" i="9"/>
  <c r="J109" i="9"/>
  <c r="BK126" i="10"/>
  <c r="BK152" i="11"/>
  <c r="J109" i="12"/>
  <c r="J152" i="12"/>
  <c r="BK129" i="13"/>
  <c r="BK118" i="14"/>
  <c r="J133" i="15"/>
  <c r="BK116" i="16"/>
  <c r="BK137" i="17"/>
  <c r="J251" i="18"/>
  <c r="BK255" i="18"/>
  <c r="BK323" i="18"/>
  <c r="BK283" i="18"/>
  <c r="BK293" i="18"/>
  <c r="J194" i="18"/>
  <c r="BK153" i="19"/>
  <c r="J112" i="19"/>
  <c r="J185" i="19"/>
  <c r="J192" i="19"/>
  <c r="J131" i="20"/>
  <c r="BK139" i="20"/>
  <c r="BK102" i="20"/>
  <c r="J105" i="22"/>
  <c r="J100" i="24"/>
  <c r="J116" i="27"/>
  <c r="BK102" i="31"/>
  <c r="J105" i="33"/>
  <c r="J119" i="35"/>
  <c r="J106" i="37"/>
  <c r="J130" i="39"/>
  <c r="BK110" i="41"/>
  <c r="J110" i="43"/>
  <c r="BK117" i="44"/>
  <c r="BK130" i="46"/>
  <c r="BK101" i="47"/>
  <c r="BK136" i="49"/>
  <c r="J142" i="50"/>
  <c r="BK221" i="52"/>
  <c r="J163" i="52"/>
  <c r="J108" i="52"/>
  <c r="BK282" i="53"/>
  <c r="BK139" i="55"/>
  <c r="J132" i="55"/>
  <c r="J110" i="55"/>
  <c r="BK128" i="55"/>
  <c r="BK123" i="56"/>
  <c r="BK85" i="57"/>
  <c r="BK96" i="58"/>
  <c r="BK113" i="58"/>
  <c r="J1531" i="2"/>
  <c r="J668" i="2"/>
  <c r="J1406" i="2"/>
  <c r="BK189" i="2"/>
  <c r="J157" i="2"/>
  <c r="J359" i="2"/>
  <c r="BK890" i="2"/>
  <c r="J841" i="2"/>
  <c r="BK1469" i="2"/>
  <c r="J832" i="2"/>
  <c r="BK165" i="2"/>
  <c r="BK693" i="2"/>
  <c r="J271" i="3"/>
  <c r="BK196" i="3"/>
  <c r="J196" i="3"/>
  <c r="BK346" i="3"/>
  <c r="J103" i="3"/>
  <c r="BK346" i="4"/>
  <c r="BK256" i="4"/>
  <c r="J430" i="4"/>
  <c r="J197" i="5"/>
  <c r="J113" i="5"/>
  <c r="BK137" i="6"/>
  <c r="BK146" i="7"/>
  <c r="J107" i="9"/>
  <c r="BK113" i="9"/>
  <c r="BK158" i="10"/>
  <c r="BK205" i="10"/>
  <c r="J175" i="11"/>
  <c r="BK150" i="12"/>
  <c r="BK101" i="13"/>
  <c r="J136" i="14"/>
  <c r="J118" i="15"/>
  <c r="BK123" i="17"/>
  <c r="J303" i="18"/>
  <c r="BK324" i="18"/>
  <c r="BK268" i="18"/>
  <c r="J335" i="18"/>
  <c r="BK260" i="18"/>
  <c r="BK112" i="18"/>
  <c r="BK161" i="19"/>
  <c r="J156" i="19"/>
  <c r="BK145" i="19"/>
  <c r="J227" i="19"/>
  <c r="J177" i="20"/>
  <c r="BK134" i="20"/>
  <c r="BK111" i="20"/>
  <c r="BK91" i="21"/>
  <c r="J116" i="24"/>
  <c r="J107" i="26"/>
  <c r="J116" i="28"/>
  <c r="J121" i="31"/>
  <c r="J107" i="33"/>
  <c r="BK126" i="35"/>
  <c r="J107" i="38"/>
  <c r="J99" i="39"/>
  <c r="BK138" i="41"/>
  <c r="BK108" i="42"/>
  <c r="J105" i="44"/>
  <c r="BK131" i="46"/>
  <c r="BK138" i="48"/>
  <c r="BK133" i="49"/>
  <c r="J138" i="50"/>
  <c r="J119" i="51"/>
  <c r="J174" i="52"/>
  <c r="BK161" i="52"/>
  <c r="BK297" i="53"/>
  <c r="BK92" i="54"/>
  <c r="BK123" i="55"/>
  <c r="J171" i="55"/>
  <c r="J121" i="55"/>
  <c r="J90" i="56"/>
  <c r="J120" i="56"/>
  <c r="J135" i="58"/>
  <c r="BK105" i="58"/>
  <c r="J1486" i="2"/>
  <c r="J282" i="2"/>
  <c r="J650" i="2"/>
  <c r="BK1492" i="2"/>
  <c r="BK359" i="2"/>
  <c r="J947" i="2"/>
  <c r="BK1409" i="2"/>
  <c r="BK640" i="2"/>
  <c r="BK516" i="2"/>
  <c r="BK1235" i="2"/>
  <c r="J1121" i="2"/>
  <c r="BK181" i="2"/>
  <c r="J292" i="3"/>
  <c r="BK267" i="3"/>
  <c r="J436" i="3"/>
  <c r="BK378" i="3"/>
  <c r="J318" i="3"/>
  <c r="BK291" i="3"/>
  <c r="BK174" i="3"/>
  <c r="BK428" i="3"/>
  <c r="J377" i="3"/>
  <c r="J314" i="3"/>
  <c r="BK298" i="3"/>
  <c r="J214" i="4"/>
  <c r="BK454" i="4"/>
  <c r="J334" i="4"/>
  <c r="BK439" i="4"/>
  <c r="BK193" i="5"/>
  <c r="J198" i="5"/>
  <c r="J113" i="6"/>
  <c r="BK119" i="7"/>
  <c r="J124" i="8"/>
  <c r="BK107" i="9"/>
  <c r="BK103" i="9"/>
  <c r="BK219" i="10"/>
  <c r="J105" i="11"/>
  <c r="BK118" i="12"/>
  <c r="BK104" i="13"/>
  <c r="BK131" i="13"/>
  <c r="BK156" i="14"/>
  <c r="J110" i="16"/>
  <c r="BK120" i="17"/>
  <c r="J162" i="18"/>
  <c r="J151" i="18"/>
  <c r="J184" i="18"/>
  <c r="J195" i="18"/>
  <c r="J107" i="18"/>
  <c r="BK136" i="18"/>
  <c r="J105" i="19"/>
  <c r="BK247" i="19"/>
  <c r="BK107" i="19"/>
  <c r="BK191" i="19"/>
  <c r="BK108" i="19"/>
  <c r="J144" i="20"/>
  <c r="BK141" i="20"/>
  <c r="J91" i="21"/>
  <c r="J123" i="23"/>
  <c r="BK100" i="26"/>
  <c r="J115" i="29"/>
  <c r="J112" i="31"/>
  <c r="J126" i="33"/>
  <c r="BK115" i="34"/>
  <c r="BK116" i="36"/>
  <c r="J104" i="38"/>
  <c r="J125" i="39"/>
  <c r="J134" i="41"/>
  <c r="J123" i="42"/>
  <c r="J133" i="44"/>
  <c r="J117" i="45"/>
  <c r="J117" i="47"/>
  <c r="BK138" i="49"/>
  <c r="BK109" i="50"/>
  <c r="J121" i="50"/>
  <c r="J116" i="51"/>
  <c r="BK167" i="52"/>
  <c r="J167" i="52"/>
  <c r="J196" i="53"/>
  <c r="BK148" i="55"/>
  <c r="BK143" i="55"/>
  <c r="BK118" i="55"/>
  <c r="J98" i="56"/>
  <c r="BK113" i="56"/>
  <c r="BK115" i="58"/>
  <c r="BK121" i="58"/>
  <c r="J92" i="60"/>
  <c r="J662" i="2"/>
  <c r="BK1450" i="2"/>
  <c r="BK471" i="2"/>
  <c r="J1369" i="2"/>
  <c r="J172" i="2"/>
  <c r="J647" i="2"/>
  <c r="J1399" i="2"/>
  <c r="BK876" i="2"/>
  <c r="BK1462" i="2"/>
  <c r="J1251" i="2"/>
  <c r="BK1421" i="2"/>
  <c r="J469" i="2"/>
  <c r="J190" i="3"/>
  <c r="J261" i="3"/>
  <c r="BK271" i="3"/>
  <c r="J195" i="5"/>
  <c r="BK113" i="6"/>
  <c r="J128" i="7"/>
  <c r="BK115" i="8"/>
  <c r="BK163" i="9"/>
  <c r="J199" i="10"/>
  <c r="J161" i="10"/>
  <c r="BK103" i="11"/>
  <c r="BK101" i="12"/>
  <c r="BK101" i="14"/>
  <c r="J101" i="15"/>
  <c r="BK150" i="16"/>
  <c r="BK314" i="18"/>
  <c r="BK309" i="18"/>
  <c r="J105" i="18"/>
  <c r="J120" i="18"/>
  <c r="BK320" i="18"/>
  <c r="BK245" i="18"/>
  <c r="J276" i="18"/>
  <c r="J198" i="18"/>
  <c r="J242" i="19"/>
  <c r="BK208" i="19"/>
  <c r="BK197" i="19"/>
  <c r="BK156" i="19"/>
  <c r="BK125" i="19"/>
  <c r="BK120" i="20"/>
  <c r="J148" i="20"/>
  <c r="BK116" i="20"/>
  <c r="BK99" i="22"/>
  <c r="BK123" i="25"/>
  <c r="BK102" i="29"/>
  <c r="J118" i="31"/>
  <c r="J99" i="34"/>
  <c r="BK122" i="36"/>
  <c r="J110" i="38"/>
  <c r="J115" i="40"/>
  <c r="J134" i="42"/>
  <c r="J114" i="43"/>
  <c r="J138" i="45"/>
  <c r="BK138" i="47"/>
  <c r="J103" i="48"/>
  <c r="J109" i="50"/>
  <c r="J95" i="50"/>
  <c r="J136" i="51"/>
  <c r="J101" i="52"/>
  <c r="BK96" i="52"/>
  <c r="J130" i="54"/>
  <c r="BK131" i="55"/>
  <c r="BK166" i="55"/>
  <c r="J130" i="55"/>
  <c r="J103" i="56"/>
  <c r="BK95" i="56"/>
  <c r="BK126" i="58"/>
  <c r="J131" i="58"/>
  <c r="BK1441" i="2"/>
  <c r="BK1415" i="2"/>
  <c r="J346" i="3"/>
  <c r="J294" i="3"/>
  <c r="J278" i="3"/>
  <c r="BK243" i="3"/>
  <c r="J241" i="4"/>
  <c r="BK195" i="4"/>
  <c r="BK460" i="4"/>
  <c r="J353" i="4"/>
  <c r="J138" i="4"/>
  <c r="BK388" i="4"/>
  <c r="BK98" i="5"/>
  <c r="J99" i="6"/>
  <c r="J111" i="8"/>
  <c r="J153" i="9"/>
  <c r="J174" i="10"/>
  <c r="J181" i="10"/>
  <c r="J103" i="11"/>
  <c r="J149" i="14"/>
  <c r="J136" i="15"/>
  <c r="J133" i="17"/>
  <c r="BK341" i="18"/>
  <c r="BK291" i="18"/>
  <c r="J252" i="18"/>
  <c r="J328" i="18"/>
  <c r="J123" i="18"/>
  <c r="BK98" i="18"/>
  <c r="J248" i="19"/>
  <c r="BK232" i="19"/>
  <c r="BK152" i="19"/>
  <c r="J240" i="19"/>
  <c r="BK93" i="20"/>
  <c r="BK143" i="20"/>
  <c r="J125" i="20"/>
  <c r="J112" i="22"/>
  <c r="J99" i="25"/>
  <c r="J99" i="28"/>
  <c r="BK126" i="31"/>
  <c r="BK105" i="33"/>
  <c r="BK102" i="37"/>
  <c r="J100" i="38"/>
  <c r="BK113" i="40"/>
  <c r="BK122" i="41"/>
  <c r="BK128" i="43"/>
  <c r="J130" i="45"/>
  <c r="J101" i="47"/>
  <c r="BK111" i="48"/>
  <c r="BK112" i="50"/>
  <c r="J133" i="50"/>
  <c r="BK108" i="51"/>
  <c r="BK199" i="52"/>
  <c r="J203" i="52"/>
  <c r="J142" i="54"/>
  <c r="BK124" i="55"/>
  <c r="BK178" i="55"/>
  <c r="BK146" i="55"/>
  <c r="BK108" i="56"/>
  <c r="BK127" i="58"/>
  <c r="BK111" i="58"/>
  <c r="J1434" i="2"/>
  <c r="BK1478" i="2"/>
  <c r="BK321" i="2"/>
  <c r="J1348" i="2"/>
  <c r="J1188" i="2"/>
  <c r="J1412" i="2"/>
  <c r="J212" i="2"/>
  <c r="BK540" i="2"/>
  <c r="J1222" i="2"/>
  <c r="J1489" i="2"/>
  <c r="J672" i="2"/>
  <c r="J350" i="3"/>
  <c r="BK254" i="3"/>
  <c r="BK287" i="3"/>
  <c r="BK278" i="3"/>
  <c r="J325" i="3"/>
  <c r="BK192" i="3"/>
  <c r="J251" i="4"/>
  <c r="BK159" i="4"/>
  <c r="J167" i="4"/>
  <c r="J442" i="4"/>
  <c r="J235" i="4"/>
  <c r="J454" i="4"/>
  <c r="J195" i="10"/>
  <c r="J112" i="11"/>
  <c r="J103" i="12"/>
  <c r="BK120" i="13"/>
  <c r="J131" i="14"/>
  <c r="J104" i="14"/>
  <c r="BK118" i="16"/>
  <c r="BK110" i="17"/>
  <c r="BK332" i="18"/>
  <c r="J236" i="18"/>
  <c r="J325" i="18"/>
  <c r="BK230" i="18"/>
  <c r="J223" i="18"/>
  <c r="J241" i="19"/>
  <c r="J176" i="19"/>
  <c r="BK239" i="19"/>
  <c r="J230" i="19"/>
  <c r="J186" i="19"/>
  <c r="J145" i="20"/>
  <c r="J132" i="20"/>
  <c r="BK121" i="24"/>
  <c r="J123" i="26"/>
  <c r="BK121" i="29"/>
  <c r="BK106" i="31"/>
  <c r="J115" i="33"/>
  <c r="BK110" i="36"/>
  <c r="J108" i="38"/>
  <c r="J136" i="41"/>
  <c r="BK101" i="42"/>
  <c r="BK103" i="44"/>
  <c r="J117" i="46"/>
  <c r="BK131" i="47"/>
  <c r="J111" i="49"/>
  <c r="BK104" i="51"/>
  <c r="J234" i="53"/>
  <c r="J138" i="55"/>
  <c r="BK117" i="55"/>
  <c r="J102" i="55"/>
  <c r="J90" i="55"/>
  <c r="BK137" i="56"/>
  <c r="BK137" i="58"/>
  <c r="J90" i="59"/>
  <c r="J651" i="2"/>
  <c r="BK1381" i="2"/>
  <c r="J205" i="2"/>
  <c r="J125" i="2"/>
  <c r="J540" i="2"/>
  <c r="BK676" i="2"/>
  <c r="BK679" i="2"/>
  <c r="BK1403" i="2"/>
  <c r="BK488" i="2"/>
  <c r="J700" i="2"/>
  <c r="J173" i="3"/>
  <c r="BK325" i="3"/>
  <c r="J112" i="3"/>
  <c r="BK306" i="3"/>
  <c r="BK245" i="4"/>
  <c r="BK142" i="4"/>
  <c r="J458" i="4"/>
  <c r="BK404" i="4"/>
  <c r="J247" i="5"/>
  <c r="BK116" i="6"/>
  <c r="BK110" i="7"/>
  <c r="BK143" i="8"/>
  <c r="J108" i="10"/>
  <c r="J226" i="10"/>
  <c r="BK168" i="11"/>
  <c r="J125" i="12"/>
  <c r="BK125" i="12"/>
  <c r="J118" i="13"/>
  <c r="J120" i="13"/>
  <c r="BK98" i="14"/>
  <c r="BK101" i="16"/>
  <c r="BK98" i="16"/>
  <c r="BK101" i="17"/>
  <c r="BK339" i="18"/>
  <c r="J106" i="18"/>
  <c r="J333" i="18"/>
  <c r="BK117" i="18"/>
  <c r="BK162" i="18"/>
  <c r="BK242" i="18"/>
  <c r="BK231" i="19"/>
  <c r="BK113" i="19"/>
  <c r="J165" i="19"/>
  <c r="BK101" i="19"/>
  <c r="BK115" i="20"/>
  <c r="BK151" i="20"/>
  <c r="J102" i="21"/>
  <c r="BK102" i="24"/>
  <c r="J100" i="26"/>
  <c r="J105" i="29"/>
  <c r="BK118" i="33"/>
  <c r="J116" i="35"/>
  <c r="J104" i="37"/>
  <c r="J134" i="39"/>
  <c r="BK136" i="41"/>
  <c r="BK103" i="43"/>
  <c r="BK117" i="45"/>
  <c r="BK105" i="47"/>
  <c r="J105" i="49"/>
  <c r="J128" i="50"/>
  <c r="J104" i="50"/>
  <c r="J86" i="51"/>
  <c r="J221" i="52"/>
  <c r="J240" i="53"/>
  <c r="BK149" i="54"/>
  <c r="BK115" i="55"/>
  <c r="BK87" i="55"/>
  <c r="J118" i="55"/>
  <c r="BK106" i="56"/>
  <c r="J122" i="58"/>
  <c r="J128" i="58"/>
  <c r="BK1609" i="2"/>
  <c r="J670" i="2"/>
  <c r="BK863" i="2"/>
  <c r="BK1390" i="2"/>
  <c r="BK1243" i="2"/>
  <c r="J1447" i="2"/>
  <c r="J547" i="2"/>
  <c r="J366" i="2"/>
  <c r="BK1404" i="2"/>
  <c r="BK648" i="2"/>
  <c r="J432" i="3"/>
  <c r="J159" i="3"/>
  <c r="J283" i="3"/>
  <c r="J251" i="3"/>
  <c r="J147" i="3"/>
  <c r="BK260" i="4"/>
  <c r="J233" i="4"/>
  <c r="J210" i="4"/>
  <c r="J123" i="5"/>
  <c r="J118" i="6"/>
  <c r="BK145" i="6"/>
  <c r="BK135" i="7"/>
  <c r="BK141" i="7"/>
  <c r="J113" i="8"/>
  <c r="J155" i="8"/>
  <c r="BK102" i="8"/>
  <c r="J154" i="8"/>
  <c r="J156" i="8"/>
  <c r="J118" i="9"/>
  <c r="BK174" i="10"/>
  <c r="BK213" i="10"/>
  <c r="BK104" i="12"/>
  <c r="J137" i="14"/>
  <c r="J116" i="16"/>
  <c r="J110" i="17"/>
  <c r="BK143" i="18"/>
  <c r="BK224" i="18"/>
  <c r="BK225" i="18"/>
  <c r="J314" i="18"/>
  <c r="J219" i="18"/>
  <c r="J254" i="18"/>
  <c r="J183" i="19"/>
  <c r="BK218" i="19"/>
  <c r="J218" i="19"/>
  <c r="BK199" i="19"/>
  <c r="J132" i="19"/>
  <c r="BK105" i="19"/>
  <c r="J184" i="20"/>
  <c r="J121" i="20"/>
  <c r="J128" i="21"/>
  <c r="J118" i="23"/>
  <c r="J115" i="25"/>
  <c r="BK118" i="28"/>
  <c r="J115" i="30"/>
  <c r="BK123" i="33"/>
  <c r="J101" i="35"/>
  <c r="BK112" i="38"/>
  <c r="J136" i="42"/>
  <c r="BK100" i="43"/>
  <c r="BK136" i="45"/>
  <c r="J103" i="46"/>
  <c r="BK100" i="48"/>
  <c r="BK131" i="50"/>
  <c r="BK89" i="50"/>
  <c r="J114" i="50"/>
  <c r="BK226" i="52"/>
  <c r="J218" i="53"/>
  <c r="BK134" i="54"/>
  <c r="J152" i="55"/>
  <c r="J142" i="55"/>
  <c r="BK117" i="56"/>
  <c r="BK104" i="56"/>
  <c r="BK88" i="57"/>
  <c r="BK108" i="58"/>
  <c r="J86" i="60"/>
  <c r="BK180" i="2"/>
  <c r="BK1531" i="2"/>
  <c r="BK1076" i="2"/>
  <c r="BK1430" i="2"/>
  <c r="J136" i="2"/>
  <c r="BK1435" i="2"/>
  <c r="J656" i="2"/>
  <c r="BK787" i="2"/>
  <c r="J376" i="3"/>
  <c r="J221" i="3"/>
  <c r="BK376" i="3"/>
  <c r="BK294" i="3"/>
  <c r="BK240" i="3"/>
  <c r="J218" i="3"/>
  <c r="BK202" i="4"/>
  <c r="J302" i="4"/>
  <c r="J137" i="4"/>
  <c r="BK171" i="4"/>
  <c r="BK159" i="5"/>
  <c r="J156" i="6"/>
  <c r="BK100" i="7"/>
  <c r="BK107" i="8"/>
  <c r="J140" i="9"/>
  <c r="J209" i="10"/>
  <c r="BK162" i="10"/>
  <c r="BK114" i="11"/>
  <c r="J177" i="12"/>
  <c r="J131" i="13"/>
  <c r="J120" i="14"/>
  <c r="J98" i="15"/>
  <c r="J131" i="16"/>
  <c r="J280" i="18"/>
  <c r="BK338" i="18"/>
  <c r="BK312" i="18"/>
  <c r="BK290" i="18"/>
  <c r="J185" i="18"/>
  <c r="BK109" i="18"/>
  <c r="BK214" i="18"/>
  <c r="J243" i="19"/>
  <c r="J229" i="19"/>
  <c r="J151" i="19"/>
  <c r="BK181" i="19"/>
  <c r="BK128" i="19"/>
  <c r="J191" i="20"/>
  <c r="J152" i="20"/>
  <c r="BK109" i="21"/>
  <c r="J107" i="23"/>
  <c r="J116" i="26"/>
  <c r="BK126" i="29"/>
  <c r="BK107" i="31"/>
  <c r="J115" i="34"/>
  <c r="BK103" i="36"/>
  <c r="J103" i="38"/>
  <c r="J124" i="39"/>
  <c r="BK129" i="41"/>
  <c r="BK113" i="42"/>
  <c r="J115" i="45"/>
  <c r="BK104" i="46"/>
  <c r="BK109" i="48"/>
  <c r="J136" i="50"/>
  <c r="J136" i="52"/>
  <c r="J209" i="52"/>
  <c r="J249" i="53"/>
  <c r="BK130" i="54"/>
  <c r="J112" i="55"/>
  <c r="J103" i="55"/>
  <c r="J154" i="55"/>
  <c r="J160" i="55"/>
  <c r="J113" i="56"/>
  <c r="BK97" i="56"/>
  <c r="BK143" i="58"/>
  <c r="J127" i="58"/>
  <c r="J132" i="58"/>
  <c r="J89" i="60"/>
  <c r="BK1299" i="2"/>
  <c r="BK190" i="2"/>
  <c r="J1572" i="2"/>
  <c r="BK1222" i="2"/>
  <c r="J1403" i="2"/>
  <c r="J180" i="2"/>
  <c r="BK654" i="2"/>
  <c r="J190" i="2"/>
  <c r="BK929" i="2"/>
  <c r="J1395" i="2"/>
  <c r="J170" i="2"/>
  <c r="BK145" i="3"/>
  <c r="J145" i="3"/>
  <c r="BK411" i="3"/>
  <c r="BK250" i="3"/>
  <c r="J169" i="3"/>
  <c r="BK206" i="4"/>
  <c r="BK134" i="4"/>
  <c r="BK223" i="5"/>
  <c r="J133" i="5"/>
  <c r="J115" i="6"/>
  <c r="J102" i="7"/>
  <c r="J164" i="9"/>
  <c r="BK204" i="10"/>
  <c r="BK120" i="10"/>
  <c r="BK148" i="11"/>
  <c r="BK163" i="12"/>
  <c r="J132" i="13"/>
  <c r="J134" i="14"/>
  <c r="BK112" i="15"/>
  <c r="BK143" i="16"/>
  <c r="J271" i="18"/>
  <c r="BK250" i="18"/>
  <c r="J316" i="18"/>
  <c r="BK210" i="18"/>
  <c r="BK264" i="18"/>
  <c r="BK221" i="19"/>
  <c r="BK120" i="19"/>
  <c r="J215" i="19"/>
  <c r="BK176" i="19"/>
  <c r="J106" i="19"/>
  <c r="BK163" i="20"/>
  <c r="BK136" i="20"/>
  <c r="J159" i="20"/>
  <c r="BK102" i="22"/>
  <c r="BK112" i="24"/>
  <c r="BK126" i="26"/>
  <c r="BK100" i="28"/>
  <c r="BK123" i="31"/>
  <c r="BK116" i="33"/>
  <c r="BK102" i="34"/>
  <c r="J138" i="37"/>
  <c r="BK132" i="38"/>
  <c r="BK99" i="39"/>
  <c r="J138" i="41"/>
  <c r="J105" i="42"/>
  <c r="BK105" i="44"/>
  <c r="BK109" i="45"/>
  <c r="J104" i="47"/>
  <c r="BK108" i="48"/>
  <c r="J90" i="50"/>
  <c r="BK124" i="50"/>
  <c r="BK113" i="51"/>
  <c r="BK228" i="52"/>
  <c r="J276" i="53"/>
  <c r="BK144" i="54"/>
  <c r="BK164" i="55"/>
  <c r="J91" i="55"/>
  <c r="BK95" i="55"/>
  <c r="BK98" i="56"/>
  <c r="J85" i="57"/>
  <c r="BK102" i="58"/>
  <c r="BK87" i="59"/>
  <c r="J1254" i="2"/>
  <c r="J645" i="2"/>
  <c r="BK1143" i="2"/>
  <c r="J144" i="2"/>
  <c r="J854" i="2"/>
  <c r="J1381" i="2"/>
  <c r="BK144" i="2"/>
  <c r="BK820" i="2"/>
  <c r="BK1402" i="2"/>
  <c r="BK1507" i="2"/>
  <c r="BK647" i="2"/>
  <c r="BK877" i="2"/>
  <c r="J224" i="3"/>
  <c r="BK212" i="3"/>
  <c r="BK397" i="3"/>
  <c r="BK369" i="3"/>
  <c r="J308" i="3"/>
  <c r="J267" i="3"/>
  <c r="BK179" i="3"/>
  <c r="J140" i="3"/>
  <c r="BK393" i="3"/>
  <c r="BK275" i="3"/>
  <c r="J343" i="3"/>
  <c r="BK437" i="4"/>
  <c r="BK425" i="4"/>
  <c r="BK453" i="4"/>
  <c r="BK408" i="4"/>
  <c r="J245" i="5"/>
  <c r="BK253" i="5"/>
  <c r="BK157" i="6"/>
  <c r="J155" i="7"/>
  <c r="J106" i="9"/>
  <c r="BK166" i="9"/>
  <c r="BK193" i="10"/>
  <c r="J223" i="10"/>
  <c r="J126" i="11"/>
  <c r="BK178" i="12"/>
  <c r="J183" i="12"/>
  <c r="J110" i="13"/>
  <c r="BK130" i="14"/>
  <c r="BK109" i="15"/>
  <c r="BK112" i="16"/>
  <c r="BK130" i="17"/>
  <c r="J240" i="18"/>
  <c r="BK244" i="18"/>
  <c r="J250" i="18"/>
  <c r="BK198" i="18"/>
  <c r="J126" i="18"/>
  <c r="J150" i="18"/>
  <c r="J332" i="18"/>
  <c r="BK224" i="19"/>
  <c r="BK185" i="19"/>
  <c r="J160" i="19"/>
  <c r="BK220" i="19"/>
  <c r="BK109" i="19"/>
  <c r="J187" i="20"/>
  <c r="BK123" i="20"/>
  <c r="BK103" i="21"/>
  <c r="J112" i="24"/>
  <c r="J106" i="25"/>
  <c r="J106" i="28"/>
  <c r="BK121" i="30"/>
  <c r="J99" i="32"/>
  <c r="J124" i="35"/>
  <c r="J102" i="37"/>
  <c r="BK112" i="39"/>
  <c r="BK100" i="41"/>
  <c r="BK104" i="43"/>
  <c r="BK138" i="45"/>
  <c r="J100" i="46"/>
  <c r="J131" i="48"/>
  <c r="BK98" i="50"/>
  <c r="J132" i="50"/>
  <c r="J232" i="52"/>
  <c r="J130" i="52"/>
  <c r="BK162" i="53"/>
  <c r="J145" i="54"/>
  <c r="BK110" i="55"/>
  <c r="J167" i="55"/>
  <c r="J88" i="55"/>
  <c r="BK105" i="56"/>
  <c r="J89" i="57"/>
  <c r="J134" i="58"/>
  <c r="BK91" i="59"/>
  <c r="BK1188" i="2"/>
  <c r="J1485" i="2"/>
  <c r="BK656" i="2"/>
  <c r="J1227" i="2"/>
  <c r="BK1219" i="2"/>
  <c r="J1477" i="2"/>
  <c r="J142" i="2"/>
  <c r="J1425" i="2"/>
  <c r="J187" i="2"/>
  <c r="BK1179" i="2"/>
  <c r="J279" i="3"/>
  <c r="BK225" i="3"/>
  <c r="J101" i="5"/>
  <c r="BK151" i="6"/>
  <c r="J107" i="7"/>
  <c r="J144" i="9"/>
  <c r="J115" i="9"/>
  <c r="J120" i="10"/>
  <c r="J105" i="10"/>
  <c r="BK175" i="11"/>
  <c r="J149" i="12"/>
  <c r="J138" i="15"/>
  <c r="J146" i="16"/>
  <c r="BK99" i="16"/>
  <c r="J287" i="18"/>
  <c r="BK253" i="18"/>
  <c r="J309" i="18"/>
  <c r="J296" i="18"/>
  <c r="BK280" i="18"/>
  <c r="BK218" i="18"/>
  <c r="BK256" i="18"/>
  <c r="BK158" i="18"/>
  <c r="J208" i="19"/>
  <c r="J152" i="19"/>
  <c r="BK240" i="19"/>
  <c r="J155" i="19"/>
  <c r="J125" i="19"/>
  <c r="J130" i="20"/>
  <c r="J116" i="20"/>
  <c r="J132" i="21"/>
  <c r="J123" i="24"/>
  <c r="BK121" i="27"/>
  <c r="BK105" i="28"/>
  <c r="J115" i="31"/>
  <c r="J100" i="33"/>
  <c r="J110" i="35"/>
  <c r="BK106" i="37"/>
  <c r="BK100" i="39"/>
  <c r="J129" i="41"/>
  <c r="BK123" i="43"/>
  <c r="J124" i="44"/>
  <c r="J133" i="45"/>
  <c r="BK115" i="47"/>
  <c r="J100" i="49"/>
  <c r="BK96" i="50"/>
  <c r="BK132" i="50"/>
  <c r="J104" i="51"/>
  <c r="J193" i="52"/>
  <c r="BK270" i="53"/>
  <c r="BK142" i="54"/>
  <c r="J86" i="55"/>
  <c r="BK176" i="55"/>
  <c r="BK116" i="55"/>
  <c r="BK114" i="56"/>
  <c r="J141" i="58"/>
  <c r="BK97" i="58"/>
  <c r="J85" i="59"/>
  <c r="BK1405" i="2"/>
  <c r="BK658" i="2"/>
  <c r="BK1339" i="2"/>
  <c r="J1565" i="2"/>
  <c r="J1301" i="2"/>
  <c r="BK1398" i="2"/>
  <c r="BK1438" i="2"/>
  <c r="J648" i="2"/>
  <c r="J1481" i="2"/>
  <c r="J1181" i="2"/>
  <c r="J1487" i="2"/>
  <c r="BK860" i="2"/>
  <c r="J287" i="3"/>
  <c r="J438" i="3"/>
  <c r="J355" i="3"/>
  <c r="BK171" i="3"/>
  <c r="BK352" i="3"/>
  <c r="J412" i="4"/>
  <c r="BK313" i="4"/>
  <c r="J99" i="4"/>
  <c r="BK155" i="4"/>
  <c r="J222" i="4"/>
  <c r="J109" i="5"/>
  <c r="J150" i="7"/>
  <c r="J152" i="9"/>
  <c r="BK115" i="9"/>
  <c r="J159" i="10"/>
  <c r="J187" i="10"/>
  <c r="J98" i="13"/>
  <c r="J112" i="14"/>
  <c r="J118" i="16"/>
  <c r="J135" i="17"/>
  <c r="J257" i="18"/>
  <c r="BK248" i="18"/>
  <c r="BK346" i="18"/>
  <c r="J355" i="18"/>
  <c r="BK237" i="19"/>
  <c r="J133" i="19"/>
  <c r="BK229" i="19"/>
  <c r="BK121" i="19"/>
  <c r="J99" i="19"/>
  <c r="BK189" i="20"/>
  <c r="BK193" i="20"/>
  <c r="J115" i="23"/>
  <c r="BK121" i="26"/>
  <c r="BK105" i="30"/>
  <c r="BK121" i="33"/>
  <c r="BK119" i="36"/>
  <c r="J132" i="38"/>
  <c r="J103" i="39"/>
  <c r="BK126" i="42"/>
  <c r="J130" i="44"/>
  <c r="J136" i="45"/>
  <c r="BK101" i="48"/>
  <c r="BK103" i="49"/>
  <c r="J117" i="50"/>
  <c r="BK101" i="50"/>
  <c r="J171" i="52"/>
  <c r="J188" i="52"/>
  <c r="BK196" i="53"/>
  <c r="J98" i="54"/>
  <c r="BK151" i="55"/>
  <c r="J181" i="55"/>
  <c r="BK91" i="56"/>
  <c r="J89" i="56"/>
  <c r="BK131" i="58"/>
  <c r="BK86" i="60"/>
  <c r="J875" i="2"/>
  <c r="J1417" i="2"/>
  <c r="BK633" i="2"/>
  <c r="BK1397" i="2"/>
  <c r="J1418" i="2"/>
  <c r="J189" i="2"/>
  <c r="BK686" i="2"/>
  <c r="J341" i="2"/>
  <c r="J1396" i="2"/>
  <c r="J433" i="4"/>
  <c r="J425" i="4"/>
  <c r="J202" i="4"/>
  <c r="BK443" i="4"/>
  <c r="BK412" i="4"/>
  <c r="J378" i="4"/>
  <c r="BK284" i="4"/>
  <c r="BK137" i="4"/>
  <c r="J242" i="5"/>
  <c r="J98" i="5"/>
  <c r="BK101" i="5"/>
  <c r="BK179" i="5"/>
  <c r="J135" i="5"/>
  <c r="J239" i="5"/>
  <c r="J194" i="5"/>
  <c r="J110" i="6"/>
  <c r="BK118" i="6"/>
  <c r="J116" i="6"/>
  <c r="BK105" i="6"/>
  <c r="J150" i="6"/>
  <c r="BK107" i="7"/>
  <c r="BK153" i="7"/>
  <c r="BK148" i="7"/>
  <c r="BK110" i="8"/>
  <c r="BK126" i="8"/>
  <c r="J141" i="9"/>
  <c r="J173" i="9"/>
  <c r="J147" i="9"/>
  <c r="BK151" i="9"/>
  <c r="BK99" i="9"/>
  <c r="J189" i="10"/>
  <c r="BK169" i="10"/>
  <c r="BK181" i="10"/>
  <c r="J164" i="10"/>
  <c r="J114" i="11"/>
  <c r="J147" i="12"/>
  <c r="J178" i="12"/>
  <c r="BK138" i="13"/>
  <c r="BK137" i="14"/>
  <c r="BK116" i="15"/>
  <c r="BK109" i="17"/>
  <c r="J241" i="18"/>
  <c r="J232" i="18"/>
  <c r="J181" i="18"/>
  <c r="J202" i="18"/>
  <c r="BK348" i="18"/>
  <c r="J145" i="19"/>
  <c r="J250" i="19"/>
  <c r="J190" i="19"/>
  <c r="J249" i="19"/>
  <c r="J189" i="20"/>
  <c r="J106" i="20"/>
  <c r="J112" i="23"/>
  <c r="J100" i="25"/>
  <c r="J102" i="28"/>
  <c r="J121" i="30"/>
  <c r="BK121" i="32"/>
  <c r="BK112" i="34"/>
  <c r="BK129" i="37"/>
  <c r="J102" i="39"/>
  <c r="BK134" i="41"/>
  <c r="BK130" i="43"/>
  <c r="J101" i="44"/>
  <c r="J124" i="47"/>
  <c r="BK124" i="48"/>
  <c r="BK122" i="50"/>
  <c r="J223" i="52"/>
  <c r="BK136" i="52"/>
  <c r="J92" i="54"/>
  <c r="BK93" i="55"/>
  <c r="J177" i="55"/>
  <c r="BK175" i="55"/>
  <c r="J134" i="56"/>
  <c r="BK99" i="56"/>
  <c r="J97" i="58"/>
  <c r="BK139" i="58"/>
  <c r="BK1569" i="2"/>
  <c r="J510" i="2"/>
  <c r="J803" i="2"/>
  <c r="J1411" i="2"/>
  <c r="J466" i="2"/>
  <c r="BK172" i="2"/>
  <c r="BK1057" i="2"/>
  <c r="BK1346" i="2"/>
  <c r="J1561" i="2"/>
  <c r="J876" i="2"/>
  <c r="J1285" i="2"/>
  <c r="J405" i="3"/>
  <c r="BK361" i="3"/>
  <c r="J202" i="3"/>
  <c r="BK360" i="3"/>
  <c r="J441" i="4"/>
  <c r="J419" i="4"/>
  <c r="J141" i="4"/>
  <c r="J256" i="4"/>
  <c r="BK115" i="5"/>
  <c r="BK247" i="5"/>
  <c r="J129" i="5"/>
  <c r="J135" i="6"/>
  <c r="BK99" i="8"/>
  <c r="J197" i="10"/>
  <c r="J158" i="11"/>
  <c r="J143" i="11"/>
  <c r="J153" i="12"/>
  <c r="BK107" i="13"/>
  <c r="BK152" i="14"/>
  <c r="J140" i="15"/>
  <c r="J103" i="15"/>
  <c r="J103" i="17"/>
  <c r="J210" i="18"/>
  <c r="J248" i="18"/>
  <c r="J270" i="18"/>
  <c r="BK278" i="18"/>
  <c r="BK229" i="18"/>
  <c r="J213" i="18"/>
  <c r="J147" i="18"/>
  <c r="J157" i="19"/>
  <c r="J232" i="19"/>
  <c r="BK99" i="19"/>
  <c r="BK234" i="19"/>
  <c r="BK161" i="20"/>
  <c r="BK131" i="20"/>
  <c r="J129" i="20"/>
  <c r="BK123" i="24"/>
  <c r="BK106" i="26"/>
  <c r="J123" i="28"/>
  <c r="J99" i="29"/>
  <c r="BK107" i="32"/>
  <c r="J121" i="34"/>
  <c r="J104" i="36"/>
  <c r="BK134" i="39"/>
  <c r="J113" i="40"/>
  <c r="BK127" i="42"/>
  <c r="BK100" i="44"/>
  <c r="J127" i="46"/>
  <c r="BK113" i="47"/>
  <c r="J124" i="49"/>
  <c r="BK142" i="50"/>
  <c r="J89" i="50"/>
  <c r="J135" i="51"/>
  <c r="J128" i="52"/>
  <c r="J105" i="53"/>
  <c r="BK99" i="54"/>
  <c r="J145" i="55"/>
  <c r="BK141" i="55"/>
  <c r="J92" i="55"/>
  <c r="J96" i="56"/>
  <c r="BK134" i="56"/>
  <c r="J145" i="58"/>
  <c r="BK101" i="58"/>
  <c r="J87" i="59"/>
  <c r="BK1171" i="2"/>
  <c r="J193" i="2"/>
  <c r="J688" i="2"/>
  <c r="J916" i="2"/>
  <c r="J1095" i="2"/>
  <c r="BK1475" i="2"/>
  <c r="BK1406" i="2"/>
  <c r="AS77" i="1"/>
  <c r="BK222" i="4"/>
  <c r="BK485" i="4"/>
  <c r="BK113" i="5"/>
  <c r="BK189" i="5"/>
  <c r="BK111" i="6"/>
  <c r="BK104" i="6"/>
  <c r="J137" i="7"/>
  <c r="J153" i="7"/>
  <c r="J170" i="8"/>
  <c r="J168" i="8"/>
  <c r="J143" i="8"/>
  <c r="J163" i="8"/>
  <c r="BK111" i="8"/>
  <c r="J115" i="8"/>
  <c r="J166" i="9"/>
  <c r="BK217" i="10"/>
  <c r="BK117" i="10"/>
  <c r="J98" i="11"/>
  <c r="BK149" i="12"/>
  <c r="BK149" i="14"/>
  <c r="J134" i="15"/>
  <c r="J148" i="16"/>
  <c r="BK107" i="17"/>
  <c r="J317" i="18"/>
  <c r="BK195" i="18"/>
  <c r="BK247" i="18"/>
  <c r="BK288" i="18"/>
  <c r="BK254" i="18"/>
  <c r="J154" i="18"/>
  <c r="J235" i="19"/>
  <c r="J247" i="19"/>
  <c r="BK106" i="19"/>
  <c r="J225" i="19"/>
  <c r="J201" i="19"/>
  <c r="J222" i="19"/>
  <c r="J165" i="20"/>
  <c r="J95" i="20"/>
  <c r="J111" i="20"/>
  <c r="J115" i="24"/>
  <c r="J105" i="26"/>
  <c r="J100" i="28"/>
  <c r="BK112" i="31"/>
  <c r="J112" i="33"/>
  <c r="BK113" i="36"/>
  <c r="BK131" i="37"/>
  <c r="BK128" i="41"/>
  <c r="J128" i="43"/>
  <c r="J136" i="44"/>
  <c r="BK138" i="46"/>
  <c r="J111" i="47"/>
  <c r="J109" i="49"/>
  <c r="J106" i="50"/>
  <c r="BK113" i="52"/>
  <c r="BK185" i="52"/>
  <c r="J159" i="53"/>
  <c r="BK139" i="54"/>
  <c r="BK102" i="55"/>
  <c r="J147" i="55"/>
  <c r="J89" i="55"/>
  <c r="J92" i="56"/>
  <c r="J148" i="58"/>
  <c r="J109" i="58"/>
  <c r="BK1619" i="2"/>
  <c r="J1057" i="2"/>
  <c r="BK541" i="2"/>
  <c r="J1398" i="2"/>
  <c r="BK129" i="2"/>
  <c r="BK603" i="2"/>
  <c r="J315" i="2"/>
  <c r="J1319" i="2"/>
  <c r="BK1418" i="2"/>
  <c r="J878" i="2"/>
  <c r="BK331" i="3"/>
  <c r="J366" i="3"/>
  <c r="BK229" i="3"/>
  <c r="BK129" i="3"/>
  <c r="BK430" i="3"/>
  <c r="J452" i="4"/>
  <c r="J232" i="4"/>
  <c r="BK378" i="4"/>
  <c r="BK452" i="4"/>
  <c r="J182" i="5"/>
  <c r="BK110" i="6"/>
  <c r="J104" i="7"/>
  <c r="BK172" i="9"/>
  <c r="BK215" i="10"/>
  <c r="BK230" i="10"/>
  <c r="J173" i="11"/>
  <c r="BK144" i="12"/>
  <c r="BK184" i="12"/>
  <c r="J115" i="13"/>
  <c r="J150" i="14"/>
  <c r="J116" i="15"/>
  <c r="J98" i="16"/>
  <c r="J124" i="17"/>
  <c r="BK305" i="18"/>
  <c r="J191" i="18"/>
  <c r="J143" i="18"/>
  <c r="J336" i="18"/>
  <c r="BK353" i="18"/>
  <c r="J348" i="18"/>
  <c r="BK184" i="19"/>
  <c r="J244" i="19"/>
  <c r="J231" i="19"/>
  <c r="BK222" i="19"/>
  <c r="BK146" i="19"/>
  <c r="BK152" i="20"/>
  <c r="BK127" i="20"/>
  <c r="BK184" i="20"/>
  <c r="BK100" i="22"/>
  <c r="J105" i="24"/>
  <c r="J99" i="26"/>
  <c r="J121" i="28"/>
  <c r="BK118" i="31"/>
  <c r="J99" i="33"/>
  <c r="J104" i="35"/>
  <c r="J116" i="37"/>
  <c r="BK114" i="39"/>
  <c r="J127" i="40"/>
  <c r="BK123" i="42"/>
  <c r="BK140" i="44"/>
  <c r="J108" i="45"/>
  <c r="J130" i="47"/>
  <c r="BK104" i="48"/>
  <c r="BK126" i="50"/>
  <c r="BK136" i="50"/>
  <c r="J139" i="52"/>
  <c r="BK237" i="53"/>
  <c r="J297" i="53"/>
  <c r="BK153" i="55"/>
  <c r="BK96" i="55"/>
  <c r="BK181" i="55"/>
  <c r="J117" i="55"/>
  <c r="J87" i="56"/>
  <c r="J91" i="56"/>
  <c r="BK116" i="58"/>
  <c r="BK147" i="58"/>
  <c r="BK86" i="59"/>
  <c r="BK1474" i="2"/>
  <c r="BK466" i="2"/>
  <c r="BK844" i="2"/>
  <c r="J1427" i="2"/>
  <c r="BK584" i="2"/>
  <c r="BK1139" i="2"/>
  <c r="BK1181" i="2"/>
  <c r="J1171" i="2"/>
  <c r="J1503" i="2"/>
  <c r="BK666" i="2"/>
  <c r="J1146" i="2"/>
  <c r="J517" i="2"/>
  <c r="BK234" i="3"/>
  <c r="BK232" i="3"/>
  <c r="BK141" i="3"/>
  <c r="BK340" i="3"/>
  <c r="BK198" i="4"/>
  <c r="BK297" i="4"/>
  <c r="BK241" i="4"/>
  <c r="BK239" i="5"/>
  <c r="BK185" i="5"/>
  <c r="J140" i="6"/>
  <c r="BK147" i="7"/>
  <c r="J101" i="9"/>
  <c r="J167" i="9"/>
  <c r="J151" i="10"/>
  <c r="BK147" i="11"/>
  <c r="J180" i="12"/>
  <c r="BK180" i="12"/>
  <c r="BK128" i="13"/>
  <c r="J156" i="14"/>
  <c r="BK144" i="16"/>
  <c r="J136" i="17"/>
  <c r="BK177" i="18"/>
  <c r="J177" i="18"/>
  <c r="BK180" i="18"/>
  <c r="BK294" i="18"/>
  <c r="J312" i="18"/>
  <c r="BK277" i="18"/>
  <c r="J180" i="18"/>
  <c r="J245" i="19"/>
  <c r="J193" i="19"/>
  <c r="BK160" i="19"/>
  <c r="BK143" i="19"/>
  <c r="BK155" i="19"/>
  <c r="J123" i="20"/>
  <c r="BK107" i="23"/>
  <c r="J121" i="26"/>
  <c r="BK115" i="28"/>
  <c r="BK107" i="30"/>
  <c r="BK102" i="32"/>
  <c r="BK121" i="34"/>
  <c r="BK104" i="36"/>
  <c r="J102" i="38"/>
  <c r="BK115" i="40"/>
  <c r="BK117" i="41"/>
  <c r="J107" i="43"/>
  <c r="BK101" i="45"/>
  <c r="BK109" i="46"/>
  <c r="J117" i="49"/>
  <c r="J122" i="50"/>
  <c r="J129" i="50"/>
  <c r="J128" i="51"/>
  <c r="BK209" i="52"/>
  <c r="BK205" i="52"/>
  <c r="BK103" i="52"/>
  <c r="BK114" i="54"/>
  <c r="BK118" i="54"/>
  <c r="BK177" i="55"/>
  <c r="BK152" i="55"/>
  <c r="BK94" i="55"/>
  <c r="BK86" i="56"/>
  <c r="J114" i="58"/>
  <c r="J149" i="58"/>
  <c r="BK85" i="59"/>
  <c r="J679" i="2"/>
  <c r="J1296" i="2"/>
  <c r="J1401" i="2"/>
  <c r="J176" i="2"/>
  <c r="J196" i="2"/>
  <c r="J1240" i="2"/>
  <c r="J1450" i="2"/>
  <c r="J1478" i="2"/>
  <c r="J850" i="2"/>
  <c r="J1423" i="2"/>
  <c r="J139" i="2"/>
  <c r="J253" i="3"/>
  <c r="J183" i="3"/>
  <c r="BK215" i="3"/>
  <c r="J389" i="3"/>
  <c r="J328" i="3"/>
  <c r="BK283" i="3"/>
  <c r="J185" i="3"/>
  <c r="BK160" i="3"/>
  <c r="BK398" i="3"/>
  <c r="BK285" i="3"/>
  <c r="J174" i="3"/>
  <c r="J149" i="4"/>
  <c r="J303" i="4"/>
  <c r="J129" i="4"/>
  <c r="J115" i="4"/>
  <c r="BK275" i="4"/>
  <c r="J193" i="5"/>
  <c r="J138" i="6"/>
  <c r="J108" i="7"/>
  <c r="J159" i="8"/>
  <c r="BK159" i="9"/>
  <c r="J99" i="10"/>
  <c r="J169" i="10"/>
  <c r="J171" i="11"/>
  <c r="BK106" i="12"/>
  <c r="J171" i="12"/>
  <c r="J133" i="13"/>
  <c r="J103" i="14"/>
  <c r="J107" i="15"/>
  <c r="J104" i="16"/>
  <c r="BK131" i="17"/>
  <c r="BK103" i="18"/>
  <c r="J229" i="18"/>
  <c r="J130" i="18"/>
  <c r="BK318" i="18"/>
  <c r="BK241" i="18"/>
  <c r="BK281" i="18"/>
  <c r="BK238" i="19"/>
  <c r="J135" i="19"/>
  <c r="J238" i="19"/>
  <c r="BK124" i="19"/>
  <c r="J137" i="20"/>
  <c r="BK173" i="20"/>
  <c r="J143" i="20"/>
  <c r="BK126" i="23"/>
  <c r="J121" i="24"/>
  <c r="J102" i="26"/>
  <c r="J112" i="29"/>
  <c r="J105" i="32"/>
  <c r="BK126" i="34"/>
  <c r="BK101" i="36"/>
  <c r="BK107" i="38"/>
  <c r="J108" i="39"/>
  <c r="J128" i="41"/>
  <c r="J99" i="43"/>
  <c r="J127" i="45"/>
  <c r="BK127" i="48"/>
  <c r="BK127" i="49"/>
  <c r="J100" i="50"/>
  <c r="BK92" i="50"/>
  <c r="BK232" i="52"/>
  <c r="BK203" i="52"/>
  <c r="J266" i="53"/>
  <c r="J105" i="54"/>
  <c r="J134" i="55"/>
  <c r="J151" i="55"/>
  <c r="J96" i="55"/>
  <c r="J117" i="56"/>
  <c r="J123" i="56"/>
  <c r="BK103" i="58"/>
  <c r="BK85" i="60"/>
  <c r="BK933" i="2"/>
  <c r="BK972" i="2"/>
  <c r="BK1483" i="2"/>
  <c r="BK1456" i="2"/>
  <c r="J165" i="2"/>
  <c r="BK803" i="2"/>
  <c r="BK1385" i="2"/>
  <c r="J420" i="2"/>
  <c r="J1385" i="2"/>
  <c r="J693" i="2"/>
  <c r="J972" i="2"/>
  <c r="BK168" i="2"/>
  <c r="BK140" i="3"/>
  <c r="BK422" i="3"/>
  <c r="BK238" i="5"/>
  <c r="BK140" i="7"/>
  <c r="BK161" i="8"/>
  <c r="BK106" i="9"/>
  <c r="J126" i="10"/>
  <c r="BK228" i="10"/>
  <c r="BK142" i="11"/>
  <c r="BK161" i="12"/>
  <c r="J123" i="14"/>
  <c r="BK107" i="16"/>
  <c r="J101" i="17"/>
  <c r="BK115" i="17"/>
  <c r="J346" i="18"/>
  <c r="BK211" i="18"/>
  <c r="BK275" i="18"/>
  <c r="BK304" i="18"/>
  <c r="BK316" i="18"/>
  <c r="BK319" i="18"/>
  <c r="J231" i="18"/>
  <c r="BK216" i="19"/>
  <c r="BK159" i="19"/>
  <c r="BK167" i="19"/>
  <c r="J121" i="19"/>
  <c r="J239" i="19"/>
  <c r="J147" i="19"/>
  <c r="BK122" i="20"/>
  <c r="BK138" i="20"/>
  <c r="J109" i="21"/>
  <c r="J99" i="23"/>
  <c r="J115" i="26"/>
  <c r="BK102" i="28"/>
  <c r="BK99" i="31"/>
  <c r="BK115" i="33"/>
  <c r="J113" i="36"/>
  <c r="J114" i="37"/>
  <c r="BK124" i="39"/>
  <c r="J101" i="40"/>
  <c r="J104" i="42"/>
  <c r="BK107" i="43"/>
  <c r="BK105" i="45"/>
  <c r="BK100" i="46"/>
  <c r="J113" i="47"/>
  <c r="J127" i="49"/>
  <c r="J99" i="50"/>
  <c r="J115" i="50"/>
  <c r="BK212" i="52"/>
  <c r="BK169" i="52"/>
  <c r="BK276" i="53"/>
  <c r="BK296" i="53"/>
  <c r="J180" i="55"/>
  <c r="BK168" i="55"/>
  <c r="J125" i="55"/>
  <c r="BK90" i="55"/>
  <c r="BK109" i="56"/>
  <c r="J129" i="56"/>
  <c r="J102" i="58"/>
  <c r="BK112" i="58"/>
  <c r="BK1186" i="2"/>
  <c r="BK139" i="2"/>
  <c r="J654" i="2"/>
  <c r="BK1383" i="2"/>
  <c r="BK1246" i="2"/>
  <c r="BK297" i="2"/>
  <c r="BK728" i="2"/>
  <c r="J918" i="2"/>
  <c r="J1436" i="2"/>
  <c r="BK537" i="2"/>
  <c r="J1230" i="2"/>
  <c r="BK205" i="2"/>
  <c r="BK375" i="3"/>
  <c r="BK251" i="3"/>
  <c r="BK117" i="3"/>
  <c r="J215" i="3"/>
  <c r="BK290" i="4"/>
  <c r="BK163" i="4"/>
  <c r="BK396" i="4"/>
  <c r="BK435" i="4"/>
  <c r="J291" i="4"/>
  <c r="BK444" i="4"/>
  <c r="BK245" i="5"/>
  <c r="J118" i="5"/>
  <c r="BK104" i="7"/>
  <c r="BK150" i="8"/>
  <c r="BK117" i="9"/>
  <c r="J168" i="10"/>
  <c r="BK122" i="11"/>
  <c r="J110" i="14"/>
  <c r="BK115" i="15"/>
  <c r="J144" i="16"/>
  <c r="J245" i="18"/>
  <c r="BK159" i="18"/>
  <c r="J286" i="18"/>
  <c r="J246" i="18"/>
  <c r="J189" i="18"/>
  <c r="J216" i="18"/>
  <c r="BK168" i="19"/>
  <c r="BK211" i="19"/>
  <c r="J200" i="19"/>
  <c r="BK215" i="19"/>
  <c r="BK155" i="20"/>
  <c r="J114" i="20"/>
  <c r="BK98" i="21"/>
  <c r="J100" i="23"/>
  <c r="BK100" i="25"/>
  <c r="BK126" i="28"/>
  <c r="J126" i="31"/>
  <c r="BK99" i="34"/>
  <c r="BK124" i="36"/>
  <c r="J124" i="38"/>
  <c r="BK104" i="40"/>
  <c r="BK113" i="41"/>
  <c r="BK114" i="43"/>
  <c r="J115" i="44"/>
  <c r="J124" i="46"/>
  <c r="BK104" i="47"/>
  <c r="J113" i="49"/>
  <c r="BK127" i="50"/>
  <c r="BK135" i="50"/>
  <c r="BK110" i="52"/>
  <c r="BK263" i="53"/>
  <c r="BK98" i="54"/>
  <c r="J140" i="55"/>
  <c r="BK159" i="55"/>
  <c r="BK150" i="55"/>
  <c r="J100" i="56"/>
  <c r="J130" i="58"/>
  <c r="BK88" i="59"/>
  <c r="J1139" i="2"/>
  <c r="BK878" i="2"/>
  <c r="J1279" i="2"/>
  <c r="J1372" i="2"/>
  <c r="J433" i="2"/>
  <c r="BK1307" i="2"/>
  <c r="BK1410" i="2"/>
  <c r="J1438" i="2"/>
  <c r="BK451" i="2"/>
  <c r="J300" i="2"/>
  <c r="BK112" i="3"/>
  <c r="BK149" i="3"/>
  <c r="BK436" i="3"/>
  <c r="J121" i="3"/>
  <c r="J137" i="3"/>
  <c r="BK505" i="4"/>
  <c r="BK187" i="4"/>
  <c r="BK447" i="4"/>
  <c r="BK392" i="4"/>
  <c r="J404" i="4"/>
  <c r="J418" i="4"/>
  <c r="BK308" i="4"/>
  <c r="J198" i="4"/>
  <c r="J189" i="5"/>
  <c r="BK129" i="5"/>
  <c r="J150" i="5"/>
  <c r="J179" i="5"/>
  <c r="BK197" i="5"/>
  <c r="BK99" i="5"/>
  <c r="BK106" i="5"/>
  <c r="BK130" i="5"/>
  <c r="BK107" i="6"/>
  <c r="J151" i="6"/>
  <c r="BK147" i="6"/>
  <c r="BK99" i="6"/>
  <c r="J100" i="6"/>
  <c r="J121" i="7"/>
  <c r="BK113" i="7"/>
  <c r="J148" i="7"/>
  <c r="J108" i="8"/>
  <c r="J172" i="9"/>
  <c r="BK109" i="9"/>
  <c r="J110" i="9"/>
  <c r="BK164" i="9"/>
  <c r="J217" i="10"/>
  <c r="BK108" i="10"/>
  <c r="BK175" i="10"/>
  <c r="BK229" i="10"/>
  <c r="J115" i="11"/>
  <c r="J137" i="11"/>
  <c r="J184" i="12"/>
  <c r="BK99" i="13"/>
  <c r="J135" i="13"/>
  <c r="BK141" i="14"/>
  <c r="BK126" i="15"/>
  <c r="J103" i="16"/>
  <c r="J272" i="18"/>
  <c r="J261" i="18"/>
  <c r="J334" i="18"/>
  <c r="BK257" i="18"/>
  <c r="J256" i="18"/>
  <c r="J258" i="18"/>
  <c r="J211" i="19"/>
  <c r="J142" i="19"/>
  <c r="BK157" i="19"/>
  <c r="BK188" i="19"/>
  <c r="J171" i="19"/>
  <c r="BK135" i="20"/>
  <c r="BK112" i="22"/>
  <c r="BK107" i="25"/>
  <c r="BK106" i="27"/>
  <c r="J107" i="29"/>
  <c r="J102" i="31"/>
  <c r="J103" i="35"/>
  <c r="BK134" i="37"/>
  <c r="J110" i="39"/>
  <c r="BK109" i="40"/>
  <c r="BK136" i="42"/>
  <c r="BK127" i="45"/>
  <c r="J136" i="46"/>
  <c r="BK115" i="48"/>
  <c r="J93" i="50"/>
  <c r="BK163" i="52"/>
  <c r="J87" i="53"/>
  <c r="J99" i="54"/>
  <c r="BK106" i="55"/>
  <c r="J166" i="55"/>
  <c r="BK134" i="55"/>
  <c r="J121" i="56"/>
  <c r="J139" i="58"/>
  <c r="J91" i="58"/>
  <c r="J85" i="60"/>
  <c r="J860" i="2"/>
  <c r="J1475" i="2"/>
  <c r="J1574" i="2"/>
  <c r="BK303" i="2"/>
  <c r="J890" i="2"/>
  <c r="BK1400" i="2"/>
  <c r="J303" i="2"/>
  <c r="BK318" i="2"/>
  <c r="J1243" i="2"/>
  <c r="BK1479" i="2"/>
  <c r="J283" i="2"/>
  <c r="J411" i="3"/>
  <c r="J116" i="3"/>
  <c r="BK165" i="3"/>
  <c r="BK143" i="3"/>
  <c r="J149" i="3"/>
  <c r="J365" i="4"/>
  <c r="J108" i="4"/>
  <c r="BK422" i="4"/>
  <c r="BK183" i="4"/>
  <c r="J227" i="5"/>
  <c r="BK198" i="5"/>
  <c r="BK102" i="6"/>
  <c r="J118" i="7"/>
  <c r="J166" i="8"/>
  <c r="BK199" i="10"/>
  <c r="J113" i="10"/>
  <c r="BK173" i="10"/>
  <c r="J118" i="11"/>
  <c r="BK110" i="12"/>
  <c r="BK143" i="12"/>
  <c r="BK102" i="13"/>
  <c r="BK121" i="14"/>
  <c r="J126" i="15"/>
  <c r="J115" i="16"/>
  <c r="BK285" i="18"/>
  <c r="BK217" i="18"/>
  <c r="J99" i="18"/>
  <c r="J329" i="18"/>
  <c r="J279" i="18"/>
  <c r="BK113" i="18"/>
  <c r="J344" i="18"/>
  <c r="J134" i="19"/>
  <c r="BK203" i="19"/>
  <c r="J161" i="19"/>
  <c r="J126" i="19"/>
  <c r="BK135" i="19"/>
  <c r="J149" i="20"/>
  <c r="BK149" i="20"/>
  <c r="BK110" i="20"/>
  <c r="J116" i="23"/>
  <c r="J126" i="25"/>
  <c r="J100" i="27"/>
  <c r="BK99" i="30"/>
  <c r="BK106" i="33"/>
  <c r="BK110" i="35"/>
  <c r="J114" i="38"/>
  <c r="J132" i="39"/>
  <c r="BK115" i="41"/>
  <c r="BK129" i="42"/>
  <c r="J109" i="44"/>
  <c r="J130" i="46"/>
  <c r="J138" i="48"/>
  <c r="BK101" i="49"/>
  <c r="J107" i="50"/>
  <c r="J131" i="50"/>
  <c r="BK179" i="52"/>
  <c r="J185" i="52"/>
  <c r="BK240" i="53"/>
  <c r="BK105" i="54"/>
  <c r="J164" i="55"/>
  <c r="BK163" i="55"/>
  <c r="J113" i="55"/>
  <c r="BK91" i="55"/>
  <c r="J136" i="56"/>
  <c r="J88" i="60"/>
  <c r="J623" i="2"/>
  <c r="BK1251" i="2"/>
  <c r="BK142" i="2"/>
  <c r="J488" i="2"/>
  <c r="J764" i="2"/>
  <c r="J1379" i="2"/>
  <c r="J297" i="2"/>
  <c r="BK947" i="2"/>
  <c r="BK1453" i="2"/>
  <c r="BK125" i="2"/>
  <c r="J385" i="3"/>
  <c r="BK334" i="3"/>
  <c r="J176" i="3"/>
  <c r="BK282" i="3"/>
  <c r="J378" i="3"/>
  <c r="J187" i="4"/>
  <c r="J179" i="4"/>
  <c r="BK312" i="4"/>
  <c r="BK112" i="5"/>
  <c r="BK120" i="5"/>
  <c r="J153" i="6"/>
  <c r="J116" i="7"/>
  <c r="BK156" i="7"/>
  <c r="J174" i="8"/>
  <c r="J105" i="8"/>
  <c r="BK159" i="8"/>
  <c r="J104" i="8"/>
  <c r="J123" i="8"/>
  <c r="J99" i="8"/>
  <c r="BK121" i="8"/>
  <c r="BK171" i="9"/>
  <c r="J186" i="10"/>
  <c r="J230" i="10"/>
  <c r="BK173" i="11"/>
  <c r="BK115" i="12"/>
  <c r="BK112" i="14"/>
  <c r="J99" i="15"/>
  <c r="J149" i="16"/>
  <c r="J109" i="17"/>
  <c r="J340" i="18"/>
  <c r="BK326" i="18"/>
  <c r="BK340" i="18"/>
  <c r="J266" i="18"/>
  <c r="J288" i="18"/>
  <c r="J351" i="18"/>
  <c r="J222" i="18"/>
  <c r="J123" i="19"/>
  <c r="BK140" i="19"/>
  <c r="J158" i="19"/>
  <c r="BK244" i="19"/>
  <c r="J127" i="20"/>
  <c r="BK101" i="20"/>
  <c r="J112" i="20"/>
  <c r="J116" i="22"/>
  <c r="BK116" i="24"/>
  <c r="J106" i="26"/>
  <c r="J102" i="29"/>
  <c r="BK118" i="32"/>
  <c r="BK118" i="34"/>
  <c r="BK138" i="37"/>
  <c r="J136" i="40"/>
  <c r="BK134" i="42"/>
  <c r="BK124" i="44"/>
  <c r="J131" i="46"/>
  <c r="J105" i="47"/>
  <c r="J131" i="49"/>
  <c r="BK116" i="50"/>
  <c r="BK139" i="50"/>
  <c r="BK201" i="52"/>
  <c r="J119" i="52"/>
  <c r="BK218" i="53"/>
  <c r="J114" i="54"/>
  <c r="J101" i="55"/>
  <c r="J116" i="55"/>
  <c r="BK137" i="55"/>
  <c r="J131" i="56"/>
  <c r="J104" i="56"/>
  <c r="J98" i="58"/>
  <c r="BK94" i="59"/>
  <c r="J1492" i="2"/>
  <c r="J633" i="2"/>
  <c r="BK135" i="2"/>
  <c r="BK433" i="2"/>
  <c r="BK1351" i="2"/>
  <c r="J674" i="2"/>
  <c r="BK644" i="2"/>
  <c r="J1214" i="2"/>
  <c r="BK511" i="2"/>
  <c r="BK1268" i="2"/>
  <c r="J178" i="2"/>
  <c r="BK420" i="3"/>
  <c r="BK370" i="3"/>
  <c r="J291" i="3"/>
  <c r="J401" i="3"/>
  <c r="J180" i="3"/>
  <c r="BK373" i="4"/>
  <c r="BK115" i="4"/>
  <c r="J427" i="4"/>
  <c r="BK164" i="5"/>
  <c r="BK132" i="5"/>
  <c r="J133" i="6"/>
  <c r="J145" i="7"/>
  <c r="BK167" i="9"/>
  <c r="BK164" i="10"/>
  <c r="BK107" i="10"/>
  <c r="BK209" i="10"/>
  <c r="BK108" i="11"/>
  <c r="BK121" i="12"/>
  <c r="BK135" i="13"/>
  <c r="BK117" i="14"/>
  <c r="BK139" i="15"/>
  <c r="J139" i="16"/>
  <c r="BK328" i="18"/>
  <c r="BK282" i="18"/>
  <c r="J283" i="18"/>
  <c r="BK220" i="18"/>
  <c r="BK110" i="18"/>
  <c r="BK239" i="18"/>
  <c r="J127" i="18"/>
  <c r="J209" i="19"/>
  <c r="J124" i="19"/>
  <c r="J203" i="19"/>
  <c r="J146" i="19"/>
  <c r="BK200" i="19"/>
  <c r="J163" i="20"/>
  <c r="BK177" i="20"/>
  <c r="J134" i="20"/>
  <c r="BK100" i="23"/>
  <c r="J123" i="25"/>
  <c r="BK116" i="28"/>
  <c r="J100" i="30"/>
  <c r="BK115" i="32"/>
  <c r="BK100" i="35"/>
  <c r="BK110" i="37"/>
  <c r="BK103" i="39"/>
  <c r="BK105" i="41"/>
  <c r="BK99" i="43"/>
  <c r="BK131" i="44"/>
  <c r="BK124" i="46"/>
  <c r="J133" i="47"/>
  <c r="J108" i="48"/>
  <c r="J108" i="50"/>
  <c r="J182" i="52"/>
  <c r="BK147" i="52"/>
  <c r="J228" i="52"/>
  <c r="J282" i="53"/>
  <c r="BK145" i="54"/>
  <c r="J122" i="55"/>
  <c r="J123" i="55"/>
  <c r="J144" i="55"/>
  <c r="BK88" i="56"/>
  <c r="BK103" i="56"/>
  <c r="BK128" i="58"/>
  <c r="J106" i="58"/>
  <c r="BK95" i="58"/>
  <c r="J1609" i="2"/>
  <c r="J922" i="2"/>
  <c r="J1456" i="2"/>
  <c r="BK709" i="2"/>
  <c r="BK1305" i="2"/>
  <c r="J1346" i="2"/>
  <c r="J1441" i="2"/>
  <c r="BK740" i="2"/>
  <c r="J908" i="2"/>
  <c r="BK385" i="2"/>
  <c r="BK1118" i="2"/>
  <c r="J1483" i="2"/>
  <c r="J666" i="2"/>
  <c r="J275" i="3"/>
  <c r="BK153" i="3"/>
  <c r="BK385" i="3"/>
  <c r="BK187" i="3"/>
  <c r="J535" i="4"/>
  <c r="J422" i="4"/>
  <c r="BK318" i="4"/>
  <c r="BK123" i="5"/>
  <c r="BK116" i="5"/>
  <c r="J147" i="6"/>
  <c r="BK99" i="7"/>
  <c r="BK155" i="8"/>
  <c r="J146" i="9"/>
  <c r="BK98" i="10"/>
  <c r="J162" i="10"/>
  <c r="BK126" i="11"/>
  <c r="J117" i="12"/>
  <c r="BK152" i="12"/>
  <c r="BK133" i="13"/>
  <c r="J130" i="14"/>
  <c r="BK127" i="15"/>
  <c r="BK121" i="16"/>
  <c r="BK226" i="18"/>
  <c r="BK240" i="18"/>
  <c r="BK251" i="18"/>
  <c r="BK199" i="18"/>
  <c r="BK154" i="18"/>
  <c r="J327" i="18"/>
  <c r="BK182" i="19"/>
  <c r="J113" i="19"/>
  <c r="J252" i="19"/>
  <c r="BK133" i="19"/>
  <c r="BK131" i="19"/>
  <c r="BK124" i="20"/>
  <c r="BK179" i="20"/>
  <c r="BK191" i="20"/>
  <c r="J112" i="21"/>
  <c r="BK121" i="23"/>
  <c r="J121" i="25"/>
  <c r="BK100" i="27"/>
  <c r="BK115" i="30"/>
  <c r="BK123" i="34"/>
  <c r="BK104" i="35"/>
  <c r="BK99" i="37"/>
  <c r="J104" i="39"/>
  <c r="J103" i="41"/>
  <c r="J112" i="43"/>
  <c r="BK140" i="45"/>
  <c r="J108" i="47"/>
  <c r="BK115" i="49"/>
  <c r="BK102" i="50"/>
  <c r="BK100" i="50"/>
  <c r="BK116" i="51"/>
  <c r="J165" i="52"/>
  <c r="BK193" i="52"/>
  <c r="J263" i="53"/>
  <c r="J89" i="54"/>
  <c r="J124" i="55"/>
  <c r="BK183" i="55"/>
  <c r="BK128" i="56"/>
  <c r="BK87" i="56"/>
  <c r="J129" i="58"/>
  <c r="J116" i="58"/>
  <c r="J87" i="60"/>
  <c r="J848" i="2"/>
  <c r="BK1477" i="2"/>
  <c r="BK700" i="2"/>
  <c r="BK1417" i="2"/>
  <c r="BK1416" i="2"/>
  <c r="J695" i="2"/>
  <c r="BK1375" i="2"/>
  <c r="J1179" i="2"/>
  <c r="BK1401" i="2"/>
  <c r="J468" i="2"/>
  <c r="BK1240" i="2"/>
  <c r="J316" i="3"/>
  <c r="BK169" i="3"/>
  <c r="BK147" i="3"/>
  <c r="J416" i="3"/>
  <c r="J361" i="3"/>
  <c r="BK304" i="3"/>
  <c r="J231" i="3"/>
  <c r="J162" i="3"/>
  <c r="BK426" i="3"/>
  <c r="J333" i="3"/>
  <c r="BK364" i="3"/>
  <c r="J228" i="3"/>
  <c r="J246" i="4"/>
  <c r="J273" i="4"/>
  <c r="J265" i="4"/>
  <c r="J159" i="4"/>
  <c r="BK133" i="5"/>
  <c r="J102" i="6"/>
  <c r="BK119" i="6"/>
  <c r="BK170" i="8"/>
  <c r="J169" i="9"/>
  <c r="J166" i="10"/>
  <c r="BK186" i="10"/>
  <c r="BK123" i="10"/>
  <c r="J117" i="11"/>
  <c r="BK98" i="11"/>
  <c r="BK113" i="12"/>
  <c r="BK115" i="13"/>
  <c r="BK133" i="14"/>
  <c r="J113" i="14"/>
  <c r="BK98" i="15"/>
  <c r="J130" i="16"/>
  <c r="J337" i="18"/>
  <c r="BK329" i="18"/>
  <c r="BK209" i="18"/>
  <c r="BK234" i="18"/>
  <c r="J345" i="18"/>
  <c r="BK102" i="18"/>
  <c r="J268" i="18"/>
  <c r="BK163" i="19"/>
  <c r="J210" i="19"/>
  <c r="BK194" i="19"/>
  <c r="J109" i="19"/>
  <c r="J173" i="20"/>
  <c r="J102" i="20"/>
  <c r="J110" i="20"/>
  <c r="BK112" i="21"/>
  <c r="BK105" i="24"/>
  <c r="BK102" i="26"/>
  <c r="J115" i="28"/>
  <c r="BK100" i="30"/>
  <c r="J107" i="32"/>
  <c r="BK113" i="35"/>
  <c r="J134" i="37"/>
  <c r="BK99" i="38"/>
  <c r="BK126" i="40"/>
  <c r="J107" i="41"/>
  <c r="BK111" i="42"/>
  <c r="J111" i="44"/>
  <c r="BK111" i="46"/>
  <c r="J131" i="47"/>
  <c r="BK105" i="49"/>
  <c r="BK133" i="50"/>
  <c r="BK128" i="50"/>
  <c r="J109" i="51"/>
  <c r="J142" i="52"/>
  <c r="J215" i="52"/>
  <c r="BK227" i="53"/>
  <c r="J169" i="55"/>
  <c r="BK99" i="55"/>
  <c r="J173" i="55"/>
  <c r="J126" i="55"/>
  <c r="J94" i="56"/>
  <c r="BK94" i="56"/>
  <c r="BK136" i="58"/>
  <c r="BK110" i="58"/>
  <c r="J1444" i="2"/>
  <c r="J537" i="2"/>
  <c r="BK1214" i="2"/>
  <c r="J1543" i="2"/>
  <c r="BK746" i="2"/>
  <c r="BK1296" i="2"/>
  <c r="BK283" i="2"/>
  <c r="BK910" i="2"/>
  <c r="J1415" i="2"/>
  <c r="BK1543" i="2"/>
  <c r="BK838" i="2"/>
  <c r="J820" i="2"/>
  <c r="J117" i="2"/>
  <c r="J437" i="3"/>
  <c r="J226" i="3"/>
  <c r="J151" i="3"/>
  <c r="J364" i="3"/>
  <c r="BK237" i="3"/>
  <c r="J133" i="3"/>
  <c r="J229" i="3"/>
  <c r="BK289" i="3"/>
  <c r="BK177" i="3"/>
  <c r="J368" i="3"/>
  <c r="BK296" i="3"/>
  <c r="J182" i="3"/>
  <c r="J485" i="4"/>
  <c r="BK291" i="4"/>
  <c r="J163" i="4"/>
  <c r="BK363" i="4"/>
  <c r="BK234" i="4"/>
  <c r="BK427" i="4"/>
  <c r="J245" i="4"/>
  <c r="J505" i="4"/>
  <c r="BK278" i="4"/>
  <c r="J463" i="4"/>
  <c r="J281" i="4"/>
  <c r="J443" i="4"/>
  <c r="BK233" i="4"/>
  <c r="J120" i="5"/>
  <c r="J99" i="5"/>
  <c r="J106" i="5"/>
  <c r="J254" i="5"/>
  <c r="J105" i="6"/>
  <c r="BK150" i="6"/>
  <c r="BK146" i="8"/>
  <c r="BK101" i="9"/>
  <c r="BK112" i="10"/>
  <c r="J215" i="10"/>
  <c r="BK171" i="11"/>
  <c r="BK182" i="12"/>
  <c r="BK136" i="12"/>
  <c r="BK136" i="15"/>
  <c r="BK110" i="16"/>
  <c r="BK133" i="17"/>
  <c r="J214" i="18"/>
  <c r="J292" i="18"/>
  <c r="J290" i="18"/>
  <c r="J220" i="18"/>
  <c r="J338" i="18"/>
  <c r="BK334" i="18"/>
  <c r="BK95" i="18"/>
  <c r="BK350" i="18"/>
  <c r="BK178" i="19"/>
  <c r="BK189" i="19"/>
  <c r="BK212" i="19"/>
  <c r="J169" i="19"/>
  <c r="J108" i="19"/>
  <c r="J114" i="19"/>
  <c r="BK112" i="20"/>
  <c r="J194" i="20"/>
  <c r="J106" i="23"/>
  <c r="BK126" i="25"/>
  <c r="BK121" i="28"/>
  <c r="J99" i="30"/>
  <c r="BK99" i="32"/>
  <c r="J106" i="34"/>
  <c r="J117" i="36"/>
  <c r="BK104" i="38"/>
  <c r="BK105" i="40"/>
  <c r="BK107" i="41"/>
  <c r="BK110" i="43"/>
  <c r="J131" i="44"/>
  <c r="J105" i="46"/>
  <c r="J140" i="48"/>
  <c r="J130" i="50"/>
  <c r="BK94" i="50"/>
  <c r="BK136" i="51"/>
  <c r="J218" i="52"/>
  <c r="J201" i="52"/>
  <c r="J243" i="53"/>
  <c r="J159" i="55"/>
  <c r="J146" i="55"/>
  <c r="J162" i="55"/>
  <c r="J124" i="56"/>
  <c r="BK136" i="56"/>
  <c r="BK94" i="58"/>
  <c r="J142" i="58"/>
  <c r="BK84" i="60"/>
  <c r="BK1597" i="2"/>
  <c r="BK254" i="2"/>
  <c r="J935" i="2"/>
  <c r="J1490" i="2"/>
  <c r="J536" i="2"/>
  <c r="BK1315" i="2"/>
  <c r="BK517" i="2"/>
  <c r="BK1360" i="2"/>
  <c r="J1328" i="2"/>
  <c r="J1413" i="2"/>
  <c r="J773" i="2"/>
  <c r="J1331" i="2"/>
  <c r="J732" i="2"/>
  <c r="J199" i="3"/>
  <c r="J238" i="3"/>
  <c r="BK377" i="3"/>
  <c r="BK316" i="3"/>
  <c r="J177" i="3"/>
  <c r="BK167" i="4"/>
  <c r="J453" i="4"/>
  <c r="J226" i="4"/>
  <c r="BK418" i="4"/>
  <c r="BK458" i="4"/>
  <c r="J298" i="4"/>
  <c r="J159" i="5"/>
  <c r="BK115" i="7"/>
  <c r="BK123" i="9"/>
  <c r="BK154" i="9"/>
  <c r="J98" i="10"/>
  <c r="BK115" i="11"/>
  <c r="J142" i="11"/>
  <c r="BK123" i="14"/>
  <c r="BK115" i="16"/>
  <c r="BK106" i="17"/>
  <c r="BK116" i="18"/>
  <c r="BK216" i="18"/>
  <c r="J167" i="18"/>
  <c r="J109" i="18"/>
  <c r="J273" i="18"/>
  <c r="BK144" i="18"/>
  <c r="BK126" i="19"/>
  <c r="J101" i="19"/>
  <c r="BK137" i="19"/>
  <c r="J107" i="19"/>
  <c r="BK159" i="20"/>
  <c r="J151" i="20"/>
  <c r="J155" i="20"/>
  <c r="J106" i="21"/>
  <c r="BK100" i="24"/>
  <c r="BK105" i="27"/>
  <c r="BK126" i="30"/>
  <c r="BK123" i="32"/>
  <c r="BK122" i="35"/>
  <c r="BK116" i="37"/>
  <c r="BK104" i="39"/>
  <c r="BK131" i="41"/>
  <c r="J108" i="43"/>
  <c r="BK130" i="44"/>
  <c r="J100" i="45"/>
  <c r="J138" i="47"/>
  <c r="J130" i="49"/>
  <c r="J105" i="50"/>
  <c r="BK119" i="50"/>
  <c r="BK99" i="51"/>
  <c r="J157" i="52"/>
  <c r="BK159" i="53"/>
  <c r="BK95" i="54"/>
  <c r="BK113" i="55"/>
  <c r="BK173" i="55"/>
  <c r="BK98" i="55"/>
  <c r="BK122" i="56"/>
  <c r="BK99" i="58"/>
  <c r="BK148" i="58"/>
  <c r="BK1505" i="2"/>
  <c r="BK300" i="2"/>
  <c r="BK1567" i="2"/>
  <c r="J1123" i="2"/>
  <c r="BK627" i="2"/>
  <c r="BK1135" i="2"/>
  <c r="J1105" i="2"/>
  <c r="BK1565" i="2"/>
  <c r="BK922" i="2"/>
  <c r="BK1396" i="2"/>
  <c r="BK510" i="2"/>
  <c r="J205" i="3"/>
  <c r="BK190" i="3"/>
  <c r="BK199" i="3"/>
  <c r="J320" i="3"/>
  <c r="BK302" i="3"/>
  <c r="BK353" i="4"/>
  <c r="J369" i="4"/>
  <c r="J417" i="4"/>
  <c r="J263" i="4"/>
  <c r="J388" i="4"/>
  <c r="BK191" i="10"/>
  <c r="J111" i="11"/>
  <c r="J136" i="12"/>
  <c r="BK98" i="12"/>
  <c r="J101" i="13"/>
  <c r="J121" i="14"/>
  <c r="BK119" i="16"/>
  <c r="J339" i="18"/>
  <c r="J247" i="18"/>
  <c r="J298" i="18"/>
  <c r="J218" i="18"/>
  <c r="J116" i="18"/>
  <c r="J137" i="18"/>
  <c r="BK188" i="18"/>
  <c r="J196" i="19"/>
  <c r="BK217" i="19"/>
  <c r="BK142" i="19"/>
  <c r="J137" i="19"/>
  <c r="BK190" i="20"/>
  <c r="BK157" i="20"/>
  <c r="J102" i="23"/>
  <c r="J112" i="25"/>
  <c r="BK115" i="27"/>
  <c r="BK100" i="29"/>
  <c r="BK112" i="32"/>
  <c r="J105" i="34"/>
  <c r="BK104" i="37"/>
  <c r="J107" i="39"/>
  <c r="J132" i="40"/>
  <c r="J132" i="42"/>
  <c r="BK101" i="44"/>
  <c r="J138" i="46"/>
  <c r="J105" i="48"/>
  <c r="BK117" i="49"/>
  <c r="J96" i="50"/>
  <c r="BK142" i="52"/>
  <c r="J141" i="53"/>
  <c r="J122" i="54"/>
  <c r="J119" i="55"/>
  <c r="J127" i="55"/>
  <c r="BK89" i="56"/>
  <c r="J101" i="56"/>
  <c r="BK122" i="58"/>
  <c r="J86" i="59"/>
  <c r="J995" i="2"/>
  <c r="J135" i="2"/>
  <c r="BK536" i="2"/>
  <c r="J1135" i="2"/>
  <c r="BK1123" i="2"/>
  <c r="J1428" i="2"/>
  <c r="BK1279" i="2"/>
  <c r="BK1427" i="2"/>
  <c r="J306" i="2"/>
  <c r="J795" i="2"/>
  <c r="BK136" i="2"/>
  <c r="BK274" i="3"/>
  <c r="BK253" i="3"/>
  <c r="J194" i="3"/>
  <c r="J420" i="3"/>
  <c r="BK281" i="4"/>
  <c r="J312" i="4"/>
  <c r="BK445" i="4"/>
  <c r="J215" i="5"/>
  <c r="BK184" i="5"/>
  <c r="J145" i="6"/>
  <c r="J111" i="7"/>
  <c r="BK145" i="7"/>
  <c r="BK120" i="9"/>
  <c r="BK168" i="10"/>
  <c r="J152" i="11"/>
  <c r="BK103" i="12"/>
  <c r="J137" i="13"/>
  <c r="J102" i="13"/>
  <c r="J117" i="14"/>
  <c r="J106" i="15"/>
  <c r="BK131" i="16"/>
  <c r="BK270" i="18"/>
  <c r="BK273" i="18"/>
  <c r="J263" i="18"/>
  <c r="BK259" i="18"/>
  <c r="BK104" i="18"/>
  <c r="BK345" i="18"/>
  <c r="J159" i="18"/>
  <c r="J207" i="19"/>
  <c r="BK132" i="19"/>
  <c r="J104" i="19"/>
  <c r="BK130" i="19"/>
  <c r="J109" i="20"/>
  <c r="BK100" i="20"/>
  <c r="BK118" i="21"/>
  <c r="BK115" i="23"/>
  <c r="BK99" i="26"/>
  <c r="BK112" i="28"/>
  <c r="BK121" i="31"/>
  <c r="BK126" i="32"/>
  <c r="J122" i="35"/>
  <c r="BK114" i="37"/>
  <c r="J127" i="38"/>
  <c r="BK136" i="40"/>
  <c r="J125" i="41"/>
  <c r="BK122" i="43"/>
  <c r="BK130" i="45"/>
  <c r="J133" i="46"/>
  <c r="J136" i="48"/>
  <c r="BK93" i="50"/>
  <c r="J111" i="50"/>
  <c r="J133" i="51"/>
  <c r="BK98" i="52"/>
  <c r="J150" i="52"/>
  <c r="BK259" i="53"/>
  <c r="BK150" i="54"/>
  <c r="J137" i="55"/>
  <c r="BK122" i="55"/>
  <c r="J115" i="55"/>
  <c r="BK119" i="56"/>
  <c r="J106" i="56"/>
  <c r="J136" i="58"/>
  <c r="BK92" i="58"/>
  <c r="J97" i="59"/>
  <c r="J792" i="2"/>
  <c r="J1383" i="2"/>
  <c r="J1507" i="2"/>
  <c r="BK646" i="2"/>
  <c r="BK908" i="2"/>
  <c r="BK161" i="2"/>
  <c r="J664" i="2"/>
  <c r="J643" i="2"/>
  <c r="J709" i="2"/>
  <c r="BK905" i="2"/>
  <c r="J393" i="3"/>
  <c r="J298" i="3"/>
  <c r="BK241" i="3"/>
  <c r="BK228" i="3"/>
  <c r="J179" i="3"/>
  <c r="J324" i="4"/>
  <c r="BK99" i="4"/>
  <c r="J290" i="4"/>
  <c r="J127" i="5"/>
  <c r="J128" i="6"/>
  <c r="BK116" i="7"/>
  <c r="BK138" i="7"/>
  <c r="J146" i="7"/>
  <c r="BK157" i="8"/>
  <c r="J161" i="8"/>
  <c r="J121" i="8"/>
  <c r="BK156" i="8"/>
  <c r="J102" i="8"/>
  <c r="J154" i="9"/>
  <c r="J112" i="9"/>
  <c r="J117" i="10"/>
  <c r="BK189" i="10"/>
  <c r="BK106" i="11"/>
  <c r="BK107" i="12"/>
  <c r="J115" i="15"/>
  <c r="BK121" i="15"/>
  <c r="J137" i="17"/>
  <c r="BK261" i="18"/>
  <c r="BK300" i="18"/>
  <c r="BK107" i="18"/>
  <c r="J282" i="18"/>
  <c r="J166" i="18"/>
  <c r="J133" i="18"/>
  <c r="BK108" i="18"/>
  <c r="J141" i="19"/>
  <c r="BK165" i="19"/>
  <c r="J166" i="19"/>
  <c r="BK129" i="19"/>
  <c r="BK110" i="19"/>
  <c r="J93" i="20"/>
  <c r="BK119" i="20"/>
  <c r="J122" i="21"/>
  <c r="BK116" i="23"/>
  <c r="BK107" i="26"/>
  <c r="BK115" i="29"/>
  <c r="J123" i="31"/>
  <c r="J126" i="34"/>
  <c r="J116" i="36"/>
  <c r="J103" i="40"/>
  <c r="J106" i="41"/>
  <c r="BK108" i="43"/>
  <c r="J109" i="45"/>
  <c r="J109" i="47"/>
  <c r="BK117" i="48"/>
  <c r="BK138" i="50"/>
  <c r="J134" i="50"/>
  <c r="BK195" i="52"/>
  <c r="J116" i="52"/>
  <c r="J144" i="54"/>
  <c r="BK144" i="55"/>
  <c r="BK182" i="55"/>
  <c r="BK171" i="55"/>
  <c r="BK158" i="55"/>
  <c r="BK100" i="56"/>
  <c r="BK131" i="56"/>
  <c r="J112" i="58"/>
  <c r="J94" i="59"/>
  <c r="BK1433" i="2"/>
  <c r="AS59" i="1"/>
  <c r="BK1395" i="2"/>
  <c r="BK1472" i="2"/>
  <c r="BK650" i="2"/>
  <c r="J254" i="3"/>
  <c r="BK176" i="3"/>
  <c r="J168" i="3"/>
  <c r="BK326" i="3"/>
  <c r="BK276" i="3"/>
  <c r="BK139" i="4"/>
  <c r="BK237" i="4"/>
  <c r="J330" i="4"/>
  <c r="BK194" i="5"/>
  <c r="BK196" i="5"/>
  <c r="J141" i="6"/>
  <c r="BK165" i="8"/>
  <c r="J99" i="9"/>
  <c r="BK195" i="10"/>
  <c r="J171" i="10"/>
  <c r="BK183" i="12"/>
  <c r="J98" i="12"/>
  <c r="J124" i="13"/>
  <c r="J101" i="14"/>
  <c r="J110" i="15"/>
  <c r="BK103" i="17"/>
  <c r="BK99" i="18"/>
  <c r="BK137" i="18"/>
  <c r="J350" i="18"/>
  <c r="J281" i="18"/>
  <c r="BK176" i="18"/>
  <c r="J143" i="19"/>
  <c r="BK100" i="19"/>
  <c r="J219" i="19"/>
  <c r="BK164" i="19"/>
  <c r="BK230" i="19"/>
  <c r="J136" i="19"/>
  <c r="BK109" i="20"/>
  <c r="BK118" i="20"/>
  <c r="J95" i="21"/>
  <c r="BK105" i="23"/>
  <c r="BK112" i="25"/>
  <c r="BK112" i="29"/>
  <c r="BK106" i="32"/>
  <c r="BK99" i="33"/>
  <c r="J105" i="36"/>
  <c r="BK130" i="38"/>
  <c r="J120" i="40"/>
  <c r="BK103" i="41"/>
  <c r="BK132" i="43"/>
  <c r="BK108" i="44"/>
  <c r="J108" i="46"/>
  <c r="BK133" i="47"/>
  <c r="BK104" i="49"/>
  <c r="BK118" i="50"/>
  <c r="J113" i="51"/>
  <c r="BK116" i="52"/>
  <c r="J176" i="53"/>
  <c r="J108" i="54"/>
  <c r="J183" i="55"/>
  <c r="J175" i="55"/>
  <c r="BK155" i="55"/>
  <c r="BK101" i="55"/>
  <c r="BK132" i="56"/>
  <c r="BK84" i="57"/>
  <c r="BK144" i="58"/>
  <c r="J91" i="60"/>
  <c r="J812" i="2"/>
  <c r="BK1173" i="2"/>
  <c r="BK452" i="2"/>
  <c r="J1120" i="2"/>
  <c r="J1019" i="2"/>
  <c r="J1404" i="2"/>
  <c r="BK1399" i="2"/>
  <c r="BK623" i="2"/>
  <c r="BK1394" i="2"/>
  <c r="BK1439" i="2"/>
  <c r="BK414" i="3"/>
  <c r="BK373" i="3"/>
  <c r="BK365" i="3"/>
  <c r="J304" i="3"/>
  <c r="J163" i="3"/>
  <c r="BK442" i="4"/>
  <c r="BK141" i="4"/>
  <c r="BK364" i="4"/>
  <c r="J135" i="4"/>
  <c r="J121" i="5"/>
  <c r="BK135" i="6"/>
  <c r="BK133" i="7"/>
  <c r="BK104" i="8"/>
  <c r="BK169" i="9"/>
  <c r="J127" i="10"/>
  <c r="BK146" i="10"/>
  <c r="J148" i="11"/>
  <c r="J104" i="12"/>
  <c r="BK108" i="13"/>
  <c r="J105" i="13"/>
  <c r="J113" i="15"/>
  <c r="J107" i="16"/>
  <c r="J99" i="17"/>
  <c r="J291" i="18"/>
  <c r="J117" i="18"/>
  <c r="BK279" i="18"/>
  <c r="J233" i="18"/>
  <c r="J352" i="18"/>
  <c r="J104" i="18"/>
  <c r="BK198" i="19"/>
  <c r="BK254" i="19"/>
  <c r="BK228" i="19"/>
  <c r="BK204" i="19"/>
  <c r="J138" i="20"/>
  <c r="J124" i="20"/>
  <c r="BK105" i="20"/>
  <c r="J102" i="22"/>
  <c r="BK121" i="25"/>
  <c r="J126" i="28"/>
  <c r="J106" i="29"/>
  <c r="J116" i="33"/>
  <c r="BK103" i="35"/>
  <c r="BK100" i="37"/>
  <c r="BK125" i="39"/>
  <c r="BK132" i="40"/>
  <c r="J109" i="42"/>
  <c r="BK112" i="43"/>
  <c r="BK108" i="45"/>
  <c r="J111" i="46"/>
  <c r="BK140" i="48"/>
  <c r="J141" i="50"/>
  <c r="J92" i="50"/>
  <c r="J90" i="51"/>
  <c r="J212" i="52"/>
  <c r="BK133" i="52"/>
  <c r="BK243" i="53"/>
  <c r="BK89" i="54"/>
  <c r="BK161" i="55"/>
  <c r="BK104" i="55"/>
  <c r="BK174" i="55"/>
  <c r="J95" i="56"/>
  <c r="BK115" i="56"/>
  <c r="J99" i="58"/>
  <c r="BK123" i="58"/>
  <c r="BK1563" i="2"/>
  <c r="BK1431" i="2"/>
  <c r="J312" i="2"/>
  <c r="J1219" i="2"/>
  <c r="BK1480" i="2"/>
  <c r="BK854" i="2"/>
  <c r="BK1344" i="2"/>
  <c r="J455" i="2"/>
  <c r="J120" i="2"/>
  <c r="J1076" i="2"/>
  <c r="J1476" i="2"/>
  <c r="J646" i="2"/>
  <c r="BK104" i="3"/>
  <c r="J310" i="3"/>
  <c r="J430" i="3"/>
  <c r="BK372" i="3"/>
  <c r="BK314" i="3"/>
  <c r="J272" i="3"/>
  <c r="BK182" i="3"/>
  <c r="J129" i="3"/>
  <c r="BK368" i="3"/>
  <c r="BK221" i="3"/>
  <c r="J408" i="4"/>
  <c r="BK133" i="4"/>
  <c r="J437" i="4"/>
  <c r="J374" i="4"/>
  <c r="J250" i="5"/>
  <c r="J238" i="5"/>
  <c r="BK141" i="6"/>
  <c r="BK121" i="7"/>
  <c r="J171" i="9"/>
  <c r="BK140" i="9"/>
  <c r="J112" i="10"/>
  <c r="J175" i="10"/>
  <c r="J122" i="11"/>
  <c r="J146" i="12"/>
  <c r="BK110" i="13"/>
  <c r="J104" i="13"/>
  <c r="BK134" i="14"/>
  <c r="J119" i="15"/>
  <c r="J150" i="16"/>
  <c r="J274" i="18"/>
  <c r="J255" i="18"/>
  <c r="BK266" i="18"/>
  <c r="BK272" i="18"/>
  <c r="J260" i="18"/>
  <c r="J275" i="18"/>
  <c r="J353" i="18"/>
  <c r="J207" i="18"/>
  <c r="J199" i="19"/>
  <c r="BK169" i="19"/>
  <c r="J118" i="19"/>
  <c r="J198" i="19"/>
  <c r="J100" i="20"/>
  <c r="BK125" i="20"/>
  <c r="J101" i="20"/>
  <c r="BK118" i="22"/>
  <c r="BK116" i="25"/>
  <c r="J118" i="27"/>
  <c r="J106" i="30"/>
  <c r="J116" i="32"/>
  <c r="BK106" i="34"/>
  <c r="J110" i="37"/>
  <c r="J99" i="38"/>
  <c r="BK134" i="40"/>
  <c r="BK132" i="42"/>
  <c r="BK111" i="44"/>
  <c r="BK103" i="46"/>
  <c r="J115" i="47"/>
  <c r="BK108" i="49"/>
  <c r="J124" i="50"/>
  <c r="J125" i="51"/>
  <c r="BK223" i="52"/>
  <c r="J227" i="53"/>
  <c r="BK126" i="54"/>
  <c r="BK147" i="55"/>
  <c r="BK130" i="55"/>
  <c r="BK140" i="55"/>
  <c r="J126" i="56"/>
  <c r="J146" i="58"/>
  <c r="BK146" i="58"/>
  <c r="BK1572" i="2"/>
  <c r="J360" i="2"/>
  <c r="BK850" i="2"/>
  <c r="J1430" i="2"/>
  <c r="BK1411" i="2"/>
  <c r="BK469" i="2"/>
  <c r="J204" i="2"/>
  <c r="J1479" i="2"/>
  <c r="J879" i="2"/>
  <c r="J1473" i="2"/>
  <c r="BK662" i="2"/>
  <c r="BK333" i="3"/>
  <c r="J141" i="3"/>
  <c r="J223" i="5"/>
  <c r="J111" i="6"/>
  <c r="BK171" i="8"/>
  <c r="J151" i="9"/>
  <c r="BK166" i="10"/>
  <c r="BK159" i="10"/>
  <c r="J169" i="11"/>
  <c r="J118" i="12"/>
  <c r="BK155" i="14"/>
  <c r="BK138" i="15"/>
  <c r="BK113" i="16"/>
  <c r="J113" i="17"/>
  <c r="BK106" i="18"/>
  <c r="BK184" i="18"/>
  <c r="J163" i="18"/>
  <c r="BK120" i="18"/>
  <c r="BK163" i="18"/>
  <c r="BK227" i="18"/>
  <c r="J153" i="19"/>
  <c r="BK115" i="19"/>
  <c r="J173" i="19"/>
  <c r="J140" i="19"/>
  <c r="BK213" i="19"/>
  <c r="J147" i="20"/>
  <c r="BK183" i="20"/>
  <c r="J118" i="21"/>
  <c r="BK102" i="23"/>
  <c r="J118" i="25"/>
  <c r="BK112" i="27"/>
  <c r="BK106" i="30"/>
  <c r="BK112" i="33"/>
  <c r="J103" i="36"/>
  <c r="BK124" i="38"/>
  <c r="BK108" i="40"/>
  <c r="J100" i="41"/>
  <c r="BK109" i="44"/>
  <c r="BK115" i="45"/>
  <c r="J140" i="46"/>
  <c r="J113" i="48"/>
  <c r="J104" i="49"/>
  <c r="BK114" i="50"/>
  <c r="BK140" i="50"/>
  <c r="BK86" i="51"/>
  <c r="J226" i="52"/>
  <c r="BK266" i="53"/>
  <c r="J134" i="54"/>
  <c r="J109" i="55"/>
  <c r="J141" i="55"/>
  <c r="BK109" i="55"/>
  <c r="BK135" i="56"/>
  <c r="BK89" i="57"/>
  <c r="J104" i="58"/>
  <c r="BK96" i="59"/>
  <c r="F72" i="66" l="1"/>
  <c r="M90" i="65"/>
  <c r="F70" i="66"/>
  <c r="L4" i="65"/>
  <c r="L90" i="65" s="1"/>
  <c r="L6" i="65"/>
  <c r="L13" i="65"/>
  <c r="L18" i="65"/>
  <c r="L22" i="65"/>
  <c r="L27" i="65"/>
  <c r="L16" i="65"/>
  <c r="L25" i="65"/>
  <c r="L30" i="65"/>
  <c r="L32" i="65"/>
  <c r="L34" i="65"/>
  <c r="L36" i="65"/>
  <c r="L41" i="65"/>
  <c r="L43" i="65"/>
  <c r="L45" i="65"/>
  <c r="L47" i="65"/>
  <c r="L9" i="65"/>
  <c r="L21" i="65"/>
  <c r="L38" i="65"/>
  <c r="O75" i="65"/>
  <c r="O90" i="65" s="1"/>
  <c r="O77" i="65"/>
  <c r="O79" i="65"/>
  <c r="P81" i="65"/>
  <c r="P90" i="65" s="1"/>
  <c r="N90" i="65"/>
  <c r="T84" i="59"/>
  <c r="P195" i="53"/>
  <c r="P116" i="2"/>
  <c r="P152" i="2"/>
  <c r="BK470" i="2"/>
  <c r="J470" i="2" s="1"/>
  <c r="J68" i="2" s="1"/>
  <c r="R678" i="2"/>
  <c r="T862" i="2"/>
  <c r="P907" i="2"/>
  <c r="R1122" i="2"/>
  <c r="BK1289" i="2"/>
  <c r="J1289" i="2" s="1"/>
  <c r="J76" i="2" s="1"/>
  <c r="P1347" i="2"/>
  <c r="BK1393" i="2"/>
  <c r="J1393" i="2" s="1"/>
  <c r="J81" i="2" s="1"/>
  <c r="P1422" i="2"/>
  <c r="P1440" i="2"/>
  <c r="T1470" i="2"/>
  <c r="R1491" i="2"/>
  <c r="P1562" i="2"/>
  <c r="R1596" i="2"/>
  <c r="T139" i="3"/>
  <c r="T158" i="3"/>
  <c r="P280" i="3"/>
  <c r="BK339" i="3"/>
  <c r="J339" i="3" s="1"/>
  <c r="J72" i="3" s="1"/>
  <c r="P349" i="3"/>
  <c r="P363" i="3"/>
  <c r="BK396" i="3"/>
  <c r="J396" i="3" s="1"/>
  <c r="J76" i="3" s="1"/>
  <c r="BK434" i="3"/>
  <c r="J434" i="3" s="1"/>
  <c r="J78" i="3" s="1"/>
  <c r="BK98" i="4"/>
  <c r="BK140" i="4"/>
  <c r="J140" i="4" s="1"/>
  <c r="J67" i="4" s="1"/>
  <c r="T144" i="4"/>
  <c r="R426" i="4"/>
  <c r="R436" i="4"/>
  <c r="P459" i="4"/>
  <c r="BK114" i="5"/>
  <c r="R109" i="6"/>
  <c r="R109" i="7"/>
  <c r="P109" i="8"/>
  <c r="BK111" i="9"/>
  <c r="J111" i="9"/>
  <c r="J70" i="9" s="1"/>
  <c r="R111" i="10"/>
  <c r="T97" i="11"/>
  <c r="T170" i="11"/>
  <c r="R108" i="12"/>
  <c r="R97" i="13"/>
  <c r="BK134" i="13"/>
  <c r="J134" i="13"/>
  <c r="J71" i="13" s="1"/>
  <c r="BK108" i="14"/>
  <c r="J108" i="14"/>
  <c r="J70" i="14"/>
  <c r="R151" i="14"/>
  <c r="R97" i="15"/>
  <c r="R135" i="15"/>
  <c r="P108" i="16"/>
  <c r="P111" i="17"/>
  <c r="T302" i="18"/>
  <c r="BK349" i="18"/>
  <c r="J349" i="18"/>
  <c r="J70" i="18" s="1"/>
  <c r="R98" i="19"/>
  <c r="R139" i="19"/>
  <c r="P150" i="19"/>
  <c r="P175" i="19"/>
  <c r="R214" i="19"/>
  <c r="R246" i="19"/>
  <c r="BK94" i="20"/>
  <c r="J94" i="20" s="1"/>
  <c r="J65" i="20" s="1"/>
  <c r="BK154" i="20"/>
  <c r="J154" i="20"/>
  <c r="J67" i="20" s="1"/>
  <c r="T181" i="20"/>
  <c r="T90" i="21"/>
  <c r="T89" i="21"/>
  <c r="T88" i="21" s="1"/>
  <c r="R98" i="22"/>
  <c r="BK120" i="22"/>
  <c r="J120" i="22"/>
  <c r="J71" i="22" s="1"/>
  <c r="T98" i="23"/>
  <c r="T120" i="23"/>
  <c r="R114" i="24"/>
  <c r="R97" i="24" s="1"/>
  <c r="R96" i="24" s="1"/>
  <c r="T98" i="25"/>
  <c r="R120" i="25"/>
  <c r="P98" i="26"/>
  <c r="BK120" i="26"/>
  <c r="J120" i="26" s="1"/>
  <c r="J71" i="26" s="1"/>
  <c r="BK98" i="27"/>
  <c r="J98" i="27"/>
  <c r="J69" i="27" s="1"/>
  <c r="T120" i="27"/>
  <c r="T114" i="28"/>
  <c r="BK98" i="29"/>
  <c r="J98" i="29" s="1"/>
  <c r="J69" i="29" s="1"/>
  <c r="R120" i="29"/>
  <c r="BK114" i="30"/>
  <c r="J114" i="30" s="1"/>
  <c r="J70" i="30" s="1"/>
  <c r="T120" i="30"/>
  <c r="T114" i="31"/>
  <c r="P114" i="32"/>
  <c r="R98" i="33"/>
  <c r="P120" i="33"/>
  <c r="BK114" i="34"/>
  <c r="J114" i="34" s="1"/>
  <c r="J70" i="34" s="1"/>
  <c r="P121" i="35"/>
  <c r="T121" i="36"/>
  <c r="T127" i="37"/>
  <c r="T123" i="38"/>
  <c r="P123" i="39"/>
  <c r="T131" i="40"/>
  <c r="R99" i="41"/>
  <c r="T127" i="41"/>
  <c r="T99" i="42"/>
  <c r="BK125" i="42"/>
  <c r="J125" i="42" s="1"/>
  <c r="J71" i="42" s="1"/>
  <c r="P131" i="42"/>
  <c r="R98" i="43"/>
  <c r="T121" i="43"/>
  <c r="T129" i="45"/>
  <c r="P99" i="46"/>
  <c r="R135" i="46"/>
  <c r="T211" i="2"/>
  <c r="BK678" i="2"/>
  <c r="J678" i="2" s="1"/>
  <c r="J69" i="2"/>
  <c r="BK862" i="2"/>
  <c r="J862" i="2" s="1"/>
  <c r="J70" i="2" s="1"/>
  <c r="R862" i="2"/>
  <c r="R907" i="2"/>
  <c r="T1122" i="2"/>
  <c r="P1289" i="2"/>
  <c r="R1393" i="2"/>
  <c r="BK1426" i="2"/>
  <c r="J1426" i="2" s="1"/>
  <c r="J83" i="2" s="1"/>
  <c r="T1426" i="2"/>
  <c r="R1470" i="2"/>
  <c r="P1491" i="2"/>
  <c r="BK1562" i="2"/>
  <c r="J1562" i="2"/>
  <c r="J88" i="2" s="1"/>
  <c r="T1596" i="2"/>
  <c r="R102" i="3"/>
  <c r="P158" i="3"/>
  <c r="BK227" i="3"/>
  <c r="J227" i="3" s="1"/>
  <c r="J69" i="3" s="1"/>
  <c r="T227" i="3"/>
  <c r="T332" i="3"/>
  <c r="P429" i="3"/>
  <c r="P124" i="4"/>
  <c r="P140" i="4"/>
  <c r="BK144" i="4"/>
  <c r="J144" i="4" s="1"/>
  <c r="J69" i="4" s="1"/>
  <c r="BK426" i="4"/>
  <c r="J426" i="4" s="1"/>
  <c r="J71" i="4" s="1"/>
  <c r="P462" i="4"/>
  <c r="T114" i="5"/>
  <c r="BK98" i="6"/>
  <c r="J98" i="6" s="1"/>
  <c r="J69" i="6" s="1"/>
  <c r="BK152" i="6"/>
  <c r="J152" i="6" s="1"/>
  <c r="J71" i="6" s="1"/>
  <c r="BK109" i="7"/>
  <c r="R152" i="7"/>
  <c r="R109" i="8"/>
  <c r="T97" i="9"/>
  <c r="R168" i="9"/>
  <c r="P97" i="10"/>
  <c r="P96" i="10" s="1"/>
  <c r="P225" i="10"/>
  <c r="P110" i="11"/>
  <c r="P97" i="12"/>
  <c r="BK179" i="12"/>
  <c r="J179" i="12" s="1"/>
  <c r="J71" i="12" s="1"/>
  <c r="T103" i="13"/>
  <c r="P97" i="14"/>
  <c r="T151" i="14"/>
  <c r="P111" i="15"/>
  <c r="T97" i="16"/>
  <c r="P145" i="16"/>
  <c r="T111" i="17"/>
  <c r="T267" i="18"/>
  <c r="T289" i="18"/>
  <c r="P299" i="18"/>
  <c r="T342" i="18"/>
  <c r="BK127" i="19"/>
  <c r="J127" i="19"/>
  <c r="J65" i="19"/>
  <c r="BK154" i="19"/>
  <c r="J154" i="19" s="1"/>
  <c r="J68" i="19" s="1"/>
  <c r="T175" i="19"/>
  <c r="BK214" i="19"/>
  <c r="J214" i="19" s="1"/>
  <c r="J72" i="19" s="1"/>
  <c r="BK246" i="19"/>
  <c r="J246" i="19" s="1"/>
  <c r="J74" i="19" s="1"/>
  <c r="BK117" i="20"/>
  <c r="J117" i="20"/>
  <c r="J66" i="20" s="1"/>
  <c r="BK181" i="20"/>
  <c r="J181" i="20"/>
  <c r="J68" i="20"/>
  <c r="T188" i="20"/>
  <c r="T98" i="22"/>
  <c r="T120" i="22"/>
  <c r="P98" i="23"/>
  <c r="R114" i="23"/>
  <c r="T98" i="24"/>
  <c r="T120" i="24"/>
  <c r="R98" i="25"/>
  <c r="BK120" i="25"/>
  <c r="J120" i="25" s="1"/>
  <c r="J71" i="25" s="1"/>
  <c r="T114" i="26"/>
  <c r="BK120" i="27"/>
  <c r="J120" i="27" s="1"/>
  <c r="J71" i="27" s="1"/>
  <c r="P98" i="28"/>
  <c r="T120" i="28"/>
  <c r="P114" i="29"/>
  <c r="BK98" i="30"/>
  <c r="T114" i="30"/>
  <c r="T97" i="30" s="1"/>
  <c r="T96" i="30" s="1"/>
  <c r="R98" i="31"/>
  <c r="R120" i="31"/>
  <c r="T98" i="32"/>
  <c r="R120" i="32"/>
  <c r="T98" i="33"/>
  <c r="T120" i="33"/>
  <c r="R114" i="34"/>
  <c r="T99" i="35"/>
  <c r="R115" i="35"/>
  <c r="BK121" i="36"/>
  <c r="J121" i="36"/>
  <c r="J72" i="36"/>
  <c r="T98" i="37"/>
  <c r="T133" i="37"/>
  <c r="P98" i="38"/>
  <c r="BK129" i="38"/>
  <c r="J129" i="38"/>
  <c r="J71" i="38"/>
  <c r="T98" i="39"/>
  <c r="BK129" i="39"/>
  <c r="J129" i="39" s="1"/>
  <c r="J71" i="39"/>
  <c r="BK99" i="40"/>
  <c r="P131" i="40"/>
  <c r="T99" i="41"/>
  <c r="T98" i="41"/>
  <c r="T97" i="41" s="1"/>
  <c r="T133" i="41"/>
  <c r="R99" i="42"/>
  <c r="R131" i="42"/>
  <c r="BK121" i="43"/>
  <c r="J121" i="43" s="1"/>
  <c r="J70" i="43" s="1"/>
  <c r="P127" i="43"/>
  <c r="P99" i="44"/>
  <c r="P98" i="44" s="1"/>
  <c r="P97" i="44" s="1"/>
  <c r="AU100" i="1" s="1"/>
  <c r="P129" i="44"/>
  <c r="P135" i="44"/>
  <c r="R99" i="45"/>
  <c r="BK129" i="45"/>
  <c r="J129" i="45" s="1"/>
  <c r="J71" i="45" s="1"/>
  <c r="R99" i="46"/>
  <c r="BK135" i="46"/>
  <c r="J135" i="46" s="1"/>
  <c r="J72" i="46" s="1"/>
  <c r="T99" i="47"/>
  <c r="P135" i="47"/>
  <c r="BK99" i="48"/>
  <c r="J99" i="48" s="1"/>
  <c r="J69" i="48" s="1"/>
  <c r="BK135" i="48"/>
  <c r="J135" i="48" s="1"/>
  <c r="J72" i="48" s="1"/>
  <c r="T99" i="49"/>
  <c r="BK129" i="49"/>
  <c r="J129" i="49" s="1"/>
  <c r="J71" i="49" s="1"/>
  <c r="R135" i="49"/>
  <c r="P88" i="50"/>
  <c r="BK107" i="51"/>
  <c r="J107" i="51" s="1"/>
  <c r="J62" i="51" s="1"/>
  <c r="R116" i="2"/>
  <c r="T116" i="2"/>
  <c r="R152" i="2"/>
  <c r="T470" i="2"/>
  <c r="P946" i="2"/>
  <c r="P1318" i="2"/>
  <c r="BK354" i="3"/>
  <c r="J354" i="3"/>
  <c r="J74" i="3"/>
  <c r="P354" i="3"/>
  <c r="R363" i="3"/>
  <c r="BK429" i="3"/>
  <c r="J429" i="3"/>
  <c r="J77" i="3" s="1"/>
  <c r="T434" i="3"/>
  <c r="P98" i="4"/>
  <c r="P97" i="4"/>
  <c r="P274" i="4"/>
  <c r="R462" i="4"/>
  <c r="P114" i="5"/>
  <c r="BK109" i="6"/>
  <c r="J109" i="6" s="1"/>
  <c r="J70" i="6" s="1"/>
  <c r="R98" i="7"/>
  <c r="P152" i="7"/>
  <c r="BK98" i="8"/>
  <c r="J98" i="8" s="1"/>
  <c r="J69" i="8" s="1"/>
  <c r="P167" i="8"/>
  <c r="P97" i="9"/>
  <c r="P168" i="9"/>
  <c r="T97" i="10"/>
  <c r="T225" i="10"/>
  <c r="BK110" i="11"/>
  <c r="J110" i="11" s="1"/>
  <c r="J70" i="11" s="1"/>
  <c r="BK108" i="12"/>
  <c r="J108" i="12" s="1"/>
  <c r="J70" i="12" s="1"/>
  <c r="R103" i="13"/>
  <c r="BK97" i="14"/>
  <c r="J97" i="14"/>
  <c r="J69" i="14" s="1"/>
  <c r="T97" i="14"/>
  <c r="P151" i="14"/>
  <c r="R111" i="15"/>
  <c r="BK97" i="16"/>
  <c r="J97" i="16"/>
  <c r="J69" i="16"/>
  <c r="BK145" i="16"/>
  <c r="J145" i="16" s="1"/>
  <c r="J71" i="16" s="1"/>
  <c r="R97" i="17"/>
  <c r="BK132" i="17"/>
  <c r="J132" i="17" s="1"/>
  <c r="J71" i="17" s="1"/>
  <c r="BK302" i="18"/>
  <c r="J302" i="18"/>
  <c r="J68" i="18" s="1"/>
  <c r="R349" i="18"/>
  <c r="P98" i="19"/>
  <c r="P139" i="19"/>
  <c r="R150" i="19"/>
  <c r="BK187" i="19"/>
  <c r="J187" i="19"/>
  <c r="J70" i="19"/>
  <c r="BK206" i="19"/>
  <c r="J206" i="19"/>
  <c r="J71" i="19"/>
  <c r="T233" i="19"/>
  <c r="R251" i="19"/>
  <c r="T117" i="20"/>
  <c r="R181" i="20"/>
  <c r="R90" i="21"/>
  <c r="R89" i="21" s="1"/>
  <c r="R88" i="21" s="1"/>
  <c r="R120" i="23"/>
  <c r="BK114" i="24"/>
  <c r="J114" i="24" s="1"/>
  <c r="J70" i="24" s="1"/>
  <c r="T114" i="25"/>
  <c r="R98" i="26"/>
  <c r="P120" i="26"/>
  <c r="BK114" i="27"/>
  <c r="J114" i="27"/>
  <c r="J70" i="27" s="1"/>
  <c r="BK114" i="28"/>
  <c r="J114" i="28"/>
  <c r="J70" i="28"/>
  <c r="P98" i="29"/>
  <c r="P97" i="29" s="1"/>
  <c r="P96" i="29" s="1"/>
  <c r="AU85" i="1"/>
  <c r="P120" i="29"/>
  <c r="P98" i="31"/>
  <c r="BK120" i="31"/>
  <c r="J120" i="31"/>
  <c r="J71" i="31"/>
  <c r="BK98" i="32"/>
  <c r="J98" i="32"/>
  <c r="J69" i="32"/>
  <c r="R114" i="32"/>
  <c r="P98" i="33"/>
  <c r="R120" i="33"/>
  <c r="T120" i="34"/>
  <c r="R99" i="35"/>
  <c r="P115" i="35"/>
  <c r="R99" i="36"/>
  <c r="P115" i="36"/>
  <c r="R127" i="37"/>
  <c r="BK98" i="38"/>
  <c r="R123" i="38"/>
  <c r="T123" i="39"/>
  <c r="BK125" i="40"/>
  <c r="J125" i="40" s="1"/>
  <c r="J71" i="40" s="1"/>
  <c r="P99" i="41"/>
  <c r="BK127" i="41"/>
  <c r="J127" i="41" s="1"/>
  <c r="J71" i="41" s="1"/>
  <c r="P99" i="42"/>
  <c r="R125" i="42"/>
  <c r="T98" i="43"/>
  <c r="BK127" i="43"/>
  <c r="J127" i="43"/>
  <c r="J71" i="43" s="1"/>
  <c r="BK99" i="44"/>
  <c r="J99" i="44"/>
  <c r="J69" i="44"/>
  <c r="BK129" i="44"/>
  <c r="J129" i="44" s="1"/>
  <c r="J71" i="44" s="1"/>
  <c r="BK135" i="44"/>
  <c r="J135" i="44" s="1"/>
  <c r="J72" i="44" s="1"/>
  <c r="T99" i="45"/>
  <c r="P129" i="45"/>
  <c r="BK129" i="46"/>
  <c r="J129" i="46" s="1"/>
  <c r="J71" i="46" s="1"/>
  <c r="P135" i="46"/>
  <c r="BK99" i="47"/>
  <c r="J99" i="47" s="1"/>
  <c r="J69" i="47" s="1"/>
  <c r="T129" i="47"/>
  <c r="T129" i="48"/>
  <c r="R99" i="49"/>
  <c r="BK135" i="49"/>
  <c r="J135" i="49"/>
  <c r="J72" i="49" s="1"/>
  <c r="R88" i="50"/>
  <c r="BK85" i="51"/>
  <c r="BK84" i="51"/>
  <c r="T107" i="51"/>
  <c r="BK92" i="52"/>
  <c r="R118" i="52"/>
  <c r="BK156" i="52"/>
  <c r="J156" i="52" s="1"/>
  <c r="J66" i="52" s="1"/>
  <c r="P198" i="52"/>
  <c r="P197" i="52"/>
  <c r="T86" i="53"/>
  <c r="T226" i="53"/>
  <c r="BK117" i="54"/>
  <c r="J117" i="54"/>
  <c r="J62" i="54" s="1"/>
  <c r="BK138" i="54"/>
  <c r="J138" i="54"/>
  <c r="J63" i="54"/>
  <c r="P85" i="55"/>
  <c r="T85" i="55"/>
  <c r="BK135" i="55"/>
  <c r="J135" i="55"/>
  <c r="J64" i="55" s="1"/>
  <c r="BK211" i="2"/>
  <c r="J211" i="2"/>
  <c r="J67" i="2"/>
  <c r="R470" i="2"/>
  <c r="T946" i="2"/>
  <c r="BK1318" i="2"/>
  <c r="J1318" i="2"/>
  <c r="J77" i="2" s="1"/>
  <c r="R1347" i="2"/>
  <c r="P1380" i="2"/>
  <c r="BK1422" i="2"/>
  <c r="J1422" i="2"/>
  <c r="J82" i="2" s="1"/>
  <c r="R1440" i="2"/>
  <c r="P1506" i="2"/>
  <c r="P102" i="3"/>
  <c r="R139" i="3"/>
  <c r="T191" i="3"/>
  <c r="BK280" i="3"/>
  <c r="J280" i="3"/>
  <c r="J70" i="3" s="1"/>
  <c r="R332" i="3"/>
  <c r="BK349" i="3"/>
  <c r="J349" i="3" s="1"/>
  <c r="J73" i="3" s="1"/>
  <c r="T396" i="3"/>
  <c r="T429" i="3"/>
  <c r="R98" i="4"/>
  <c r="T274" i="4"/>
  <c r="T462" i="4"/>
  <c r="R114" i="5"/>
  <c r="P98" i="6"/>
  <c r="P152" i="6"/>
  <c r="T98" i="7"/>
  <c r="T152" i="7"/>
  <c r="R98" i="8"/>
  <c r="T167" i="8"/>
  <c r="BK97" i="9"/>
  <c r="J97" i="9"/>
  <c r="J69" i="9" s="1"/>
  <c r="BK168" i="9"/>
  <c r="J168" i="9"/>
  <c r="J71" i="9"/>
  <c r="BK97" i="10"/>
  <c r="J97" i="10" s="1"/>
  <c r="J69" i="10" s="1"/>
  <c r="BK225" i="10"/>
  <c r="P97" i="11"/>
  <c r="R170" i="11"/>
  <c r="BK97" i="12"/>
  <c r="J97" i="12" s="1"/>
  <c r="J69" i="12" s="1"/>
  <c r="T179" i="12"/>
  <c r="BK103" i="13"/>
  <c r="J103" i="13" s="1"/>
  <c r="J70" i="13" s="1"/>
  <c r="T111" i="15"/>
  <c r="R97" i="16"/>
  <c r="R96" i="16" s="1"/>
  <c r="R95" i="16" s="1"/>
  <c r="R145" i="16"/>
  <c r="T97" i="17"/>
  <c r="T132" i="17"/>
  <c r="BK267" i="18"/>
  <c r="J267" i="18" s="1"/>
  <c r="J65" i="18" s="1"/>
  <c r="BK289" i="18"/>
  <c r="J289" i="18"/>
  <c r="J66" i="18" s="1"/>
  <c r="BK299" i="18"/>
  <c r="J299" i="18"/>
  <c r="J67" i="18" s="1"/>
  <c r="T299" i="18"/>
  <c r="T349" i="18"/>
  <c r="P127" i="19"/>
  <c r="T154" i="19"/>
  <c r="R187" i="19"/>
  <c r="P206" i="19"/>
  <c r="BK233" i="19"/>
  <c r="J233" i="19" s="1"/>
  <c r="J73" i="19" s="1"/>
  <c r="BK251" i="19"/>
  <c r="J251" i="19"/>
  <c r="J75" i="19"/>
  <c r="P94" i="20"/>
  <c r="T154" i="20"/>
  <c r="R188" i="20"/>
  <c r="P90" i="21"/>
  <c r="P89" i="21" s="1"/>
  <c r="P88" i="21" s="1"/>
  <c r="AU76" i="1" s="1"/>
  <c r="P114" i="22"/>
  <c r="BK120" i="23"/>
  <c r="J120" i="23"/>
  <c r="J71" i="23"/>
  <c r="BK98" i="24"/>
  <c r="BK120" i="24"/>
  <c r="J120" i="24"/>
  <c r="J71" i="24"/>
  <c r="BK114" i="25"/>
  <c r="J114" i="25" s="1"/>
  <c r="J70" i="25" s="1"/>
  <c r="T120" i="25"/>
  <c r="T98" i="26"/>
  <c r="R120" i="26"/>
  <c r="R98" i="27"/>
  <c r="P120" i="27"/>
  <c r="R114" i="28"/>
  <c r="T98" i="29"/>
  <c r="T120" i="29"/>
  <c r="R98" i="30"/>
  <c r="P120" i="30"/>
  <c r="P114" i="31"/>
  <c r="T120" i="32"/>
  <c r="P114" i="33"/>
  <c r="P98" i="34"/>
  <c r="P114" i="34"/>
  <c r="R121" i="35"/>
  <c r="BK99" i="36"/>
  <c r="J99" i="36" s="1"/>
  <c r="J69" i="36" s="1"/>
  <c r="BK115" i="36"/>
  <c r="J115" i="36"/>
  <c r="J71" i="36"/>
  <c r="R98" i="37"/>
  <c r="BK133" i="37"/>
  <c r="J133" i="37"/>
  <c r="J71" i="37" s="1"/>
  <c r="R98" i="38"/>
  <c r="P129" i="38"/>
  <c r="P98" i="39"/>
  <c r="R129" i="39"/>
  <c r="P99" i="40"/>
  <c r="T125" i="40"/>
  <c r="R127" i="41"/>
  <c r="BK131" i="42"/>
  <c r="J131" i="42" s="1"/>
  <c r="J72" i="42" s="1"/>
  <c r="BK98" i="43"/>
  <c r="J98" i="43"/>
  <c r="J69" i="43" s="1"/>
  <c r="T127" i="43"/>
  <c r="T135" i="44"/>
  <c r="T98" i="44" s="1"/>
  <c r="T97" i="44" s="1"/>
  <c r="P135" i="45"/>
  <c r="R129" i="47"/>
  <c r="R129" i="48"/>
  <c r="R129" i="49"/>
  <c r="T88" i="50"/>
  <c r="R107" i="51"/>
  <c r="P118" i="52"/>
  <c r="R156" i="52"/>
  <c r="R226" i="53"/>
  <c r="BK85" i="54"/>
  <c r="J85" i="54"/>
  <c r="J61" i="54"/>
  <c r="P138" i="54"/>
  <c r="T100" i="55"/>
  <c r="R129" i="55"/>
  <c r="R85" i="56"/>
  <c r="BK110" i="56"/>
  <c r="J110" i="56" s="1"/>
  <c r="J62" i="56" s="1"/>
  <c r="R118" i="56"/>
  <c r="P133" i="56"/>
  <c r="P83" i="57"/>
  <c r="P82" i="57" s="1"/>
  <c r="P81" i="57" s="1"/>
  <c r="AU113" i="1" s="1"/>
  <c r="P107" i="58"/>
  <c r="R1289" i="2"/>
  <c r="T1289" i="2"/>
  <c r="R1318" i="2"/>
  <c r="BK1380" i="2"/>
  <c r="J1380" i="2" s="1"/>
  <c r="J79" i="2" s="1"/>
  <c r="R1380" i="2"/>
  <c r="T1422" i="2"/>
  <c r="BK1440" i="2"/>
  <c r="J1440" i="2"/>
  <c r="J84" i="2"/>
  <c r="T1506" i="2"/>
  <c r="P1596" i="2"/>
  <c r="BK102" i="3"/>
  <c r="P139" i="3"/>
  <c r="BK191" i="3"/>
  <c r="J191" i="3"/>
  <c r="J68" i="3"/>
  <c r="R227" i="3"/>
  <c r="P332" i="3"/>
  <c r="R124" i="4"/>
  <c r="T140" i="4"/>
  <c r="BK274" i="4"/>
  <c r="J274" i="4" s="1"/>
  <c r="J70" i="4" s="1"/>
  <c r="BK462" i="4"/>
  <c r="J462" i="4"/>
  <c r="J74" i="4" s="1"/>
  <c r="BK97" i="5"/>
  <c r="J97" i="5"/>
  <c r="J69" i="5" s="1"/>
  <c r="T249" i="5"/>
  <c r="R98" i="6"/>
  <c r="R152" i="6"/>
  <c r="BK98" i="7"/>
  <c r="J98" i="7" s="1"/>
  <c r="J69" i="7" s="1"/>
  <c r="T98" i="8"/>
  <c r="R167" i="8"/>
  <c r="R97" i="9"/>
  <c r="T168" i="9"/>
  <c r="R97" i="10"/>
  <c r="R225" i="10"/>
  <c r="T110" i="11"/>
  <c r="T108" i="12"/>
  <c r="P97" i="13"/>
  <c r="R134" i="13"/>
  <c r="T108" i="14"/>
  <c r="T96" i="14"/>
  <c r="T95" i="14" s="1"/>
  <c r="BK97" i="15"/>
  <c r="J97" i="15"/>
  <c r="J69" i="15" s="1"/>
  <c r="BK135" i="15"/>
  <c r="J135" i="15"/>
  <c r="J71" i="15"/>
  <c r="R108" i="16"/>
  <c r="R111" i="17"/>
  <c r="R267" i="18"/>
  <c r="P289" i="18"/>
  <c r="R299" i="18"/>
  <c r="R127" i="19"/>
  <c r="P154" i="19"/>
  <c r="P187" i="19"/>
  <c r="R206" i="19"/>
  <c r="P233" i="19"/>
  <c r="T251" i="19"/>
  <c r="P117" i="20"/>
  <c r="P181" i="20"/>
  <c r="P98" i="22"/>
  <c r="R120" i="22"/>
  <c r="R98" i="23"/>
  <c r="R97" i="23" s="1"/>
  <c r="R96" i="23" s="1"/>
  <c r="P120" i="23"/>
  <c r="R98" i="24"/>
  <c r="R120" i="24"/>
  <c r="BK98" i="25"/>
  <c r="R114" i="25"/>
  <c r="BK114" i="26"/>
  <c r="J114" i="26" s="1"/>
  <c r="J70" i="26" s="1"/>
  <c r="R114" i="27"/>
  <c r="P114" i="28"/>
  <c r="R114" i="29"/>
  <c r="R114" i="30"/>
  <c r="BK98" i="31"/>
  <c r="J98" i="31"/>
  <c r="J69" i="31" s="1"/>
  <c r="R114" i="31"/>
  <c r="BK114" i="32"/>
  <c r="J114" i="32"/>
  <c r="J70" i="32"/>
  <c r="R114" i="33"/>
  <c r="BK120" i="34"/>
  <c r="J120" i="34"/>
  <c r="J71" i="34" s="1"/>
  <c r="BK121" i="35"/>
  <c r="J121" i="35"/>
  <c r="J72" i="35"/>
  <c r="P99" i="36"/>
  <c r="T115" i="36"/>
  <c r="P98" i="37"/>
  <c r="R133" i="37"/>
  <c r="T98" i="38"/>
  <c r="R129" i="38"/>
  <c r="R99" i="40"/>
  <c r="P125" i="40"/>
  <c r="BK133" i="41"/>
  <c r="J133" i="41" s="1"/>
  <c r="J72" i="41" s="1"/>
  <c r="P98" i="43"/>
  <c r="R127" i="43"/>
  <c r="BK135" i="45"/>
  <c r="J135" i="45"/>
  <c r="J72" i="45"/>
  <c r="T135" i="46"/>
  <c r="P129" i="47"/>
  <c r="P123" i="50"/>
  <c r="P85" i="51"/>
  <c r="R131" i="51"/>
  <c r="BK118" i="52"/>
  <c r="J118" i="52"/>
  <c r="J63" i="52"/>
  <c r="T156" i="52"/>
  <c r="P86" i="53"/>
  <c r="T195" i="53"/>
  <c r="P85" i="54"/>
  <c r="T138" i="54"/>
  <c r="R135" i="55"/>
  <c r="T85" i="56"/>
  <c r="T107" i="56"/>
  <c r="P118" i="56"/>
  <c r="BK133" i="56"/>
  <c r="J133" i="56" s="1"/>
  <c r="J64" i="56"/>
  <c r="R89" i="58"/>
  <c r="BK116" i="2"/>
  <c r="BK152" i="2"/>
  <c r="J152" i="2"/>
  <c r="J66" i="2"/>
  <c r="T152" i="2"/>
  <c r="P470" i="2"/>
  <c r="R946" i="2"/>
  <c r="BK1347" i="2"/>
  <c r="J1347" i="2" s="1"/>
  <c r="J78" i="2" s="1"/>
  <c r="P1393" i="2"/>
  <c r="P1426" i="2"/>
  <c r="P1470" i="2"/>
  <c r="BK1491" i="2"/>
  <c r="J1491" i="2"/>
  <c r="J86" i="2" s="1"/>
  <c r="T1491" i="2"/>
  <c r="R1562" i="2"/>
  <c r="BK158" i="3"/>
  <c r="J158" i="3"/>
  <c r="J67" i="3" s="1"/>
  <c r="R158" i="3"/>
  <c r="T280" i="3"/>
  <c r="P339" i="3"/>
  <c r="BK363" i="3"/>
  <c r="J363" i="3"/>
  <c r="J75" i="3"/>
  <c r="P396" i="3"/>
  <c r="P434" i="3"/>
  <c r="T124" i="4"/>
  <c r="R144" i="4"/>
  <c r="T426" i="4"/>
  <c r="P436" i="4"/>
  <c r="T97" i="5"/>
  <c r="P249" i="5"/>
  <c r="P109" i="6"/>
  <c r="P97" i="6" s="1"/>
  <c r="P96" i="6" s="1"/>
  <c r="AU61" i="1"/>
  <c r="P98" i="7"/>
  <c r="BK152" i="7"/>
  <c r="J152" i="7"/>
  <c r="J71" i="7"/>
  <c r="BK109" i="8"/>
  <c r="J109" i="8" s="1"/>
  <c r="J70" i="8" s="1"/>
  <c r="T111" i="9"/>
  <c r="T96" i="9" s="1"/>
  <c r="T95" i="9" s="1"/>
  <c r="BK111" i="10"/>
  <c r="BK97" i="11"/>
  <c r="J97" i="11"/>
  <c r="J69" i="11" s="1"/>
  <c r="BK170" i="11"/>
  <c r="J170" i="11"/>
  <c r="J71" i="11"/>
  <c r="T97" i="12"/>
  <c r="R179" i="12"/>
  <c r="T97" i="13"/>
  <c r="T134" i="13"/>
  <c r="P108" i="14"/>
  <c r="T97" i="15"/>
  <c r="T96" i="15" s="1"/>
  <c r="T95" i="15" s="1"/>
  <c r="T135" i="15"/>
  <c r="P97" i="16"/>
  <c r="T145" i="16"/>
  <c r="P97" i="17"/>
  <c r="R132" i="17"/>
  <c r="P302" i="18"/>
  <c r="P342" i="18"/>
  <c r="BK98" i="19"/>
  <c r="J98" i="19"/>
  <c r="J64" i="19" s="1"/>
  <c r="BK139" i="19"/>
  <c r="J139" i="19"/>
  <c r="J66" i="19"/>
  <c r="BK150" i="19"/>
  <c r="J150" i="19" s="1"/>
  <c r="J67" i="19" s="1"/>
  <c r="BK175" i="19"/>
  <c r="J175" i="19" s="1"/>
  <c r="J69" i="19" s="1"/>
  <c r="P214" i="19"/>
  <c r="P246" i="19"/>
  <c r="R117" i="20"/>
  <c r="BK98" i="22"/>
  <c r="J98" i="22"/>
  <c r="J69" i="22"/>
  <c r="R114" i="22"/>
  <c r="BK114" i="23"/>
  <c r="J114" i="23"/>
  <c r="J70" i="23"/>
  <c r="P98" i="24"/>
  <c r="P120" i="24"/>
  <c r="BK98" i="26"/>
  <c r="J98" i="26"/>
  <c r="J69" i="26" s="1"/>
  <c r="T120" i="26"/>
  <c r="P98" i="27"/>
  <c r="R120" i="27"/>
  <c r="R98" i="28"/>
  <c r="P120" i="28"/>
  <c r="BK114" i="29"/>
  <c r="J114" i="29"/>
  <c r="J70" i="29" s="1"/>
  <c r="P114" i="30"/>
  <c r="T114" i="32"/>
  <c r="BK120" i="33"/>
  <c r="J120" i="33"/>
  <c r="J71" i="33" s="1"/>
  <c r="BK98" i="34"/>
  <c r="J98" i="34"/>
  <c r="J69" i="34" s="1"/>
  <c r="P120" i="34"/>
  <c r="P99" i="35"/>
  <c r="P98" i="35"/>
  <c r="P97" i="35"/>
  <c r="AU91" i="1" s="1"/>
  <c r="T115" i="35"/>
  <c r="R121" i="36"/>
  <c r="BK98" i="37"/>
  <c r="P133" i="37"/>
  <c r="BK123" i="38"/>
  <c r="J123" i="38"/>
  <c r="J70" i="38"/>
  <c r="T129" i="38"/>
  <c r="R98" i="39"/>
  <c r="P129" i="39"/>
  <c r="T99" i="40"/>
  <c r="T98" i="40" s="1"/>
  <c r="T97" i="40" s="1"/>
  <c r="R125" i="40"/>
  <c r="R133" i="41"/>
  <c r="BK99" i="42"/>
  <c r="J99" i="42"/>
  <c r="J69" i="42"/>
  <c r="P125" i="42"/>
  <c r="P121" i="43"/>
  <c r="R99" i="44"/>
  <c r="T129" i="44"/>
  <c r="BK99" i="45"/>
  <c r="J99" i="45" s="1"/>
  <c r="J69" i="45" s="1"/>
  <c r="R135" i="45"/>
  <c r="T129" i="46"/>
  <c r="T135" i="47"/>
  <c r="P99" i="48"/>
  <c r="R135" i="48"/>
  <c r="BK99" i="49"/>
  <c r="J99" i="49" s="1"/>
  <c r="J69" i="49" s="1"/>
  <c r="T129" i="49"/>
  <c r="BK88" i="50"/>
  <c r="R123" i="50"/>
  <c r="P107" i="51"/>
  <c r="T131" i="51"/>
  <c r="T92" i="52"/>
  <c r="P144" i="52"/>
  <c r="R144" i="52"/>
  <c r="R198" i="52"/>
  <c r="R197" i="52" s="1"/>
  <c r="BK226" i="53"/>
  <c r="J226" i="53"/>
  <c r="J64" i="53"/>
  <c r="P117" i="54"/>
  <c r="R138" i="54"/>
  <c r="R85" i="55"/>
  <c r="R100" i="55"/>
  <c r="BK129" i="55"/>
  <c r="J129" i="55" s="1"/>
  <c r="J62" i="55" s="1"/>
  <c r="P129" i="55"/>
  <c r="T129" i="55"/>
  <c r="BK107" i="56"/>
  <c r="J107" i="56"/>
  <c r="J61" i="56"/>
  <c r="P110" i="56"/>
  <c r="T110" i="56"/>
  <c r="R133" i="56"/>
  <c r="BK83" i="57"/>
  <c r="BK82" i="57"/>
  <c r="J82" i="57" s="1"/>
  <c r="J60" i="57" s="1"/>
  <c r="R211" i="2"/>
  <c r="R115" i="2" s="1"/>
  <c r="T678" i="2"/>
  <c r="BK946" i="2"/>
  <c r="J946" i="2"/>
  <c r="J74" i="2"/>
  <c r="BK1122" i="2"/>
  <c r="J1122" i="2" s="1"/>
  <c r="J75" i="2"/>
  <c r="T1318" i="2"/>
  <c r="T1393" i="2"/>
  <c r="R1426" i="2"/>
  <c r="BK1470" i="2"/>
  <c r="J1470" i="2"/>
  <c r="J85" i="2" s="1"/>
  <c r="R1506" i="2"/>
  <c r="BK1596" i="2"/>
  <c r="J1596" i="2" s="1"/>
  <c r="J90" i="2" s="1"/>
  <c r="T102" i="3"/>
  <c r="P191" i="3"/>
  <c r="P227" i="3"/>
  <c r="BK332" i="3"/>
  <c r="J332" i="3" s="1"/>
  <c r="J71" i="3"/>
  <c r="R339" i="3"/>
  <c r="R349" i="3"/>
  <c r="T354" i="3"/>
  <c r="R396" i="3"/>
  <c r="R434" i="3"/>
  <c r="BK124" i="4"/>
  <c r="J124" i="4" s="1"/>
  <c r="J66" i="4" s="1"/>
  <c r="R140" i="4"/>
  <c r="P144" i="4"/>
  <c r="P426" i="4"/>
  <c r="P143" i="4" s="1"/>
  <c r="BK436" i="4"/>
  <c r="J436" i="4" s="1"/>
  <c r="J72" i="4" s="1"/>
  <c r="BK459" i="4"/>
  <c r="J459" i="4" s="1"/>
  <c r="J73" i="4" s="1"/>
  <c r="R459" i="4"/>
  <c r="R97" i="5"/>
  <c r="R249" i="5"/>
  <c r="T109" i="6"/>
  <c r="T109" i="7"/>
  <c r="T97" i="7"/>
  <c r="T96" i="7" s="1"/>
  <c r="P98" i="8"/>
  <c r="BK167" i="8"/>
  <c r="J167" i="8"/>
  <c r="J71" i="8"/>
  <c r="R111" i="9"/>
  <c r="R96" i="9" s="1"/>
  <c r="R95" i="9"/>
  <c r="T111" i="10"/>
  <c r="T96" i="10" s="1"/>
  <c r="T95" i="10" s="1"/>
  <c r="R97" i="11"/>
  <c r="P170" i="11"/>
  <c r="P108" i="12"/>
  <c r="P103" i="13"/>
  <c r="R108" i="14"/>
  <c r="P97" i="15"/>
  <c r="P96" i="15" s="1"/>
  <c r="P95" i="15" s="1"/>
  <c r="AU70" i="1" s="1"/>
  <c r="P135" i="15"/>
  <c r="BK108" i="16"/>
  <c r="J108" i="16" s="1"/>
  <c r="J70" i="16" s="1"/>
  <c r="BK97" i="17"/>
  <c r="J97" i="17" s="1"/>
  <c r="J69" i="17" s="1"/>
  <c r="P132" i="17"/>
  <c r="P267" i="18"/>
  <c r="R289" i="18"/>
  <c r="BK342" i="18"/>
  <c r="J342" i="18"/>
  <c r="J69" i="18" s="1"/>
  <c r="R342" i="18"/>
  <c r="T98" i="19"/>
  <c r="T139" i="19"/>
  <c r="T150" i="19"/>
  <c r="R175" i="19"/>
  <c r="T214" i="19"/>
  <c r="T246" i="19"/>
  <c r="R94" i="20"/>
  <c r="P154" i="20"/>
  <c r="BK188" i="20"/>
  <c r="J188" i="20"/>
  <c r="J69" i="20"/>
  <c r="BK90" i="21"/>
  <c r="J90" i="21" s="1"/>
  <c r="J65" i="21"/>
  <c r="T114" i="22"/>
  <c r="P114" i="23"/>
  <c r="T114" i="24"/>
  <c r="P114" i="25"/>
  <c r="P114" i="26"/>
  <c r="T114" i="27"/>
  <c r="BK98" i="28"/>
  <c r="BK120" i="28"/>
  <c r="J120" i="28" s="1"/>
  <c r="J71" i="28" s="1"/>
  <c r="T114" i="29"/>
  <c r="T98" i="30"/>
  <c r="R120" i="30"/>
  <c r="BK114" i="31"/>
  <c r="J114" i="31" s="1"/>
  <c r="J70" i="31" s="1"/>
  <c r="T120" i="31"/>
  <c r="R98" i="32"/>
  <c r="R97" i="32"/>
  <c r="R96" i="32" s="1"/>
  <c r="P120" i="32"/>
  <c r="BK114" i="33"/>
  <c r="J114" i="33" s="1"/>
  <c r="J70" i="33" s="1"/>
  <c r="T98" i="34"/>
  <c r="R120" i="34"/>
  <c r="BK99" i="35"/>
  <c r="J99" i="35" s="1"/>
  <c r="J69" i="35" s="1"/>
  <c r="BK115" i="35"/>
  <c r="J115" i="35" s="1"/>
  <c r="J71" i="35" s="1"/>
  <c r="P121" i="36"/>
  <c r="P127" i="37"/>
  <c r="BK98" i="39"/>
  <c r="R123" i="39"/>
  <c r="R131" i="40"/>
  <c r="P127" i="41"/>
  <c r="T131" i="42"/>
  <c r="R121" i="43"/>
  <c r="T99" i="44"/>
  <c r="R129" i="44"/>
  <c r="R135" i="44"/>
  <c r="P99" i="45"/>
  <c r="P98" i="45" s="1"/>
  <c r="P97" i="45" s="1"/>
  <c r="AU101" i="1" s="1"/>
  <c r="T135" i="45"/>
  <c r="BK99" i="46"/>
  <c r="J99" i="46" s="1"/>
  <c r="J69" i="46" s="1"/>
  <c r="R129" i="46"/>
  <c r="P99" i="47"/>
  <c r="P98" i="47" s="1"/>
  <c r="P97" i="47" s="1"/>
  <c r="AU103" i="1" s="1"/>
  <c r="BK129" i="47"/>
  <c r="J129" i="47" s="1"/>
  <c r="J71" i="47" s="1"/>
  <c r="R135" i="47"/>
  <c r="R98" i="47" s="1"/>
  <c r="R97" i="47" s="1"/>
  <c r="R99" i="48"/>
  <c r="R98" i="48" s="1"/>
  <c r="R97" i="48" s="1"/>
  <c r="BK129" i="48"/>
  <c r="J129" i="48"/>
  <c r="J71" i="48" s="1"/>
  <c r="P135" i="48"/>
  <c r="P99" i="49"/>
  <c r="P129" i="49"/>
  <c r="T135" i="49"/>
  <c r="BK123" i="50"/>
  <c r="J123" i="50"/>
  <c r="J65" i="50"/>
  <c r="R85" i="51"/>
  <c r="R84" i="51" s="1"/>
  <c r="R83" i="51"/>
  <c r="BK131" i="51"/>
  <c r="J131" i="51" s="1"/>
  <c r="J63" i="51" s="1"/>
  <c r="R92" i="52"/>
  <c r="R91" i="52"/>
  <c r="R90" i="52" s="1"/>
  <c r="R89" i="52" s="1"/>
  <c r="BK144" i="52"/>
  <c r="J144" i="52" s="1"/>
  <c r="J64" i="52" s="1"/>
  <c r="P156" i="52"/>
  <c r="BK198" i="52"/>
  <c r="J198" i="52"/>
  <c r="J68" i="52" s="1"/>
  <c r="BK86" i="53"/>
  <c r="P226" i="53"/>
  <c r="R85" i="54"/>
  <c r="R84" i="54" s="1"/>
  <c r="R83" i="54" s="1"/>
  <c r="R117" i="54"/>
  <c r="BK85" i="55"/>
  <c r="J85" i="55" s="1"/>
  <c r="J60" i="55" s="1"/>
  <c r="P100" i="55"/>
  <c r="T135" i="55"/>
  <c r="BK85" i="56"/>
  <c r="R107" i="56"/>
  <c r="BK118" i="56"/>
  <c r="BK84" i="56" s="1"/>
  <c r="J84" i="56" s="1"/>
  <c r="T133" i="56"/>
  <c r="R83" i="57"/>
  <c r="R82" i="57"/>
  <c r="R81" i="57"/>
  <c r="BK89" i="58"/>
  <c r="J89" i="58" s="1"/>
  <c r="J61" i="58" s="1"/>
  <c r="T89" i="58"/>
  <c r="P93" i="58"/>
  <c r="T93" i="58"/>
  <c r="R107" i="58"/>
  <c r="P120" i="58"/>
  <c r="T120" i="58"/>
  <c r="P124" i="58"/>
  <c r="BK138" i="58"/>
  <c r="J138" i="58"/>
  <c r="J67" i="58" s="1"/>
  <c r="P211" i="2"/>
  <c r="P678" i="2"/>
  <c r="P115" i="2" s="1"/>
  <c r="P862" i="2"/>
  <c r="BK907" i="2"/>
  <c r="J907" i="2" s="1"/>
  <c r="J73" i="2"/>
  <c r="T907" i="2"/>
  <c r="P1122" i="2"/>
  <c r="T1347" i="2"/>
  <c r="T1380" i="2"/>
  <c r="R1422" i="2"/>
  <c r="T1440" i="2"/>
  <c r="BK1506" i="2"/>
  <c r="J1506" i="2"/>
  <c r="J87" i="2" s="1"/>
  <c r="T1562" i="2"/>
  <c r="BK139" i="3"/>
  <c r="J139" i="3"/>
  <c r="J66" i="3"/>
  <c r="R191" i="3"/>
  <c r="R280" i="3"/>
  <c r="T339" i="3"/>
  <c r="T349" i="3"/>
  <c r="R354" i="3"/>
  <c r="T363" i="3"/>
  <c r="R429" i="3"/>
  <c r="T98" i="4"/>
  <c r="T97" i="4" s="1"/>
  <c r="R274" i="4"/>
  <c r="T436" i="4"/>
  <c r="T459" i="4"/>
  <c r="P97" i="5"/>
  <c r="BK249" i="5"/>
  <c r="J249" i="5"/>
  <c r="J71" i="5"/>
  <c r="T98" i="6"/>
  <c r="T152" i="6"/>
  <c r="P109" i="7"/>
  <c r="P97" i="7" s="1"/>
  <c r="P96" i="7" s="1"/>
  <c r="AU62" i="1" s="1"/>
  <c r="T109" i="8"/>
  <c r="T97" i="8"/>
  <c r="T96" i="8" s="1"/>
  <c r="P111" i="9"/>
  <c r="P96" i="9"/>
  <c r="P95" i="9" s="1"/>
  <c r="AU64" i="1" s="1"/>
  <c r="P111" i="10"/>
  <c r="P95" i="10"/>
  <c r="AU65" i="1" s="1"/>
  <c r="R110" i="11"/>
  <c r="R96" i="11"/>
  <c r="R95" i="11" s="1"/>
  <c r="R97" i="12"/>
  <c r="P179" i="12"/>
  <c r="BK97" i="13"/>
  <c r="J97" i="13"/>
  <c r="J69" i="13" s="1"/>
  <c r="P134" i="13"/>
  <c r="R97" i="14"/>
  <c r="BK151" i="14"/>
  <c r="J151" i="14" s="1"/>
  <c r="J71" i="14" s="1"/>
  <c r="BK111" i="15"/>
  <c r="J111" i="15"/>
  <c r="J70" i="15" s="1"/>
  <c r="T108" i="16"/>
  <c r="T96" i="16"/>
  <c r="T95" i="16" s="1"/>
  <c r="BK111" i="17"/>
  <c r="J111" i="17"/>
  <c r="J70" i="17"/>
  <c r="R302" i="18"/>
  <c r="P349" i="18"/>
  <c r="T127" i="19"/>
  <c r="R154" i="19"/>
  <c r="T187" i="19"/>
  <c r="T206" i="19"/>
  <c r="R233" i="19"/>
  <c r="P251" i="19"/>
  <c r="T94" i="20"/>
  <c r="T91" i="20" s="1"/>
  <c r="R154" i="20"/>
  <c r="P188" i="20"/>
  <c r="BK114" i="22"/>
  <c r="J114" i="22" s="1"/>
  <c r="J70" i="22" s="1"/>
  <c r="P120" i="22"/>
  <c r="BK98" i="23"/>
  <c r="J98" i="23" s="1"/>
  <c r="J69" i="23" s="1"/>
  <c r="T114" i="23"/>
  <c r="P114" i="24"/>
  <c r="P98" i="25"/>
  <c r="AU81" i="1"/>
  <c r="P120" i="25"/>
  <c r="P97" i="25" s="1"/>
  <c r="P96" i="25" s="1"/>
  <c r="R114" i="26"/>
  <c r="T98" i="27"/>
  <c r="T97" i="27" s="1"/>
  <c r="T96" i="27" s="1"/>
  <c r="P114" i="27"/>
  <c r="T98" i="28"/>
  <c r="T97" i="28"/>
  <c r="T96" i="28" s="1"/>
  <c r="R120" i="28"/>
  <c r="R98" i="29"/>
  <c r="R97" i="29" s="1"/>
  <c r="R96" i="29" s="1"/>
  <c r="BK120" i="29"/>
  <c r="J120" i="29"/>
  <c r="J71" i="29"/>
  <c r="P98" i="30"/>
  <c r="P97" i="30" s="1"/>
  <c r="P96" i="30"/>
  <c r="AU86" i="1" s="1"/>
  <c r="BK120" i="30"/>
  <c r="J120" i="30"/>
  <c r="J71" i="30"/>
  <c r="T98" i="31"/>
  <c r="T97" i="31" s="1"/>
  <c r="T96" i="31" s="1"/>
  <c r="P120" i="31"/>
  <c r="P98" i="32"/>
  <c r="P97" i="32" s="1"/>
  <c r="P96" i="32" s="1"/>
  <c r="AU88" i="1" s="1"/>
  <c r="BK120" i="32"/>
  <c r="J120" i="32" s="1"/>
  <c r="J71" i="32" s="1"/>
  <c r="BK98" i="33"/>
  <c r="J98" i="33" s="1"/>
  <c r="J69" i="33" s="1"/>
  <c r="T114" i="33"/>
  <c r="R98" i="34"/>
  <c r="R97" i="34"/>
  <c r="R96" i="34" s="1"/>
  <c r="T114" i="34"/>
  <c r="T121" i="35"/>
  <c r="T99" i="36"/>
  <c r="T98" i="36" s="1"/>
  <c r="T97" i="36" s="1"/>
  <c r="R115" i="36"/>
  <c r="BK127" i="37"/>
  <c r="J127" i="37" s="1"/>
  <c r="J70" i="37" s="1"/>
  <c r="P123" i="38"/>
  <c r="BK123" i="39"/>
  <c r="J123" i="39" s="1"/>
  <c r="J70" i="39" s="1"/>
  <c r="T129" i="39"/>
  <c r="BK131" i="40"/>
  <c r="J131" i="40" s="1"/>
  <c r="J72" i="40" s="1"/>
  <c r="BK99" i="41"/>
  <c r="J99" i="41" s="1"/>
  <c r="J69" i="41" s="1"/>
  <c r="P133" i="41"/>
  <c r="T125" i="42"/>
  <c r="R129" i="45"/>
  <c r="T99" i="46"/>
  <c r="T98" i="46" s="1"/>
  <c r="T97" i="46" s="1"/>
  <c r="P129" i="46"/>
  <c r="R99" i="47"/>
  <c r="BK135" i="47"/>
  <c r="J135" i="47" s="1"/>
  <c r="J72" i="47" s="1"/>
  <c r="T99" i="48"/>
  <c r="T98" i="48" s="1"/>
  <c r="T97" i="48" s="1"/>
  <c r="P129" i="48"/>
  <c r="T135" i="48"/>
  <c r="P135" i="49"/>
  <c r="T123" i="50"/>
  <c r="T85" i="51"/>
  <c r="T84" i="51"/>
  <c r="T83" i="51" s="1"/>
  <c r="P131" i="51"/>
  <c r="P92" i="52"/>
  <c r="P91" i="52"/>
  <c r="P90" i="52"/>
  <c r="P89" i="52" s="1"/>
  <c r="AU108" i="1" s="1"/>
  <c r="T118" i="52"/>
  <c r="T144" i="52"/>
  <c r="T198" i="52"/>
  <c r="T197" i="52"/>
  <c r="R86" i="53"/>
  <c r="R85" i="53"/>
  <c r="R84" i="53" s="1"/>
  <c r="BK195" i="53"/>
  <c r="J195" i="53"/>
  <c r="J63" i="53" s="1"/>
  <c r="R195" i="53"/>
  <c r="T85" i="54"/>
  <c r="T84" i="54"/>
  <c r="T83" i="54"/>
  <c r="T117" i="54"/>
  <c r="BK100" i="55"/>
  <c r="J100" i="55"/>
  <c r="J61" i="55" s="1"/>
  <c r="P135" i="55"/>
  <c r="P85" i="56"/>
  <c r="P84" i="56"/>
  <c r="AU112" i="1"/>
  <c r="P107" i="56"/>
  <c r="R110" i="56"/>
  <c r="T118" i="56"/>
  <c r="T83" i="57"/>
  <c r="T82" i="57" s="1"/>
  <c r="T81" i="57" s="1"/>
  <c r="P89" i="58"/>
  <c r="P88" i="58"/>
  <c r="BK93" i="58"/>
  <c r="J93" i="58" s="1"/>
  <c r="J62" i="58"/>
  <c r="R93" i="58"/>
  <c r="BK107" i="58"/>
  <c r="J107" i="58"/>
  <c r="J63" i="58"/>
  <c r="T107" i="58"/>
  <c r="BK120" i="58"/>
  <c r="J120" i="58" s="1"/>
  <c r="J65" i="58" s="1"/>
  <c r="R120" i="58"/>
  <c r="R119" i="58" s="1"/>
  <c r="BK124" i="58"/>
  <c r="J124" i="58"/>
  <c r="J66" i="58"/>
  <c r="R124" i="58"/>
  <c r="T124" i="58"/>
  <c r="P138" i="58"/>
  <c r="R138" i="58"/>
  <c r="T138" i="58"/>
  <c r="BK84" i="59"/>
  <c r="J84" i="59"/>
  <c r="J60" i="59"/>
  <c r="P84" i="59"/>
  <c r="R84" i="59"/>
  <c r="BK89" i="59"/>
  <c r="J89" i="59" s="1"/>
  <c r="J61" i="59" s="1"/>
  <c r="P89" i="59"/>
  <c r="R89" i="59"/>
  <c r="T89" i="59"/>
  <c r="BK92" i="59"/>
  <c r="J92" i="59" s="1"/>
  <c r="J62" i="59" s="1"/>
  <c r="P92" i="59"/>
  <c r="R92" i="59"/>
  <c r="T92" i="59"/>
  <c r="BK95" i="59"/>
  <c r="J95" i="59"/>
  <c r="J63" i="59" s="1"/>
  <c r="P95" i="59"/>
  <c r="R95" i="59"/>
  <c r="T95" i="59"/>
  <c r="BK83" i="60"/>
  <c r="J83" i="60"/>
  <c r="J61" i="60"/>
  <c r="P83" i="60"/>
  <c r="P82" i="60" s="1"/>
  <c r="P81" i="60" s="1"/>
  <c r="AU116" i="1"/>
  <c r="R83" i="60"/>
  <c r="R82" i="60" s="1"/>
  <c r="R81" i="60" s="1"/>
  <c r="T83" i="60"/>
  <c r="T82" i="60" s="1"/>
  <c r="T81" i="60" s="1"/>
  <c r="BK158" i="6"/>
  <c r="J158" i="6"/>
  <c r="J72" i="6" s="1"/>
  <c r="BK125" i="26"/>
  <c r="J125" i="26"/>
  <c r="J72" i="26"/>
  <c r="BK125" i="28"/>
  <c r="J125" i="28" s="1"/>
  <c r="J72" i="28" s="1"/>
  <c r="BK125" i="35"/>
  <c r="J125" i="35" s="1"/>
  <c r="J73" i="35" s="1"/>
  <c r="BK137" i="37"/>
  <c r="J137" i="37"/>
  <c r="J72" i="37" s="1"/>
  <c r="BK122" i="40"/>
  <c r="J122" i="40" s="1"/>
  <c r="J70" i="40" s="1"/>
  <c r="BK137" i="41"/>
  <c r="J137" i="41" s="1"/>
  <c r="J73" i="41" s="1"/>
  <c r="BK131" i="43"/>
  <c r="J131" i="43" s="1"/>
  <c r="J72" i="43" s="1"/>
  <c r="BK139" i="45"/>
  <c r="J139" i="45"/>
  <c r="J73" i="45"/>
  <c r="BK904" i="2"/>
  <c r="J904" i="2"/>
  <c r="J71" i="2"/>
  <c r="BK1631" i="2"/>
  <c r="J1631" i="2"/>
  <c r="J92" i="2" s="1"/>
  <c r="BK173" i="8"/>
  <c r="J173" i="8" s="1"/>
  <c r="J72" i="8" s="1"/>
  <c r="BK125" i="32"/>
  <c r="J125" i="32"/>
  <c r="J72" i="32"/>
  <c r="BK139" i="48"/>
  <c r="J139" i="48" s="1"/>
  <c r="J73" i="48" s="1"/>
  <c r="BK92" i="20"/>
  <c r="J92" i="20" s="1"/>
  <c r="J64" i="20" s="1"/>
  <c r="BK125" i="29"/>
  <c r="J125" i="29" s="1"/>
  <c r="J72" i="29" s="1"/>
  <c r="J90" i="32"/>
  <c r="BK126" i="44"/>
  <c r="J126" i="44" s="1"/>
  <c r="J70" i="44" s="1"/>
  <c r="BK139" i="44"/>
  <c r="J139" i="44"/>
  <c r="J73" i="44" s="1"/>
  <c r="BK126" i="47"/>
  <c r="J126" i="47"/>
  <c r="J70" i="47" s="1"/>
  <c r="BK126" i="48"/>
  <c r="J126" i="48" s="1"/>
  <c r="J70" i="48" s="1"/>
  <c r="BK1389" i="2"/>
  <c r="J1389" i="2"/>
  <c r="J80" i="2" s="1"/>
  <c r="BK1573" i="2"/>
  <c r="J1573" i="2"/>
  <c r="J89" i="2" s="1"/>
  <c r="BK125" i="23"/>
  <c r="J125" i="23"/>
  <c r="J72" i="23" s="1"/>
  <c r="BK125" i="24"/>
  <c r="J125" i="24" s="1"/>
  <c r="J72" i="24" s="1"/>
  <c r="BK133" i="38"/>
  <c r="J133" i="38" s="1"/>
  <c r="J72" i="38" s="1"/>
  <c r="BK125" i="25"/>
  <c r="J125" i="25" s="1"/>
  <c r="J72" i="25" s="1"/>
  <c r="BK125" i="31"/>
  <c r="J125" i="31" s="1"/>
  <c r="J72" i="31" s="1"/>
  <c r="BK125" i="33"/>
  <c r="J125" i="33" s="1"/>
  <c r="J72" i="33" s="1"/>
  <c r="BK125" i="34"/>
  <c r="J125" i="34" s="1"/>
  <c r="J72" i="34" s="1"/>
  <c r="BK112" i="35"/>
  <c r="J112" i="35" s="1"/>
  <c r="J70" i="35" s="1"/>
  <c r="BK125" i="36"/>
  <c r="J125" i="36"/>
  <c r="J73" i="36"/>
  <c r="BK124" i="41"/>
  <c r="J124" i="41" s="1"/>
  <c r="J70" i="41" s="1"/>
  <c r="BK139" i="47"/>
  <c r="J139" i="47" s="1"/>
  <c r="J73" i="47" s="1"/>
  <c r="BK131" i="21"/>
  <c r="J131" i="21"/>
  <c r="J66" i="21" s="1"/>
  <c r="BK133" i="39"/>
  <c r="J133" i="39"/>
  <c r="J72" i="39" s="1"/>
  <c r="BK135" i="40"/>
  <c r="J135" i="40"/>
  <c r="J73" i="40" s="1"/>
  <c r="BK135" i="42"/>
  <c r="J135" i="42" s="1"/>
  <c r="J73" i="42" s="1"/>
  <c r="BK126" i="46"/>
  <c r="J126" i="46" s="1"/>
  <c r="J70" i="46" s="1"/>
  <c r="BK126" i="49"/>
  <c r="J126" i="49" s="1"/>
  <c r="J70" i="49" s="1"/>
  <c r="BK139" i="49"/>
  <c r="J139" i="49" s="1"/>
  <c r="J73" i="49" s="1"/>
  <c r="BK153" i="52"/>
  <c r="J153" i="52" s="1"/>
  <c r="J65" i="52" s="1"/>
  <c r="BK190" i="53"/>
  <c r="J190" i="53"/>
  <c r="J62" i="53" s="1"/>
  <c r="BK133" i="55"/>
  <c r="J133" i="55"/>
  <c r="J63" i="55" s="1"/>
  <c r="BK125" i="22"/>
  <c r="J125" i="22"/>
  <c r="J72" i="22" s="1"/>
  <c r="BK125" i="27"/>
  <c r="J125" i="27" s="1"/>
  <c r="J72" i="27" s="1"/>
  <c r="BK112" i="36"/>
  <c r="J112" i="36" s="1"/>
  <c r="J70" i="36" s="1"/>
  <c r="BK122" i="42"/>
  <c r="J122" i="42" s="1"/>
  <c r="J70" i="42" s="1"/>
  <c r="BK139" i="46"/>
  <c r="J139" i="46" s="1"/>
  <c r="J73" i="46" s="1"/>
  <c r="BK231" i="52"/>
  <c r="J231" i="52" s="1"/>
  <c r="J69" i="52" s="1"/>
  <c r="BK158" i="7"/>
  <c r="J158" i="7"/>
  <c r="J72" i="7" s="1"/>
  <c r="BK93" i="18"/>
  <c r="BK92" i="18"/>
  <c r="J92" i="18" s="1"/>
  <c r="BK125" i="30"/>
  <c r="J125" i="30"/>
  <c r="J72" i="30" s="1"/>
  <c r="BK126" i="45"/>
  <c r="J126" i="45" s="1"/>
  <c r="J70" i="45" s="1"/>
  <c r="BE87" i="60"/>
  <c r="BE91" i="60"/>
  <c r="BE92" i="60"/>
  <c r="J52" i="60"/>
  <c r="BE90" i="60"/>
  <c r="BE88" i="60"/>
  <c r="E48" i="60"/>
  <c r="BE86" i="60"/>
  <c r="F78" i="60"/>
  <c r="BE85" i="60"/>
  <c r="BE89" i="60"/>
  <c r="BE84" i="60"/>
  <c r="BK88" i="58"/>
  <c r="J88" i="58"/>
  <c r="J60" i="58" s="1"/>
  <c r="J52" i="59"/>
  <c r="BE88" i="59"/>
  <c r="BE96" i="59"/>
  <c r="F54" i="59"/>
  <c r="F55" i="59"/>
  <c r="BE87" i="59"/>
  <c r="BK119" i="58"/>
  <c r="J119" i="58" s="1"/>
  <c r="J64" i="58" s="1"/>
  <c r="BE85" i="59"/>
  <c r="BE93" i="59"/>
  <c r="E48" i="59"/>
  <c r="BE90" i="59"/>
  <c r="BE91" i="59"/>
  <c r="J55" i="59"/>
  <c r="BE94" i="59"/>
  <c r="J54" i="59"/>
  <c r="BE86" i="59"/>
  <c r="BE97" i="59"/>
  <c r="F55" i="58"/>
  <c r="BE98" i="58"/>
  <c r="BE102" i="58"/>
  <c r="BE103" i="58"/>
  <c r="BE112" i="58"/>
  <c r="BE114" i="58"/>
  <c r="BE116" i="58"/>
  <c r="BE117" i="58"/>
  <c r="BE118" i="58"/>
  <c r="BE121" i="58"/>
  <c r="BE122" i="58"/>
  <c r="BE131" i="58"/>
  <c r="BE133" i="58"/>
  <c r="BE135" i="58"/>
  <c r="BE145" i="58"/>
  <c r="BE148" i="58"/>
  <c r="BE90" i="58"/>
  <c r="BE95" i="58"/>
  <c r="BE109" i="58"/>
  <c r="BE111" i="58"/>
  <c r="J83" i="57"/>
  <c r="J61" i="57" s="1"/>
  <c r="J54" i="58"/>
  <c r="J84" i="58"/>
  <c r="BE125" i="58"/>
  <c r="BE132" i="58"/>
  <c r="BE139" i="58"/>
  <c r="BE141" i="58"/>
  <c r="BE144" i="58"/>
  <c r="BE149" i="58"/>
  <c r="BK81" i="57"/>
  <c r="J81" i="57" s="1"/>
  <c r="J59" i="57" s="1"/>
  <c r="F54" i="58"/>
  <c r="BE94" i="58"/>
  <c r="BE101" i="58"/>
  <c r="BE115" i="58"/>
  <c r="BE123" i="58"/>
  <c r="BE136" i="58"/>
  <c r="BE140" i="58"/>
  <c r="J81" i="58"/>
  <c r="BE96" i="58"/>
  <c r="BE104" i="58"/>
  <c r="BE105" i="58"/>
  <c r="BE106" i="58"/>
  <c r="BE113" i="58"/>
  <c r="BE137" i="58"/>
  <c r="E77" i="58"/>
  <c r="BE97" i="58"/>
  <c r="BE99" i="58"/>
  <c r="BE100" i="58"/>
  <c r="BE108" i="58"/>
  <c r="BE128" i="58"/>
  <c r="BE142" i="58"/>
  <c r="BE146" i="58"/>
  <c r="BE91" i="58"/>
  <c r="BE92" i="58"/>
  <c r="BE126" i="58"/>
  <c r="BE130" i="58"/>
  <c r="BE143" i="58"/>
  <c r="BE110" i="58"/>
  <c r="BE127" i="58"/>
  <c r="BE129" i="58"/>
  <c r="BE134" i="58"/>
  <c r="BE147" i="58"/>
  <c r="J85" i="56"/>
  <c r="J60" i="56"/>
  <c r="E48" i="57"/>
  <c r="J55" i="57"/>
  <c r="J77" i="57"/>
  <c r="BE88" i="57"/>
  <c r="BE84" i="57"/>
  <c r="BE85" i="57"/>
  <c r="J52" i="57"/>
  <c r="F78" i="57"/>
  <c r="BE89" i="57"/>
  <c r="J59" i="56"/>
  <c r="F54" i="57"/>
  <c r="BE87" i="57"/>
  <c r="F80" i="56"/>
  <c r="BE86" i="56"/>
  <c r="BE100" i="56"/>
  <c r="BE101" i="56"/>
  <c r="BE117" i="56"/>
  <c r="BE120" i="56"/>
  <c r="BE128" i="56"/>
  <c r="BE135" i="56"/>
  <c r="J81" i="56"/>
  <c r="BE95" i="56"/>
  <c r="BE96" i="56"/>
  <c r="BE97" i="56"/>
  <c r="BE102" i="56"/>
  <c r="BE103" i="56"/>
  <c r="BE108" i="56"/>
  <c r="BE119" i="56"/>
  <c r="BE123" i="56"/>
  <c r="BE124" i="56"/>
  <c r="BE132" i="56"/>
  <c r="BE136" i="56"/>
  <c r="BE137" i="56"/>
  <c r="F55" i="56"/>
  <c r="BE134" i="56"/>
  <c r="BE90" i="56"/>
  <c r="BE99" i="56"/>
  <c r="BE112" i="56"/>
  <c r="BE113" i="56"/>
  <c r="BE114" i="56"/>
  <c r="BE115" i="56"/>
  <c r="E48" i="56"/>
  <c r="BE89" i="56"/>
  <c r="BE94" i="56"/>
  <c r="BE116" i="56"/>
  <c r="BE122" i="56"/>
  <c r="BE125" i="56"/>
  <c r="BE127" i="56"/>
  <c r="BK84" i="55"/>
  <c r="J84" i="55" s="1"/>
  <c r="J30" i="55" s="1"/>
  <c r="J52" i="56"/>
  <c r="BE92" i="56"/>
  <c r="BE98" i="56"/>
  <c r="BE104" i="56"/>
  <c r="BE105" i="56"/>
  <c r="BE106" i="56"/>
  <c r="BE130" i="56"/>
  <c r="BE88" i="56"/>
  <c r="BE126" i="56"/>
  <c r="BE129" i="56"/>
  <c r="BE87" i="56"/>
  <c r="BE91" i="56"/>
  <c r="BE93" i="56"/>
  <c r="BE109" i="56"/>
  <c r="BE111" i="56"/>
  <c r="BE121" i="56"/>
  <c r="BE131" i="56"/>
  <c r="BK84" i="54"/>
  <c r="J84" i="54" s="1"/>
  <c r="J60" i="54" s="1"/>
  <c r="E74" i="55"/>
  <c r="J81" i="55"/>
  <c r="BE86" i="55"/>
  <c r="BE87" i="55"/>
  <c r="BE97" i="55"/>
  <c r="BE103" i="55"/>
  <c r="BE107" i="55"/>
  <c r="BE108" i="55"/>
  <c r="BE109" i="55"/>
  <c r="BE127" i="55"/>
  <c r="BE132" i="55"/>
  <c r="BE147" i="55"/>
  <c r="BE148" i="55"/>
  <c r="BE151" i="55"/>
  <c r="BE167" i="55"/>
  <c r="BE171" i="55"/>
  <c r="BE183" i="55"/>
  <c r="F55" i="55"/>
  <c r="J80" i="55"/>
  <c r="BE94" i="55"/>
  <c r="BE123" i="55"/>
  <c r="BE124" i="55"/>
  <c r="BE125" i="55"/>
  <c r="BE139" i="55"/>
  <c r="BE144" i="55"/>
  <c r="BE145" i="55"/>
  <c r="BE163" i="55"/>
  <c r="BE170" i="55"/>
  <c r="BE177" i="55"/>
  <c r="F54" i="55"/>
  <c r="BE102" i="55"/>
  <c r="BE105" i="55"/>
  <c r="BE117" i="55"/>
  <c r="BE131" i="55"/>
  <c r="BE143" i="55"/>
  <c r="BE168" i="55"/>
  <c r="BE169" i="55"/>
  <c r="BE176" i="55"/>
  <c r="BE178" i="55"/>
  <c r="BE179" i="55"/>
  <c r="BE95" i="55"/>
  <c r="BE96" i="55"/>
  <c r="BE98" i="55"/>
  <c r="BE99" i="55"/>
  <c r="BE110" i="55"/>
  <c r="BE111" i="55"/>
  <c r="BE112" i="55"/>
  <c r="BE113" i="55"/>
  <c r="BE114" i="55"/>
  <c r="BE115" i="55"/>
  <c r="BE116" i="55"/>
  <c r="BE118" i="55"/>
  <c r="BE119" i="55"/>
  <c r="BE120" i="55"/>
  <c r="BE128" i="55"/>
  <c r="BE134" i="55"/>
  <c r="BE152" i="55"/>
  <c r="BE153" i="55"/>
  <c r="BE154" i="55"/>
  <c r="BE155" i="55"/>
  <c r="BE156" i="55"/>
  <c r="BE157" i="55"/>
  <c r="BE164" i="55"/>
  <c r="BE165" i="55"/>
  <c r="BE173" i="55"/>
  <c r="BE174" i="55"/>
  <c r="BE90" i="55"/>
  <c r="BE101" i="55"/>
  <c r="BE106" i="55"/>
  <c r="BE122" i="55"/>
  <c r="BE126" i="55"/>
  <c r="BE130" i="55"/>
  <c r="BE140" i="55"/>
  <c r="BE142" i="55"/>
  <c r="BE158" i="55"/>
  <c r="BE160" i="55"/>
  <c r="BE161" i="55"/>
  <c r="BE162" i="55"/>
  <c r="BE180" i="55"/>
  <c r="BE88" i="55"/>
  <c r="BE89" i="55"/>
  <c r="BE91" i="55"/>
  <c r="BE92" i="55"/>
  <c r="BE93" i="55"/>
  <c r="BE121" i="55"/>
  <c r="BE138" i="55"/>
  <c r="BE141" i="55"/>
  <c r="BE146" i="55"/>
  <c r="BE149" i="55"/>
  <c r="BE150" i="55"/>
  <c r="BE159" i="55"/>
  <c r="BE175" i="55"/>
  <c r="J52" i="55"/>
  <c r="BE104" i="55"/>
  <c r="BE136" i="55"/>
  <c r="BE137" i="55"/>
  <c r="BE166" i="55"/>
  <c r="BE172" i="55"/>
  <c r="BE181" i="55"/>
  <c r="BE182" i="55"/>
  <c r="J86" i="53"/>
  <c r="J61" i="53"/>
  <c r="BE89" i="54"/>
  <c r="BE92" i="54"/>
  <c r="BE144" i="54"/>
  <c r="BE145" i="54"/>
  <c r="J54" i="54"/>
  <c r="BE118" i="54"/>
  <c r="BE126" i="54"/>
  <c r="BE143" i="54"/>
  <c r="BE150" i="54"/>
  <c r="F54" i="54"/>
  <c r="J77" i="54"/>
  <c r="BE130" i="54"/>
  <c r="BE142" i="54"/>
  <c r="J80" i="54"/>
  <c r="BE105" i="54"/>
  <c r="BE111" i="54"/>
  <c r="BE114" i="54"/>
  <c r="BE147" i="54"/>
  <c r="E73" i="54"/>
  <c r="BE122" i="54"/>
  <c r="BE149" i="54"/>
  <c r="BE95" i="54"/>
  <c r="BE146" i="54"/>
  <c r="F55" i="54"/>
  <c r="BE98" i="54"/>
  <c r="BE99" i="54"/>
  <c r="BE102" i="54"/>
  <c r="BE108" i="54"/>
  <c r="BE86" i="54"/>
  <c r="BE134" i="54"/>
  <c r="BE139" i="54"/>
  <c r="BE148" i="54"/>
  <c r="J54" i="53"/>
  <c r="F81" i="53"/>
  <c r="BE237" i="53"/>
  <c r="BE249" i="53"/>
  <c r="BE288" i="53"/>
  <c r="BE293" i="53"/>
  <c r="BE296" i="53"/>
  <c r="BE297" i="53"/>
  <c r="E74" i="53"/>
  <c r="BE105" i="53"/>
  <c r="BE123" i="53"/>
  <c r="BE159" i="53"/>
  <c r="BE240" i="53"/>
  <c r="BE252" i="53"/>
  <c r="BE255" i="53"/>
  <c r="BE276" i="53"/>
  <c r="J92" i="52"/>
  <c r="J62" i="52"/>
  <c r="BK197" i="52"/>
  <c r="J197" i="52"/>
  <c r="J67" i="52"/>
  <c r="F54" i="53"/>
  <c r="BE270" i="53"/>
  <c r="J78" i="53"/>
  <c r="BE87" i="53"/>
  <c r="BE191" i="53"/>
  <c r="J55" i="53"/>
  <c r="BE141" i="53"/>
  <c r="BE230" i="53"/>
  <c r="BE234" i="53"/>
  <c r="BE263" i="53"/>
  <c r="BE266" i="53"/>
  <c r="BE162" i="53"/>
  <c r="BE227" i="53"/>
  <c r="BE282" i="53"/>
  <c r="BE176" i="53"/>
  <c r="BE196" i="53"/>
  <c r="BE202" i="53"/>
  <c r="BE218" i="53"/>
  <c r="BE243" i="53"/>
  <c r="BE259" i="53"/>
  <c r="E79" i="52"/>
  <c r="F86" i="52"/>
  <c r="BE106" i="52"/>
  <c r="BE163" i="52"/>
  <c r="BE191" i="52"/>
  <c r="BE221" i="52"/>
  <c r="BE223" i="52"/>
  <c r="BE232" i="52"/>
  <c r="J85" i="51"/>
  <c r="J61" i="51" s="1"/>
  <c r="BE110" i="52"/>
  <c r="BE93" i="52"/>
  <c r="BE101" i="52"/>
  <c r="BE103" i="52"/>
  <c r="BE165" i="52"/>
  <c r="BE169" i="52"/>
  <c r="BE193" i="52"/>
  <c r="BE212" i="52"/>
  <c r="J84" i="51"/>
  <c r="J60" i="51"/>
  <c r="BE98" i="52"/>
  <c r="BE108" i="52"/>
  <c r="BE116" i="52"/>
  <c r="BE126" i="52"/>
  <c r="BE136" i="52"/>
  <c r="BE139" i="52"/>
  <c r="BE157" i="52"/>
  <c r="BE174" i="52"/>
  <c r="BE185" i="52"/>
  <c r="BE209" i="52"/>
  <c r="BE215" i="52"/>
  <c r="J83" i="52"/>
  <c r="BE113" i="52"/>
  <c r="BE128" i="52"/>
  <c r="BE130" i="52"/>
  <c r="BE133" i="52"/>
  <c r="BE142" i="52"/>
  <c r="BE145" i="52"/>
  <c r="BE179" i="52"/>
  <c r="BE182" i="52"/>
  <c r="BE188" i="52"/>
  <c r="BE195" i="52"/>
  <c r="BE228" i="52"/>
  <c r="BE96" i="52"/>
  <c r="BE150" i="52"/>
  <c r="BE159" i="52"/>
  <c r="BE161" i="52"/>
  <c r="BE167" i="52"/>
  <c r="BE171" i="52"/>
  <c r="BE199" i="52"/>
  <c r="BE205" i="52"/>
  <c r="BE207" i="52"/>
  <c r="BE177" i="52"/>
  <c r="BE226" i="52"/>
  <c r="BE119" i="52"/>
  <c r="BE147" i="52"/>
  <c r="BE154" i="52"/>
  <c r="BE201" i="52"/>
  <c r="BE203" i="52"/>
  <c r="BE218" i="52"/>
  <c r="E48" i="51"/>
  <c r="J77" i="51"/>
  <c r="BE87" i="51"/>
  <c r="BE108" i="51"/>
  <c r="BE116" i="51"/>
  <c r="BE119" i="51"/>
  <c r="BE99" i="51"/>
  <c r="BE104" i="51"/>
  <c r="BE128" i="51"/>
  <c r="BE136" i="51"/>
  <c r="BE137" i="51"/>
  <c r="BE86" i="51"/>
  <c r="BE109" i="51"/>
  <c r="BE122" i="51"/>
  <c r="BE135" i="51"/>
  <c r="F80" i="51"/>
  <c r="BE125" i="51"/>
  <c r="BE132" i="51"/>
  <c r="BE133" i="51"/>
  <c r="BE134" i="51"/>
  <c r="J88" i="50"/>
  <c r="J64" i="50" s="1"/>
  <c r="BE110" i="51"/>
  <c r="BE90" i="51"/>
  <c r="BE113" i="51"/>
  <c r="E50" i="50"/>
  <c r="J59" i="50"/>
  <c r="J83" i="50"/>
  <c r="BE99" i="50"/>
  <c r="BE105" i="50"/>
  <c r="BE106" i="50"/>
  <c r="BE108" i="50"/>
  <c r="BE110" i="50"/>
  <c r="BE122" i="50"/>
  <c r="BE127" i="50"/>
  <c r="BE128" i="50"/>
  <c r="BE129" i="50"/>
  <c r="BE138" i="50"/>
  <c r="BE139" i="50"/>
  <c r="BK98" i="49"/>
  <c r="BK97" i="49" s="1"/>
  <c r="J97" i="49" s="1"/>
  <c r="J34" i="49" s="1"/>
  <c r="F59" i="50"/>
  <c r="BE89" i="50"/>
  <c r="BE107" i="50"/>
  <c r="BE114" i="50"/>
  <c r="BE115" i="50"/>
  <c r="BE137" i="50"/>
  <c r="BE140" i="50"/>
  <c r="BE100" i="50"/>
  <c r="BE101" i="50"/>
  <c r="BE120" i="50"/>
  <c r="BE121" i="50"/>
  <c r="BE134" i="50"/>
  <c r="BE135" i="50"/>
  <c r="BE90" i="50"/>
  <c r="BE109" i="50"/>
  <c r="BE116" i="50"/>
  <c r="BE117" i="50"/>
  <c r="BE131" i="50"/>
  <c r="J56" i="50"/>
  <c r="F83" i="50"/>
  <c r="BE95" i="50"/>
  <c r="BE104" i="50"/>
  <c r="BE124" i="50"/>
  <c r="BE133" i="50"/>
  <c r="BE141" i="50"/>
  <c r="BE142" i="50"/>
  <c r="BE91" i="50"/>
  <c r="BE93" i="50"/>
  <c r="BE97" i="50"/>
  <c r="BE111" i="50"/>
  <c r="BE130" i="50"/>
  <c r="BE132" i="50"/>
  <c r="BE136" i="50"/>
  <c r="BE92" i="50"/>
  <c r="BE102" i="50"/>
  <c r="BE103" i="50"/>
  <c r="BE112" i="50"/>
  <c r="BE113" i="50"/>
  <c r="BE118" i="50"/>
  <c r="BE125" i="50"/>
  <c r="BE126" i="50"/>
  <c r="BE94" i="50"/>
  <c r="BE96" i="50"/>
  <c r="BE98" i="50"/>
  <c r="BE119" i="50"/>
  <c r="E52" i="49"/>
  <c r="BE101" i="49"/>
  <c r="BE127" i="49"/>
  <c r="BE138" i="49"/>
  <c r="F63" i="49"/>
  <c r="BE108" i="49"/>
  <c r="J91" i="49"/>
  <c r="BE124" i="49"/>
  <c r="BE131" i="49"/>
  <c r="BE136" i="49"/>
  <c r="BE109" i="49"/>
  <c r="BE111" i="49"/>
  <c r="BE113" i="49"/>
  <c r="BE115" i="49"/>
  <c r="BE130" i="49"/>
  <c r="BE133" i="49"/>
  <c r="BE140" i="49"/>
  <c r="BK98" i="48"/>
  <c r="BK97" i="48" s="1"/>
  <c r="J97" i="48" s="1"/>
  <c r="J34" i="48" s="1"/>
  <c r="BE100" i="49"/>
  <c r="BE104" i="49"/>
  <c r="BE105" i="49"/>
  <c r="BE103" i="49"/>
  <c r="BE117" i="49"/>
  <c r="BE111" i="48"/>
  <c r="BK98" i="47"/>
  <c r="J98" i="47"/>
  <c r="J68" i="47" s="1"/>
  <c r="E52" i="48"/>
  <c r="BE101" i="48"/>
  <c r="BE104" i="48"/>
  <c r="BE115" i="48"/>
  <c r="BE117" i="48"/>
  <c r="BE131" i="48"/>
  <c r="BE140" i="48"/>
  <c r="F63" i="48"/>
  <c r="J91" i="48"/>
  <c r="BE108" i="48"/>
  <c r="BE113" i="48"/>
  <c r="BE124" i="48"/>
  <c r="BE133" i="48"/>
  <c r="BE109" i="48"/>
  <c r="BE138" i="48"/>
  <c r="BE105" i="48"/>
  <c r="BE136" i="48"/>
  <c r="BE100" i="48"/>
  <c r="BE103" i="48"/>
  <c r="BE127" i="48"/>
  <c r="BE130" i="48"/>
  <c r="E83" i="47"/>
  <c r="BE104" i="47"/>
  <c r="BE133" i="47"/>
  <c r="BE136" i="47"/>
  <c r="BE108" i="47"/>
  <c r="J60" i="47"/>
  <c r="BE127" i="47"/>
  <c r="F63" i="47"/>
  <c r="BE101" i="47"/>
  <c r="BE124" i="47"/>
  <c r="BE130" i="47"/>
  <c r="BE138" i="47"/>
  <c r="BE140" i="47"/>
  <c r="BE100" i="47"/>
  <c r="BE109" i="47"/>
  <c r="BE113" i="47"/>
  <c r="BE117" i="47"/>
  <c r="BE103" i="47"/>
  <c r="BE111" i="47"/>
  <c r="BE105" i="47"/>
  <c r="BE115" i="47"/>
  <c r="BE131" i="47"/>
  <c r="F63" i="46"/>
  <c r="BE101" i="46"/>
  <c r="BE103" i="46"/>
  <c r="BE108" i="46"/>
  <c r="BE115" i="46"/>
  <c r="BE117" i="46"/>
  <c r="BE124" i="46"/>
  <c r="J60" i="46"/>
  <c r="BE130" i="46"/>
  <c r="BE133" i="46"/>
  <c r="BE138" i="46"/>
  <c r="BE127" i="46"/>
  <c r="BE140" i="46"/>
  <c r="BE105" i="46"/>
  <c r="BE109" i="46"/>
  <c r="BE100" i="46"/>
  <c r="BE104" i="46"/>
  <c r="BE113" i="46"/>
  <c r="BE136" i="46"/>
  <c r="BK98" i="45"/>
  <c r="J98" i="45"/>
  <c r="J68" i="45" s="1"/>
  <c r="E52" i="46"/>
  <c r="BE111" i="46"/>
  <c r="BE131" i="46"/>
  <c r="BK98" i="44"/>
  <c r="J98" i="44" s="1"/>
  <c r="J68" i="44" s="1"/>
  <c r="E52" i="45"/>
  <c r="BE104" i="45"/>
  <c r="BE111" i="45"/>
  <c r="BE113" i="45"/>
  <c r="BE124" i="45"/>
  <c r="BE130" i="45"/>
  <c r="BE140" i="45"/>
  <c r="F94" i="45"/>
  <c r="BE115" i="45"/>
  <c r="BE108" i="45"/>
  <c r="BE109" i="45"/>
  <c r="BE117" i="45"/>
  <c r="BE138" i="45"/>
  <c r="BE100" i="45"/>
  <c r="BE101" i="45"/>
  <c r="BE127" i="45"/>
  <c r="BE136" i="45"/>
  <c r="J91" i="45"/>
  <c r="BE105" i="45"/>
  <c r="BE133" i="45"/>
  <c r="BE103" i="45"/>
  <c r="BE131" i="45"/>
  <c r="BE124" i="44"/>
  <c r="BE138" i="44"/>
  <c r="F94" i="44"/>
  <c r="BE115" i="44"/>
  <c r="E52" i="44"/>
  <c r="BE101" i="44"/>
  <c r="BE108" i="44"/>
  <c r="BE130" i="44"/>
  <c r="J91" i="44"/>
  <c r="BE100" i="44"/>
  <c r="BE117" i="44"/>
  <c r="BE131" i="44"/>
  <c r="BE133" i="44"/>
  <c r="BE104" i="44"/>
  <c r="BE105" i="44"/>
  <c r="BK97" i="43"/>
  <c r="BK96" i="43" s="1"/>
  <c r="J96" i="43" s="1"/>
  <c r="J34" i="43" s="1"/>
  <c r="BE103" i="44"/>
  <c r="BE109" i="44"/>
  <c r="BE111" i="44"/>
  <c r="BE113" i="44"/>
  <c r="BE127" i="44"/>
  <c r="BE136" i="44"/>
  <c r="BE140" i="44"/>
  <c r="F63" i="43"/>
  <c r="BK98" i="42"/>
  <c r="J98" i="42" s="1"/>
  <c r="J68" i="42" s="1"/>
  <c r="J60" i="43"/>
  <c r="E82" i="43"/>
  <c r="BE102" i="43"/>
  <c r="BE100" i="43"/>
  <c r="BE119" i="43"/>
  <c r="BE103" i="43"/>
  <c r="BE104" i="43"/>
  <c r="BE128" i="43"/>
  <c r="BE99" i="43"/>
  <c r="BE123" i="43"/>
  <c r="BE125" i="43"/>
  <c r="BE112" i="43"/>
  <c r="BE114" i="43"/>
  <c r="BE130" i="43"/>
  <c r="BE107" i="43"/>
  <c r="BE108" i="43"/>
  <c r="BE110" i="43"/>
  <c r="BE122" i="43"/>
  <c r="BE132" i="43"/>
  <c r="J91" i="42"/>
  <c r="BE100" i="42"/>
  <c r="BE101" i="42"/>
  <c r="BE132" i="42"/>
  <c r="BE134" i="42"/>
  <c r="E52" i="42"/>
  <c r="BE109" i="42"/>
  <c r="BE111" i="42"/>
  <c r="BE113" i="42"/>
  <c r="BE120" i="42"/>
  <c r="BE126" i="42"/>
  <c r="BE108" i="42"/>
  <c r="BE123" i="42"/>
  <c r="BE129" i="42"/>
  <c r="BE127" i="42"/>
  <c r="BE136" i="42"/>
  <c r="BE105" i="42"/>
  <c r="BK98" i="41"/>
  <c r="BK97" i="41"/>
  <c r="J97" i="41" s="1"/>
  <c r="J67" i="41" s="1"/>
  <c r="F63" i="42"/>
  <c r="BE103" i="42"/>
  <c r="BE104" i="42"/>
  <c r="BE115" i="42"/>
  <c r="BE105" i="41"/>
  <c r="BE107" i="41"/>
  <c r="BE125" i="41"/>
  <c r="J60" i="41"/>
  <c r="F94" i="41"/>
  <c r="BE101" i="41"/>
  <c r="BE106" i="41"/>
  <c r="BE115" i="41"/>
  <c r="BE117" i="41"/>
  <c r="BE131" i="41"/>
  <c r="BE134" i="41"/>
  <c r="J99" i="40"/>
  <c r="J69" i="40"/>
  <c r="BE100" i="41"/>
  <c r="BE113" i="41"/>
  <c r="BE136" i="41"/>
  <c r="BE138" i="41"/>
  <c r="E52" i="41"/>
  <c r="BE110" i="41"/>
  <c r="BE111" i="41"/>
  <c r="BE128" i="41"/>
  <c r="BE129" i="41"/>
  <c r="BE103" i="41"/>
  <c r="BE122" i="41"/>
  <c r="J98" i="39"/>
  <c r="J69" i="39"/>
  <c r="E52" i="40"/>
  <c r="F94" i="40"/>
  <c r="BE101" i="40"/>
  <c r="BE126" i="40"/>
  <c r="BE129" i="40"/>
  <c r="BE111" i="40"/>
  <c r="J60" i="40"/>
  <c r="BE103" i="40"/>
  <c r="BE104" i="40"/>
  <c r="BE115" i="40"/>
  <c r="BE120" i="40"/>
  <c r="BE127" i="40"/>
  <c r="BE108" i="40"/>
  <c r="BE109" i="40"/>
  <c r="BE132" i="40"/>
  <c r="BE100" i="40"/>
  <c r="BE105" i="40"/>
  <c r="BE113" i="40"/>
  <c r="BE123" i="40"/>
  <c r="BE134" i="40"/>
  <c r="BE136" i="40"/>
  <c r="BE108" i="39"/>
  <c r="J98" i="38"/>
  <c r="J69" i="38"/>
  <c r="BE112" i="39"/>
  <c r="E82" i="39"/>
  <c r="F93" i="39"/>
  <c r="BE99" i="39"/>
  <c r="BE130" i="39"/>
  <c r="BE134" i="39"/>
  <c r="J60" i="39"/>
  <c r="BE100" i="39"/>
  <c r="BE102" i="39"/>
  <c r="BE110" i="39"/>
  <c r="BE114" i="39"/>
  <c r="BE124" i="39"/>
  <c r="BE103" i="39"/>
  <c r="BE121" i="39"/>
  <c r="BE125" i="39"/>
  <c r="BE132" i="39"/>
  <c r="BE104" i="39"/>
  <c r="BE107" i="39"/>
  <c r="BE127" i="39"/>
  <c r="J90" i="38"/>
  <c r="BE127" i="38"/>
  <c r="BE104" i="38"/>
  <c r="F93" i="38"/>
  <c r="BE100" i="38"/>
  <c r="BE107" i="38"/>
  <c r="BE108" i="38"/>
  <c r="BE110" i="38"/>
  <c r="J98" i="37"/>
  <c r="J69" i="37"/>
  <c r="BE102" i="38"/>
  <c r="BE103" i="38"/>
  <c r="BE112" i="38"/>
  <c r="BE114" i="38"/>
  <c r="E82" i="38"/>
  <c r="BE99" i="38"/>
  <c r="BE121" i="38"/>
  <c r="BE124" i="38"/>
  <c r="BE125" i="38"/>
  <c r="BE130" i="38"/>
  <c r="BE132" i="38"/>
  <c r="BE134" i="38"/>
  <c r="BE102" i="37"/>
  <c r="BE104" i="37"/>
  <c r="BE116" i="37"/>
  <c r="BE99" i="37"/>
  <c r="BE105" i="37"/>
  <c r="BE114" i="37"/>
  <c r="BK98" i="36"/>
  <c r="J98" i="36" s="1"/>
  <c r="J68" i="36" s="1"/>
  <c r="E52" i="37"/>
  <c r="F63" i="37"/>
  <c r="BE106" i="37"/>
  <c r="BE110" i="37"/>
  <c r="J60" i="37"/>
  <c r="BE112" i="37"/>
  <c r="BE131" i="37"/>
  <c r="BE125" i="37"/>
  <c r="BE129" i="37"/>
  <c r="BE138" i="37"/>
  <c r="BE100" i="37"/>
  <c r="BE128" i="37"/>
  <c r="BE134" i="37"/>
  <c r="BE136" i="37"/>
  <c r="BE109" i="37"/>
  <c r="J60" i="36"/>
  <c r="E83" i="36"/>
  <c r="BE103" i="36"/>
  <c r="BE104" i="36"/>
  <c r="F94" i="36"/>
  <c r="BE119" i="36"/>
  <c r="BE122" i="36"/>
  <c r="BE113" i="36"/>
  <c r="BE116" i="36"/>
  <c r="BE105" i="36"/>
  <c r="BE110" i="36"/>
  <c r="BE100" i="36"/>
  <c r="BE101" i="36"/>
  <c r="BE117" i="36"/>
  <c r="BE124" i="36"/>
  <c r="BE126" i="36"/>
  <c r="BK97" i="34"/>
  <c r="J97" i="34" s="1"/>
  <c r="J68" i="34" s="1"/>
  <c r="E52" i="35"/>
  <c r="BE116" i="35"/>
  <c r="BE117" i="35"/>
  <c r="J60" i="35"/>
  <c r="BE104" i="35"/>
  <c r="BE124" i="35"/>
  <c r="BE126" i="35"/>
  <c r="F63" i="35"/>
  <c r="BE100" i="35"/>
  <c r="BE101" i="35"/>
  <c r="BE103" i="35"/>
  <c r="BE119" i="35"/>
  <c r="BE122" i="35"/>
  <c r="BE110" i="35"/>
  <c r="BE105" i="35"/>
  <c r="BE113" i="35"/>
  <c r="BK97" i="33"/>
  <c r="J97" i="33" s="1"/>
  <c r="J68" i="33" s="1"/>
  <c r="BE99" i="34"/>
  <c r="BE102" i="34"/>
  <c r="BE106" i="34"/>
  <c r="BE116" i="34"/>
  <c r="BE123" i="34"/>
  <c r="BE126" i="34"/>
  <c r="BE100" i="34"/>
  <c r="BE115" i="34"/>
  <c r="BE121" i="34"/>
  <c r="J60" i="34"/>
  <c r="F93" i="34"/>
  <c r="E52" i="34"/>
  <c r="BE105" i="34"/>
  <c r="BE107" i="34"/>
  <c r="BE112" i="34"/>
  <c r="BE118" i="34"/>
  <c r="E82" i="33"/>
  <c r="BE105" i="33"/>
  <c r="BE106" i="33"/>
  <c r="BE107" i="33"/>
  <c r="BE121" i="33"/>
  <c r="BE100" i="33"/>
  <c r="BE123" i="33"/>
  <c r="BE116" i="33"/>
  <c r="BE126" i="33"/>
  <c r="J90" i="33"/>
  <c r="BE112" i="33"/>
  <c r="BE118" i="33"/>
  <c r="F63" i="33"/>
  <c r="BE99" i="33"/>
  <c r="BE102" i="33"/>
  <c r="BK97" i="32"/>
  <c r="BK96" i="32"/>
  <c r="J96" i="32" s="1"/>
  <c r="J67" i="32" s="1"/>
  <c r="BE115" i="33"/>
  <c r="E82" i="32"/>
  <c r="F93" i="32"/>
  <c r="BE100" i="32"/>
  <c r="BE112" i="32"/>
  <c r="BE116" i="32"/>
  <c r="BE126" i="32"/>
  <c r="BE99" i="32"/>
  <c r="BE115" i="32"/>
  <c r="BE118" i="32"/>
  <c r="BE121" i="32"/>
  <c r="BE123" i="32"/>
  <c r="BE102" i="32"/>
  <c r="BE105" i="32"/>
  <c r="BE106" i="32"/>
  <c r="BE107" i="32"/>
  <c r="J60" i="31"/>
  <c r="BE102" i="31"/>
  <c r="BE106" i="31"/>
  <c r="BE112" i="31"/>
  <c r="J98" i="30"/>
  <c r="J69" i="30"/>
  <c r="F93" i="31"/>
  <c r="BE116" i="31"/>
  <c r="BE123" i="31"/>
  <c r="BE126" i="31"/>
  <c r="E52" i="31"/>
  <c r="BE99" i="31"/>
  <c r="BE107" i="31"/>
  <c r="BE115" i="31"/>
  <c r="BE121" i="31"/>
  <c r="BE118" i="31"/>
  <c r="BE100" i="31"/>
  <c r="BE105" i="31"/>
  <c r="BK97" i="29"/>
  <c r="J97" i="29" s="1"/>
  <c r="J68" i="29" s="1"/>
  <c r="E82" i="30"/>
  <c r="BE105" i="30"/>
  <c r="BE112" i="30"/>
  <c r="BE115" i="30"/>
  <c r="BE126" i="30"/>
  <c r="F93" i="30"/>
  <c r="BE106" i="30"/>
  <c r="BE118" i="30"/>
  <c r="BE100" i="30"/>
  <c r="BE107" i="30"/>
  <c r="J60" i="30"/>
  <c r="BE116" i="30"/>
  <c r="BE102" i="30"/>
  <c r="BE123" i="30"/>
  <c r="BE99" i="30"/>
  <c r="BE121" i="30"/>
  <c r="F93" i="29"/>
  <c r="E82" i="29"/>
  <c r="BE102" i="29"/>
  <c r="J98" i="28"/>
  <c r="J69" i="28"/>
  <c r="BE105" i="29"/>
  <c r="BE106" i="29"/>
  <c r="BE107" i="29"/>
  <c r="BE115" i="29"/>
  <c r="BE116" i="29"/>
  <c r="BE118" i="29"/>
  <c r="BE99" i="29"/>
  <c r="BE121" i="29"/>
  <c r="BE123" i="29"/>
  <c r="J60" i="29"/>
  <c r="BE112" i="29"/>
  <c r="BE100" i="29"/>
  <c r="BE126" i="29"/>
  <c r="BK97" i="27"/>
  <c r="J97" i="27" s="1"/>
  <c r="J68" i="27" s="1"/>
  <c r="F93" i="28"/>
  <c r="BE121" i="28"/>
  <c r="BE123" i="28"/>
  <c r="J90" i="28"/>
  <c r="BE100" i="28"/>
  <c r="BE102" i="28"/>
  <c r="BE116" i="28"/>
  <c r="BE105" i="28"/>
  <c r="BE106" i="28"/>
  <c r="BE107" i="28"/>
  <c r="BE112" i="28"/>
  <c r="E52" i="28"/>
  <c r="BE115" i="28"/>
  <c r="BE99" i="28"/>
  <c r="BE126" i="28"/>
  <c r="BE118" i="28"/>
  <c r="J60" i="27"/>
  <c r="F93" i="27"/>
  <c r="BE121" i="27"/>
  <c r="E82" i="27"/>
  <c r="BE102" i="27"/>
  <c r="BE105" i="27"/>
  <c r="BE112" i="27"/>
  <c r="BE123" i="27"/>
  <c r="BK97" i="26"/>
  <c r="J97" i="26" s="1"/>
  <c r="J68" i="26" s="1"/>
  <c r="BE99" i="27"/>
  <c r="BE106" i="27"/>
  <c r="BE107" i="27"/>
  <c r="BE126" i="27"/>
  <c r="BE118" i="27"/>
  <c r="BE115" i="27"/>
  <c r="BE100" i="27"/>
  <c r="BE116" i="27"/>
  <c r="J90" i="26"/>
  <c r="BE123" i="26"/>
  <c r="BE126" i="26"/>
  <c r="E52" i="26"/>
  <c r="J98" i="25"/>
  <c r="J69" i="25"/>
  <c r="BE100" i="26"/>
  <c r="BE115" i="26"/>
  <c r="BE116" i="26"/>
  <c r="F63" i="26"/>
  <c r="BE105" i="26"/>
  <c r="BE99" i="26"/>
  <c r="BE106" i="26"/>
  <c r="BE107" i="26"/>
  <c r="BE112" i="26"/>
  <c r="BE118" i="26"/>
  <c r="BE102" i="26"/>
  <c r="BE121" i="26"/>
  <c r="F63" i="25"/>
  <c r="BE100" i="25"/>
  <c r="BE102" i="25"/>
  <c r="BE105" i="25"/>
  <c r="BE116" i="25"/>
  <c r="BE121" i="25"/>
  <c r="E52" i="25"/>
  <c r="BE112" i="25"/>
  <c r="BE118" i="25"/>
  <c r="J98" i="24"/>
  <c r="J69" i="24"/>
  <c r="J60" i="25"/>
  <c r="BE99" i="25"/>
  <c r="BE107" i="25"/>
  <c r="BE123" i="25"/>
  <c r="BE126" i="25"/>
  <c r="BE106" i="25"/>
  <c r="BE115" i="25"/>
  <c r="BE102" i="24"/>
  <c r="E52" i="24"/>
  <c r="F63" i="24"/>
  <c r="BE105" i="24"/>
  <c r="BE115" i="24"/>
  <c r="BE126" i="24"/>
  <c r="BK97" i="23"/>
  <c r="J97" i="23" s="1"/>
  <c r="J68" i="23" s="1"/>
  <c r="BE99" i="24"/>
  <c r="BE121" i="24"/>
  <c r="J60" i="24"/>
  <c r="BE112" i="24"/>
  <c r="BE100" i="24"/>
  <c r="BE107" i="24"/>
  <c r="BE106" i="24"/>
  <c r="BE116" i="24"/>
  <c r="BE118" i="24"/>
  <c r="BE123" i="24"/>
  <c r="BE115" i="23"/>
  <c r="BE116" i="23"/>
  <c r="BE118" i="23"/>
  <c r="BE105" i="23"/>
  <c r="BE121" i="23"/>
  <c r="BK97" i="22"/>
  <c r="J97" i="22"/>
  <c r="J68" i="22" s="1"/>
  <c r="F63" i="23"/>
  <c r="BE100" i="23"/>
  <c r="E52" i="23"/>
  <c r="BE126" i="23"/>
  <c r="J60" i="23"/>
  <c r="BE102" i="23"/>
  <c r="BE112" i="23"/>
  <c r="BE123" i="23"/>
  <c r="BE99" i="23"/>
  <c r="BE106" i="23"/>
  <c r="BE107" i="23"/>
  <c r="BE105" i="22"/>
  <c r="BE121" i="22"/>
  <c r="J60" i="22"/>
  <c r="BK89" i="21"/>
  <c r="BK88" i="21" s="1"/>
  <c r="J88" i="21" s="1"/>
  <c r="J63" i="21" s="1"/>
  <c r="BE106" i="22"/>
  <c r="BE107" i="22"/>
  <c r="BE118" i="22"/>
  <c r="BE123" i="22"/>
  <c r="BE112" i="22"/>
  <c r="BE116" i="22"/>
  <c r="E52" i="22"/>
  <c r="F93" i="22"/>
  <c r="BE99" i="22"/>
  <c r="BE102" i="22"/>
  <c r="BE126" i="22"/>
  <c r="BE100" i="22"/>
  <c r="BE115" i="22"/>
  <c r="J84" i="21"/>
  <c r="J85" i="21"/>
  <c r="BE103" i="21"/>
  <c r="E50" i="21"/>
  <c r="F59" i="21"/>
  <c r="F58" i="21"/>
  <c r="J82" i="21"/>
  <c r="BE128" i="21"/>
  <c r="BE132" i="21"/>
  <c r="BE98" i="21"/>
  <c r="BE102" i="21"/>
  <c r="BE122" i="21"/>
  <c r="BE106" i="21"/>
  <c r="BE115" i="21"/>
  <c r="BE118" i="21"/>
  <c r="BE91" i="21"/>
  <c r="BE95" i="21"/>
  <c r="BE109" i="21"/>
  <c r="BE112" i="21"/>
  <c r="F59" i="20"/>
  <c r="J87" i="20"/>
  <c r="BE99" i="20"/>
  <c r="BE102" i="20"/>
  <c r="BE130" i="20"/>
  <c r="BE132" i="20"/>
  <c r="BE136" i="20"/>
  <c r="BE139" i="20"/>
  <c r="BE140" i="20"/>
  <c r="BE141" i="20"/>
  <c r="BE146" i="20"/>
  <c r="BE149" i="20"/>
  <c r="BE163" i="20"/>
  <c r="BE165" i="20"/>
  <c r="BE183" i="20"/>
  <c r="BE192" i="20"/>
  <c r="BE193" i="20"/>
  <c r="BE194" i="20"/>
  <c r="J56" i="20"/>
  <c r="BE93" i="20"/>
  <c r="BE101" i="20"/>
  <c r="BE108" i="20"/>
  <c r="BE120" i="20"/>
  <c r="BE121" i="20"/>
  <c r="BE137" i="20"/>
  <c r="BE138" i="20"/>
  <c r="BE144" i="20"/>
  <c r="BE145" i="20"/>
  <c r="BE159" i="20"/>
  <c r="BE191" i="20"/>
  <c r="BK97" i="19"/>
  <c r="J97" i="19" s="1"/>
  <c r="J63" i="19" s="1"/>
  <c r="F87" i="20"/>
  <c r="BE98" i="20"/>
  <c r="BE109" i="20"/>
  <c r="BE110" i="20"/>
  <c r="BE118" i="20"/>
  <c r="BE131" i="20"/>
  <c r="BE147" i="20"/>
  <c r="BE151" i="20"/>
  <c r="BE152" i="20"/>
  <c r="BE155" i="20"/>
  <c r="BE161" i="20"/>
  <c r="BE173" i="20"/>
  <c r="BE111" i="20"/>
  <c r="BE133" i="20"/>
  <c r="BE143" i="20"/>
  <c r="BE171" i="20"/>
  <c r="BE184" i="20"/>
  <c r="J88" i="20"/>
  <c r="BE114" i="20"/>
  <c r="BE116" i="20"/>
  <c r="BE122" i="20"/>
  <c r="BE127" i="20"/>
  <c r="BE142" i="20"/>
  <c r="BE157" i="20"/>
  <c r="BE167" i="20"/>
  <c r="BE169" i="20"/>
  <c r="BE175" i="20"/>
  <c r="BE177" i="20"/>
  <c r="BE179" i="20"/>
  <c r="BE182" i="20"/>
  <c r="BE185" i="20"/>
  <c r="BE95" i="20"/>
  <c r="BE105" i="20"/>
  <c r="BE106" i="20"/>
  <c r="BE107" i="20"/>
  <c r="BE128" i="20"/>
  <c r="E50" i="20"/>
  <c r="BE100" i="20"/>
  <c r="BE115" i="20"/>
  <c r="BE124" i="20"/>
  <c r="BE126" i="20"/>
  <c r="BE129" i="20"/>
  <c r="BE134" i="20"/>
  <c r="BE190" i="20"/>
  <c r="BE112" i="20"/>
  <c r="BE113" i="20"/>
  <c r="BE119" i="20"/>
  <c r="BE123" i="20"/>
  <c r="BE125" i="20"/>
  <c r="BE135" i="20"/>
  <c r="BE148" i="20"/>
  <c r="BE186" i="20"/>
  <c r="BE187" i="20"/>
  <c r="BE189" i="20"/>
  <c r="J93" i="18"/>
  <c r="J64" i="18"/>
  <c r="F58" i="19"/>
  <c r="BE107" i="19"/>
  <c r="BE131" i="19"/>
  <c r="J58" i="19"/>
  <c r="BE117" i="19"/>
  <c r="BE118" i="19"/>
  <c r="BE120" i="19"/>
  <c r="BE125" i="19"/>
  <c r="BE132" i="19"/>
  <c r="BE134" i="19"/>
  <c r="BE135" i="19"/>
  <c r="BE141" i="19"/>
  <c r="BE142" i="19"/>
  <c r="BE152" i="19"/>
  <c r="BE153" i="19"/>
  <c r="BE157" i="19"/>
  <c r="BE160" i="19"/>
  <c r="BE161" i="19"/>
  <c r="BE173" i="19"/>
  <c r="BE179" i="19"/>
  <c r="BE194" i="19"/>
  <c r="BE199" i="19"/>
  <c r="BE212" i="19"/>
  <c r="BE219" i="19"/>
  <c r="BE229" i="19"/>
  <c r="BE238" i="19"/>
  <c r="BE242" i="19"/>
  <c r="BE243" i="19"/>
  <c r="J59" i="19"/>
  <c r="BE140" i="19"/>
  <c r="BE145" i="19"/>
  <c r="BE148" i="19"/>
  <c r="BE158" i="19"/>
  <c r="BE174" i="19"/>
  <c r="BE180" i="19"/>
  <c r="BE186" i="19"/>
  <c r="BE197" i="19"/>
  <c r="BE198" i="19"/>
  <c r="BE202" i="19"/>
  <c r="BE218" i="19"/>
  <c r="BE225" i="19"/>
  <c r="BE226" i="19"/>
  <c r="BE234" i="19"/>
  <c r="BE247" i="19"/>
  <c r="BE248" i="19"/>
  <c r="BE249" i="19"/>
  <c r="BE250" i="19"/>
  <c r="J56" i="19"/>
  <c r="BE106" i="19"/>
  <c r="BE116" i="19"/>
  <c r="BE121" i="19"/>
  <c r="BE123" i="19"/>
  <c r="BE126" i="19"/>
  <c r="BE159" i="19"/>
  <c r="BE163" i="19"/>
  <c r="BE165" i="19"/>
  <c r="BE182" i="19"/>
  <c r="BE188" i="19"/>
  <c r="BE191" i="19"/>
  <c r="BE192" i="19"/>
  <c r="BE193" i="19"/>
  <c r="BE203" i="19"/>
  <c r="BE208" i="19"/>
  <c r="BE215" i="19"/>
  <c r="BE216" i="19"/>
  <c r="BE217" i="19"/>
  <c r="BE220" i="19"/>
  <c r="BE227" i="19"/>
  <c r="BE239" i="19"/>
  <c r="BE253" i="19"/>
  <c r="BE254" i="19"/>
  <c r="BE101" i="19"/>
  <c r="BE105" i="19"/>
  <c r="BE112" i="19"/>
  <c r="BE113" i="19"/>
  <c r="BE114" i="19"/>
  <c r="BE115" i="19"/>
  <c r="BE122" i="19"/>
  <c r="BE130" i="19"/>
  <c r="BE133" i="19"/>
  <c r="BE136" i="19"/>
  <c r="BE143" i="19"/>
  <c r="BE144" i="19"/>
  <c r="BE155" i="19"/>
  <c r="BE156" i="19"/>
  <c r="BE164" i="19"/>
  <c r="BE176" i="19"/>
  <c r="BE177" i="19"/>
  <c r="BE178" i="19"/>
  <c r="BE183" i="19"/>
  <c r="BE184" i="19"/>
  <c r="BE189" i="19"/>
  <c r="BE196" i="19"/>
  <c r="BE204" i="19"/>
  <c r="BE213" i="19"/>
  <c r="BE231" i="19"/>
  <c r="BE237" i="19"/>
  <c r="BE241" i="19"/>
  <c r="E85" i="19"/>
  <c r="BE108" i="19"/>
  <c r="BE124" i="19"/>
  <c r="BE128" i="19"/>
  <c r="BE146" i="19"/>
  <c r="BE147" i="19"/>
  <c r="BE168" i="19"/>
  <c r="BE169" i="19"/>
  <c r="BE170" i="19"/>
  <c r="BE185" i="19"/>
  <c r="BE200" i="19"/>
  <c r="BE207" i="19"/>
  <c r="BE209" i="19"/>
  <c r="BE210" i="19"/>
  <c r="BE211" i="19"/>
  <c r="BE221" i="19"/>
  <c r="BE222" i="19"/>
  <c r="BE223" i="19"/>
  <c r="BE228" i="19"/>
  <c r="BE235" i="19"/>
  <c r="BE236" i="19"/>
  <c r="BE240" i="19"/>
  <c r="BE244" i="19"/>
  <c r="BE245" i="19"/>
  <c r="F59" i="19"/>
  <c r="BE103" i="19"/>
  <c r="BE109" i="19"/>
  <c r="BE110" i="19"/>
  <c r="BE111" i="19"/>
  <c r="BE129" i="19"/>
  <c r="BE149" i="19"/>
  <c r="BE162" i="19"/>
  <c r="BE166" i="19"/>
  <c r="BE167" i="19"/>
  <c r="BE171" i="19"/>
  <c r="BE181" i="19"/>
  <c r="BE190" i="19"/>
  <c r="BE230" i="19"/>
  <c r="BE232" i="19"/>
  <c r="BE99" i="19"/>
  <c r="BE100" i="19"/>
  <c r="BE102" i="19"/>
  <c r="BE104" i="19"/>
  <c r="BE119" i="19"/>
  <c r="BE137" i="19"/>
  <c r="BE138" i="19"/>
  <c r="BE151" i="19"/>
  <c r="BE172" i="19"/>
  <c r="BE195" i="19"/>
  <c r="BE201" i="19"/>
  <c r="BE205" i="19"/>
  <c r="BE224" i="19"/>
  <c r="BE252" i="19"/>
  <c r="F58" i="18"/>
  <c r="J88" i="18"/>
  <c r="BE94" i="18"/>
  <c r="BE107" i="18"/>
  <c r="BE113" i="18"/>
  <c r="BE137" i="18"/>
  <c r="BE151" i="18"/>
  <c r="BE154" i="18"/>
  <c r="BE155" i="18"/>
  <c r="BE173" i="18"/>
  <c r="BE209" i="18"/>
  <c r="BE216" i="18"/>
  <c r="BE218" i="18"/>
  <c r="BE220" i="18"/>
  <c r="BE223" i="18"/>
  <c r="BE237" i="18"/>
  <c r="BE328" i="18"/>
  <c r="BE333" i="18"/>
  <c r="BE337" i="18"/>
  <c r="BE341" i="18"/>
  <c r="F59" i="18"/>
  <c r="J86" i="18"/>
  <c r="BE103" i="18"/>
  <c r="BE106" i="18"/>
  <c r="BE109" i="18"/>
  <c r="BE110" i="18"/>
  <c r="BE162" i="18"/>
  <c r="BE163" i="18"/>
  <c r="BE166" i="18"/>
  <c r="BE181" i="18"/>
  <c r="BE190" i="18"/>
  <c r="BE208" i="18"/>
  <c r="BE211" i="18"/>
  <c r="BE213" i="18"/>
  <c r="BE219" i="18"/>
  <c r="BE231" i="18"/>
  <c r="BE233" i="18"/>
  <c r="BE239" i="18"/>
  <c r="BE240" i="18"/>
  <c r="BE241" i="18"/>
  <c r="BE252" i="18"/>
  <c r="BE253" i="18"/>
  <c r="BE255" i="18"/>
  <c r="BE262" i="18"/>
  <c r="BE263" i="18"/>
  <c r="BE266" i="18"/>
  <c r="BE269" i="18"/>
  <c r="BE271" i="18"/>
  <c r="BE272" i="18"/>
  <c r="BE280" i="18"/>
  <c r="BE286" i="18"/>
  <c r="BE287" i="18"/>
  <c r="BE288" i="18"/>
  <c r="BE297" i="18"/>
  <c r="BE298" i="18"/>
  <c r="BE301" i="18"/>
  <c r="BE310" i="18"/>
  <c r="BE320" i="18"/>
  <c r="BE339" i="18"/>
  <c r="BE340" i="18"/>
  <c r="BE351" i="18"/>
  <c r="BE352" i="18"/>
  <c r="BE353" i="18"/>
  <c r="BE354" i="18"/>
  <c r="BE355" i="18"/>
  <c r="BE99" i="18"/>
  <c r="BE111" i="18"/>
  <c r="BE158" i="18"/>
  <c r="BE159" i="18"/>
  <c r="BE167" i="18"/>
  <c r="BE202" i="18"/>
  <c r="BE226" i="18"/>
  <c r="BE229" i="18"/>
  <c r="BE235" i="18"/>
  <c r="BE236" i="18"/>
  <c r="BE238" i="18"/>
  <c r="BE273" i="18"/>
  <c r="BE282" i="18"/>
  <c r="BE295" i="18"/>
  <c r="BE303" i="18"/>
  <c r="BE304" i="18"/>
  <c r="BE305" i="18"/>
  <c r="BE306" i="18"/>
  <c r="BE309" i="18"/>
  <c r="BE314" i="18"/>
  <c r="BE315" i="18"/>
  <c r="BE332" i="18"/>
  <c r="BE345" i="18"/>
  <c r="BE348" i="18"/>
  <c r="E50" i="18"/>
  <c r="BE95" i="18"/>
  <c r="BE136" i="18"/>
  <c r="BE198" i="18"/>
  <c r="BE222" i="18"/>
  <c r="BE227" i="18"/>
  <c r="BE242" i="18"/>
  <c r="BE257" i="18"/>
  <c r="BE258" i="18"/>
  <c r="BE259" i="18"/>
  <c r="BE278" i="18"/>
  <c r="BE296" i="18"/>
  <c r="BE312" i="18"/>
  <c r="BE326" i="18"/>
  <c r="BE336" i="18"/>
  <c r="BE343" i="18"/>
  <c r="BE347" i="18"/>
  <c r="BE98" i="18"/>
  <c r="BE112" i="18"/>
  <c r="BE116" i="18"/>
  <c r="BE120" i="18"/>
  <c r="BE126" i="18"/>
  <c r="BE127" i="18"/>
  <c r="BE176" i="18"/>
  <c r="BE177" i="18"/>
  <c r="BE184" i="18"/>
  <c r="BE185" i="18"/>
  <c r="BE191" i="18"/>
  <c r="BE195" i="18"/>
  <c r="BE210" i="18"/>
  <c r="BE224" i="18"/>
  <c r="BE225" i="18"/>
  <c r="BE228" i="18"/>
  <c r="BE232" i="18"/>
  <c r="BE234" i="18"/>
  <c r="BE243" i="18"/>
  <c r="BE244" i="18"/>
  <c r="BE245" i="18"/>
  <c r="BE265" i="18"/>
  <c r="BE274" i="18"/>
  <c r="BE281" i="18"/>
  <c r="BE300" i="18"/>
  <c r="BE318" i="18"/>
  <c r="BE319" i="18"/>
  <c r="BE325" i="18"/>
  <c r="BE329" i="18"/>
  <c r="BE338" i="18"/>
  <c r="BE108" i="18"/>
  <c r="BE188" i="18"/>
  <c r="BE189" i="18"/>
  <c r="BE203" i="18"/>
  <c r="BE206" i="18"/>
  <c r="BE207" i="18"/>
  <c r="BE212" i="18"/>
  <c r="BE214" i="18"/>
  <c r="BE215" i="18"/>
  <c r="BE217" i="18"/>
  <c r="BE230" i="18"/>
  <c r="BE246" i="18"/>
  <c r="BE247" i="18"/>
  <c r="BE248" i="18"/>
  <c r="BE250" i="18"/>
  <c r="BE251" i="18"/>
  <c r="BE261" i="18"/>
  <c r="BE277" i="18"/>
  <c r="BE285" i="18"/>
  <c r="BE344" i="18"/>
  <c r="BK96" i="17"/>
  <c r="BK95" i="17" s="1"/>
  <c r="J95" i="17" s="1"/>
  <c r="J34" i="17" s="1"/>
  <c r="J89" i="18"/>
  <c r="BE102" i="18"/>
  <c r="BE104" i="18"/>
  <c r="BE117" i="18"/>
  <c r="BE123" i="18"/>
  <c r="BE130" i="18"/>
  <c r="BE133" i="18"/>
  <c r="BE140" i="18"/>
  <c r="BE143" i="18"/>
  <c r="BE144" i="18"/>
  <c r="BE147" i="18"/>
  <c r="BE170" i="18"/>
  <c r="BE180" i="18"/>
  <c r="BE199" i="18"/>
  <c r="BE249" i="18"/>
  <c r="BE260" i="18"/>
  <c r="BE264" i="18"/>
  <c r="BE268" i="18"/>
  <c r="BE270" i="18"/>
  <c r="BE275" i="18"/>
  <c r="BE279" i="18"/>
  <c r="BE327" i="18"/>
  <c r="BE335" i="18"/>
  <c r="BE105" i="18"/>
  <c r="BE150" i="18"/>
  <c r="BE194" i="18"/>
  <c r="BE221" i="18"/>
  <c r="BE254" i="18"/>
  <c r="BE256" i="18"/>
  <c r="BE276" i="18"/>
  <c r="BE283" i="18"/>
  <c r="BE284" i="18"/>
  <c r="BE290" i="18"/>
  <c r="BE291" i="18"/>
  <c r="BE292" i="18"/>
  <c r="BE293" i="18"/>
  <c r="BE294" i="18"/>
  <c r="BE316" i="18"/>
  <c r="BE317" i="18"/>
  <c r="BE321" i="18"/>
  <c r="BE322" i="18"/>
  <c r="BE323" i="18"/>
  <c r="BE324" i="18"/>
  <c r="BE334" i="18"/>
  <c r="BE346" i="18"/>
  <c r="BE350" i="18"/>
  <c r="E52" i="17"/>
  <c r="BE112" i="17"/>
  <c r="BE137" i="17"/>
  <c r="BE98" i="17"/>
  <c r="J60" i="17"/>
  <c r="BE99" i="17"/>
  <c r="BE103" i="17"/>
  <c r="BE106" i="17"/>
  <c r="BE113" i="17"/>
  <c r="BE124" i="17"/>
  <c r="BE121" i="17"/>
  <c r="BE133" i="17"/>
  <c r="BE101" i="17"/>
  <c r="BE136" i="17"/>
  <c r="F63" i="17"/>
  <c r="BE107" i="17"/>
  <c r="BE109" i="17"/>
  <c r="BE123" i="17"/>
  <c r="BE130" i="17"/>
  <c r="BK96" i="16"/>
  <c r="J96" i="16"/>
  <c r="J68" i="16" s="1"/>
  <c r="BE110" i="17"/>
  <c r="BE115" i="17"/>
  <c r="BE120" i="17"/>
  <c r="BE131" i="17"/>
  <c r="BE135" i="17"/>
  <c r="J89" i="16"/>
  <c r="BE107" i="16"/>
  <c r="E52" i="16"/>
  <c r="BE150" i="16"/>
  <c r="BE109" i="16"/>
  <c r="BE110" i="16"/>
  <c r="BE112" i="16"/>
  <c r="BE99" i="16"/>
  <c r="BE116" i="16"/>
  <c r="BE148" i="16"/>
  <c r="F92" i="16"/>
  <c r="BE118" i="16"/>
  <c r="BE121" i="16"/>
  <c r="BE130" i="16"/>
  <c r="BE131" i="16"/>
  <c r="BE139" i="16"/>
  <c r="BE143" i="16"/>
  <c r="BE144" i="16"/>
  <c r="BE98" i="16"/>
  <c r="BE113" i="16"/>
  <c r="BE115" i="16"/>
  <c r="BE119" i="16"/>
  <c r="BE101" i="16"/>
  <c r="BE103" i="16"/>
  <c r="BE104" i="16"/>
  <c r="BE106" i="16"/>
  <c r="BE146" i="16"/>
  <c r="BE149" i="16"/>
  <c r="BE118" i="15"/>
  <c r="BE140" i="15"/>
  <c r="BE116" i="15"/>
  <c r="BE133" i="15"/>
  <c r="J89" i="15"/>
  <c r="BE139" i="15"/>
  <c r="BK96" i="14"/>
  <c r="J96" i="14" s="1"/>
  <c r="J68" i="14" s="1"/>
  <c r="E52" i="15"/>
  <c r="BE110" i="15"/>
  <c r="BE115" i="15"/>
  <c r="BE136" i="15"/>
  <c r="BE98" i="15"/>
  <c r="BE99" i="15"/>
  <c r="BE109" i="15"/>
  <c r="BE119" i="15"/>
  <c r="BE126" i="15"/>
  <c r="BE138" i="15"/>
  <c r="BE101" i="15"/>
  <c r="BE103" i="15"/>
  <c r="BE106" i="15"/>
  <c r="BE107" i="15"/>
  <c r="BE112" i="15"/>
  <c r="BE113" i="15"/>
  <c r="BE121" i="15"/>
  <c r="BE134" i="15"/>
  <c r="F63" i="15"/>
  <c r="BE127" i="15"/>
  <c r="F92" i="14"/>
  <c r="BE134" i="14"/>
  <c r="BE150" i="14"/>
  <c r="BE152" i="14"/>
  <c r="BE156" i="14"/>
  <c r="J60" i="14"/>
  <c r="BE137" i="14"/>
  <c r="BE149" i="14"/>
  <c r="BK96" i="13"/>
  <c r="J96" i="13" s="1"/>
  <c r="J68" i="13" s="1"/>
  <c r="BE107" i="14"/>
  <c r="BE109" i="14"/>
  <c r="BE110" i="14"/>
  <c r="BE154" i="14"/>
  <c r="E81" i="14"/>
  <c r="BE118" i="14"/>
  <c r="BE120" i="14"/>
  <c r="BE121" i="14"/>
  <c r="BE130" i="14"/>
  <c r="BE103" i="14"/>
  <c r="BE104" i="14"/>
  <c r="BE117" i="14"/>
  <c r="BE141" i="14"/>
  <c r="BE143" i="14"/>
  <c r="BE123" i="14"/>
  <c r="BE133" i="14"/>
  <c r="BE136" i="14"/>
  <c r="BE98" i="14"/>
  <c r="BE99" i="14"/>
  <c r="BE101" i="14"/>
  <c r="BE106" i="14"/>
  <c r="BE112" i="14"/>
  <c r="BE113" i="14"/>
  <c r="BE131" i="14"/>
  <c r="BE155" i="14"/>
  <c r="BE115" i="14"/>
  <c r="BE108" i="13"/>
  <c r="BE111" i="13"/>
  <c r="BE114" i="13"/>
  <c r="BE115" i="13"/>
  <c r="BE118" i="13"/>
  <c r="BE120" i="13"/>
  <c r="BE128" i="13"/>
  <c r="BE132" i="13"/>
  <c r="BE102" i="13"/>
  <c r="BE117" i="13"/>
  <c r="BE137" i="13"/>
  <c r="E52" i="13"/>
  <c r="BE105" i="13"/>
  <c r="BE107" i="13"/>
  <c r="BE129" i="13"/>
  <c r="BE131" i="13"/>
  <c r="BE135" i="13"/>
  <c r="BE138" i="13"/>
  <c r="BE139" i="13"/>
  <c r="BE98" i="13"/>
  <c r="BE99" i="13"/>
  <c r="BK96" i="12"/>
  <c r="J96" i="12"/>
  <c r="J68" i="12" s="1"/>
  <c r="J89" i="13"/>
  <c r="BE110" i="13"/>
  <c r="BE124" i="13"/>
  <c r="BE133" i="13"/>
  <c r="F92" i="13"/>
  <c r="BE101" i="13"/>
  <c r="BE104" i="13"/>
  <c r="J89" i="12"/>
  <c r="BE101" i="12"/>
  <c r="BE106" i="12"/>
  <c r="BE109" i="12"/>
  <c r="BE112" i="12"/>
  <c r="BE136" i="12"/>
  <c r="BE147" i="12"/>
  <c r="BE153" i="12"/>
  <c r="BE163" i="12"/>
  <c r="BE177" i="12"/>
  <c r="BE183" i="12"/>
  <c r="BE184" i="12"/>
  <c r="E81" i="12"/>
  <c r="BE99" i="12"/>
  <c r="BE117" i="12"/>
  <c r="BE121" i="12"/>
  <c r="BE161" i="12"/>
  <c r="BE171" i="12"/>
  <c r="F92" i="12"/>
  <c r="BE103" i="12"/>
  <c r="BE104" i="12"/>
  <c r="BE107" i="12"/>
  <c r="BE110" i="12"/>
  <c r="BE118" i="12"/>
  <c r="BE146" i="12"/>
  <c r="BE150" i="12"/>
  <c r="BE157" i="12"/>
  <c r="BE98" i="12"/>
  <c r="BE113" i="12"/>
  <c r="BE125" i="12"/>
  <c r="BE144" i="12"/>
  <c r="BE149" i="12"/>
  <c r="BE152" i="12"/>
  <c r="BE167" i="12"/>
  <c r="BE178" i="12"/>
  <c r="BE180" i="12"/>
  <c r="BE182" i="12"/>
  <c r="BA67" i="1"/>
  <c r="BK96" i="11"/>
  <c r="J96" i="11"/>
  <c r="J68" i="11" s="1"/>
  <c r="BE115" i="12"/>
  <c r="BE143" i="12"/>
  <c r="BC67" i="1"/>
  <c r="BE117" i="11"/>
  <c r="BE118" i="11"/>
  <c r="BE175" i="11"/>
  <c r="J111" i="10"/>
  <c r="J70" i="10" s="1"/>
  <c r="BE103" i="11"/>
  <c r="BE126" i="11"/>
  <c r="BE173" i="11"/>
  <c r="BE174" i="11"/>
  <c r="BE115" i="11"/>
  <c r="BE169" i="11"/>
  <c r="BE171" i="11"/>
  <c r="BE109" i="11"/>
  <c r="BE111" i="11"/>
  <c r="BE120" i="11"/>
  <c r="BE122" i="11"/>
  <c r="BE137" i="11"/>
  <c r="BE142" i="11"/>
  <c r="BE148" i="11"/>
  <c r="J60" i="11"/>
  <c r="BE98" i="11"/>
  <c r="BE99" i="11"/>
  <c r="BE101" i="11"/>
  <c r="BE108" i="11"/>
  <c r="BE114" i="11"/>
  <c r="BE156" i="11"/>
  <c r="F63" i="11"/>
  <c r="BE147" i="11"/>
  <c r="E52" i="11"/>
  <c r="BE105" i="11"/>
  <c r="BE106" i="11"/>
  <c r="BE112" i="11"/>
  <c r="BE143" i="11"/>
  <c r="BE152" i="11"/>
  <c r="BE158" i="11"/>
  <c r="BE164" i="11"/>
  <c r="BE168" i="11"/>
  <c r="F63" i="10"/>
  <c r="BE101" i="10"/>
  <c r="BE107" i="10"/>
  <c r="BE158" i="10"/>
  <c r="BE197" i="10"/>
  <c r="BE229" i="10"/>
  <c r="BE230" i="10"/>
  <c r="BE126" i="10"/>
  <c r="BE127" i="10"/>
  <c r="BE151" i="10"/>
  <c r="BE166" i="10"/>
  <c r="BE186" i="10"/>
  <c r="BE205" i="10"/>
  <c r="BE215" i="10"/>
  <c r="BK96" i="9"/>
  <c r="J96" i="9" s="1"/>
  <c r="J68" i="9" s="1"/>
  <c r="J60" i="10"/>
  <c r="BE104" i="10"/>
  <c r="BE109" i="10"/>
  <c r="BE168" i="10"/>
  <c r="BE175" i="10"/>
  <c r="BE193" i="10"/>
  <c r="BE209" i="10"/>
  <c r="BE217" i="10"/>
  <c r="BE219" i="10"/>
  <c r="BE228" i="10"/>
  <c r="BE108" i="10"/>
  <c r="BE116" i="10"/>
  <c r="BE120" i="10"/>
  <c r="BE191" i="10"/>
  <c r="BE199" i="10"/>
  <c r="BE203" i="10"/>
  <c r="BE204" i="10"/>
  <c r="BE223" i="10"/>
  <c r="BE99" i="10"/>
  <c r="BE112" i="10"/>
  <c r="BE113" i="10"/>
  <c r="BE117" i="10"/>
  <c r="BE130" i="10"/>
  <c r="BE133" i="10"/>
  <c r="BE161" i="10"/>
  <c r="BE171" i="10"/>
  <c r="BE174" i="10"/>
  <c r="BE201" i="10"/>
  <c r="BE211" i="10"/>
  <c r="BE159" i="10"/>
  <c r="BE162" i="10"/>
  <c r="BE176" i="10"/>
  <c r="BE207" i="10"/>
  <c r="BE221" i="10"/>
  <c r="BE226" i="10"/>
  <c r="E81" i="10"/>
  <c r="BE98" i="10"/>
  <c r="BE123" i="10"/>
  <c r="BE146" i="10"/>
  <c r="BE164" i="10"/>
  <c r="BE169" i="10"/>
  <c r="BE173" i="10"/>
  <c r="BE181" i="10"/>
  <c r="BE189" i="10"/>
  <c r="BE213" i="10"/>
  <c r="BE105" i="10"/>
  <c r="BE187" i="10"/>
  <c r="BE195" i="10"/>
  <c r="E52" i="9"/>
  <c r="BE118" i="9"/>
  <c r="BE120" i="9"/>
  <c r="BE121" i="9"/>
  <c r="BE143" i="9"/>
  <c r="BE146" i="9"/>
  <c r="BE152" i="9"/>
  <c r="BE154" i="9"/>
  <c r="BK97" i="8"/>
  <c r="J97" i="8" s="1"/>
  <c r="J68" i="8" s="1"/>
  <c r="BE107" i="9"/>
  <c r="BE123" i="9"/>
  <c r="BE144" i="9"/>
  <c r="BE172" i="9"/>
  <c r="F92" i="9"/>
  <c r="BE98" i="9"/>
  <c r="BE110" i="9"/>
  <c r="BE140" i="9"/>
  <c r="J89" i="9"/>
  <c r="BE169" i="9"/>
  <c r="BE171" i="9"/>
  <c r="BE173" i="9"/>
  <c r="BE112" i="9"/>
  <c r="BE128" i="9"/>
  <c r="BE141" i="9"/>
  <c r="BE159" i="9"/>
  <c r="BE106" i="9"/>
  <c r="BE113" i="9"/>
  <c r="BE115" i="9"/>
  <c r="BE163" i="9"/>
  <c r="BE99" i="9"/>
  <c r="BE101" i="9"/>
  <c r="BE103" i="9"/>
  <c r="BE109" i="9"/>
  <c r="BE164" i="9"/>
  <c r="BE166" i="9"/>
  <c r="BE167" i="9"/>
  <c r="BE117" i="9"/>
  <c r="BE133" i="9"/>
  <c r="BE147" i="9"/>
  <c r="BE151" i="9"/>
  <c r="BE153" i="9"/>
  <c r="J60" i="8"/>
  <c r="E82" i="8"/>
  <c r="F93" i="8"/>
  <c r="BE108" i="8"/>
  <c r="BE111" i="8"/>
  <c r="BE116" i="8"/>
  <c r="BE120" i="8"/>
  <c r="BE123" i="8"/>
  <c r="BE124" i="8"/>
  <c r="BE142" i="8"/>
  <c r="BE146" i="8"/>
  <c r="BE157" i="8"/>
  <c r="BE170" i="8"/>
  <c r="BE99" i="8"/>
  <c r="BE107" i="8"/>
  <c r="BE113" i="8"/>
  <c r="BE135" i="8"/>
  <c r="BE154" i="8"/>
  <c r="BE174" i="8"/>
  <c r="BE102" i="8"/>
  <c r="BE126" i="8"/>
  <c r="BE143" i="8"/>
  <c r="BE145" i="8"/>
  <c r="BE159" i="8"/>
  <c r="BE161" i="8"/>
  <c r="BE172" i="8"/>
  <c r="J109" i="7"/>
  <c r="J70" i="7" s="1"/>
  <c r="BE100" i="8"/>
  <c r="BE105" i="8"/>
  <c r="BE110" i="8"/>
  <c r="BE115" i="8"/>
  <c r="BE118" i="8"/>
  <c r="BE121" i="8"/>
  <c r="BE155" i="8"/>
  <c r="BE150" i="8"/>
  <c r="BE163" i="8"/>
  <c r="BE171" i="8"/>
  <c r="BE104" i="8"/>
  <c r="BE156" i="8"/>
  <c r="BE165" i="8"/>
  <c r="BE166" i="8"/>
  <c r="BE168" i="8"/>
  <c r="BE104" i="7"/>
  <c r="BE116" i="7"/>
  <c r="BE145" i="7"/>
  <c r="BE155" i="7"/>
  <c r="BE159" i="7"/>
  <c r="F63" i="7"/>
  <c r="BE99" i="7"/>
  <c r="BE100" i="7"/>
  <c r="BE111" i="7"/>
  <c r="BE146" i="7"/>
  <c r="BE150" i="7"/>
  <c r="J90" i="7"/>
  <c r="BE133" i="7"/>
  <c r="BE138" i="7"/>
  <c r="BE140" i="7"/>
  <c r="BE147" i="7"/>
  <c r="BE148" i="7"/>
  <c r="BE107" i="7"/>
  <c r="BE108" i="7"/>
  <c r="BE110" i="7"/>
  <c r="BE118" i="7"/>
  <c r="BE157" i="7"/>
  <c r="BK97" i="6"/>
  <c r="J97" i="6" s="1"/>
  <c r="J68" i="6" s="1"/>
  <c r="E82" i="7"/>
  <c r="BE121" i="7"/>
  <c r="BE128" i="7"/>
  <c r="BE156" i="7"/>
  <c r="BE102" i="7"/>
  <c r="BE153" i="7"/>
  <c r="BE113" i="7"/>
  <c r="BE115" i="7"/>
  <c r="BE135" i="7"/>
  <c r="BE105" i="7"/>
  <c r="BE119" i="7"/>
  <c r="BE137" i="7"/>
  <c r="BE141" i="7"/>
  <c r="BE151" i="7"/>
  <c r="BE133" i="6"/>
  <c r="BE135" i="6"/>
  <c r="BE156" i="6"/>
  <c r="BE157" i="6"/>
  <c r="BE159" i="6"/>
  <c r="J60" i="6"/>
  <c r="BE108" i="6"/>
  <c r="BE110" i="6"/>
  <c r="BE119" i="6"/>
  <c r="BE141" i="6"/>
  <c r="F63" i="6"/>
  <c r="BE102" i="6"/>
  <c r="BE104" i="6"/>
  <c r="BE105" i="6"/>
  <c r="BE140" i="6"/>
  <c r="BE150" i="6"/>
  <c r="J114" i="5"/>
  <c r="J70" i="5" s="1"/>
  <c r="BE99" i="6"/>
  <c r="BE100" i="6"/>
  <c r="BE115" i="6"/>
  <c r="BE116" i="6"/>
  <c r="BE118" i="6"/>
  <c r="BE137" i="6"/>
  <c r="BE155" i="6"/>
  <c r="BE107" i="6"/>
  <c r="BE111" i="6"/>
  <c r="BE121" i="6"/>
  <c r="BE128" i="6"/>
  <c r="BE153" i="6"/>
  <c r="BE151" i="6"/>
  <c r="E82" i="6"/>
  <c r="BE138" i="6"/>
  <c r="BE145" i="6"/>
  <c r="BE146" i="6"/>
  <c r="BE147" i="6"/>
  <c r="BE148" i="6"/>
  <c r="BE113" i="6"/>
  <c r="BE98" i="5"/>
  <c r="BE101" i="5"/>
  <c r="BE103" i="5"/>
  <c r="BE150" i="5"/>
  <c r="BE159" i="5"/>
  <c r="BE243" i="5"/>
  <c r="BE250" i="5"/>
  <c r="J98" i="4"/>
  <c r="J65" i="4"/>
  <c r="BE118" i="5"/>
  <c r="BE127" i="5"/>
  <c r="BE130" i="5"/>
  <c r="BE132" i="5"/>
  <c r="BE182" i="5"/>
  <c r="BE196" i="5"/>
  <c r="BE252" i="5"/>
  <c r="BE253" i="5"/>
  <c r="BE254" i="5"/>
  <c r="F63" i="5"/>
  <c r="BE120" i="5"/>
  <c r="BE121" i="5"/>
  <c r="BE123" i="5"/>
  <c r="BE125" i="5"/>
  <c r="J60" i="5"/>
  <c r="BE99" i="5"/>
  <c r="BE110" i="5"/>
  <c r="BE112" i="5"/>
  <c r="BE129" i="5"/>
  <c r="BE135" i="5"/>
  <c r="BE189" i="5"/>
  <c r="BE194" i="5"/>
  <c r="BE195" i="5"/>
  <c r="BE197" i="5"/>
  <c r="BE198" i="5"/>
  <c r="BE227" i="5"/>
  <c r="E81" i="5"/>
  <c r="BE106" i="5"/>
  <c r="BE181" i="5"/>
  <c r="BE242" i="5"/>
  <c r="BK143" i="4"/>
  <c r="J143" i="4"/>
  <c r="J68" i="4" s="1"/>
  <c r="BE113" i="5"/>
  <c r="BE178" i="5"/>
  <c r="BE115" i="5"/>
  <c r="BE173" i="5"/>
  <c r="BE179" i="5"/>
  <c r="BE185" i="5"/>
  <c r="BE193" i="5"/>
  <c r="BE239" i="5"/>
  <c r="BE247" i="5"/>
  <c r="BE109" i="5"/>
  <c r="BE116" i="5"/>
  <c r="BE133" i="5"/>
  <c r="BE164" i="5"/>
  <c r="BE184" i="5"/>
  <c r="BE215" i="5"/>
  <c r="BE223" i="5"/>
  <c r="BE238" i="5"/>
  <c r="BE241" i="5"/>
  <c r="BE245" i="5"/>
  <c r="E50" i="4"/>
  <c r="F59" i="4"/>
  <c r="J92" i="4"/>
  <c r="BE99" i="4"/>
  <c r="BE149" i="4"/>
  <c r="BE175" i="4"/>
  <c r="BE179" i="4"/>
  <c r="BE237" i="4"/>
  <c r="BE238" i="4"/>
  <c r="BE273" i="4"/>
  <c r="BE392" i="4"/>
  <c r="BE446" i="4"/>
  <c r="BE461" i="4"/>
  <c r="BE463" i="4"/>
  <c r="BE505" i="4"/>
  <c r="J56" i="4"/>
  <c r="F92" i="4"/>
  <c r="BE108" i="4"/>
  <c r="BE163" i="4"/>
  <c r="BE195" i="4"/>
  <c r="BE210" i="4"/>
  <c r="BE240" i="4"/>
  <c r="BE256" i="4"/>
  <c r="BE260" i="4"/>
  <c r="BE303" i="4"/>
  <c r="BE324" i="4"/>
  <c r="BE364" i="4"/>
  <c r="BE365" i="4"/>
  <c r="BE416" i="4"/>
  <c r="BE444" i="4"/>
  <c r="BE445" i="4"/>
  <c r="BE447" i="4"/>
  <c r="BE453" i="4"/>
  <c r="BE454" i="4"/>
  <c r="BE139" i="4"/>
  <c r="BE187" i="4"/>
  <c r="BE202" i="4"/>
  <c r="BE243" i="4"/>
  <c r="BE278" i="4"/>
  <c r="BE302" i="4"/>
  <c r="BE307" i="4"/>
  <c r="BE313" i="4"/>
  <c r="BE318" i="4"/>
  <c r="BE330" i="4"/>
  <c r="BE334" i="4"/>
  <c r="BE358" i="4"/>
  <c r="BE418" i="4"/>
  <c r="BE419" i="4"/>
  <c r="BE429" i="4"/>
  <c r="BE441" i="4"/>
  <c r="BE475" i="4"/>
  <c r="BE485" i="4"/>
  <c r="J102" i="3"/>
  <c r="J65" i="3" s="1"/>
  <c r="J93" i="4"/>
  <c r="BE125" i="4"/>
  <c r="BE136" i="4"/>
  <c r="BE183" i="4"/>
  <c r="BE245" i="4"/>
  <c r="BE291" i="4"/>
  <c r="BE346" i="4"/>
  <c r="BE404" i="4"/>
  <c r="BE435" i="4"/>
  <c r="BE437" i="4"/>
  <c r="BE535" i="4"/>
  <c r="BE115" i="4"/>
  <c r="BE167" i="4"/>
  <c r="BE218" i="4"/>
  <c r="BE226" i="4"/>
  <c r="BE232" i="4"/>
  <c r="BE234" i="4"/>
  <c r="BE265" i="4"/>
  <c r="BE275" i="4"/>
  <c r="BE284" i="4"/>
  <c r="BE290" i="4"/>
  <c r="BE341" i="4"/>
  <c r="BE369" i="4"/>
  <c r="BE400" i="4"/>
  <c r="BE422" i="4"/>
  <c r="BE460" i="4"/>
  <c r="BE469" i="4"/>
  <c r="BE521" i="4"/>
  <c r="BE121" i="4"/>
  <c r="BE141" i="4"/>
  <c r="BE145" i="4"/>
  <c r="BE155" i="4"/>
  <c r="BE241" i="4"/>
  <c r="BE246" i="4"/>
  <c r="BE263" i="4"/>
  <c r="BE363" i="4"/>
  <c r="BE373" i="4"/>
  <c r="BE408" i="4"/>
  <c r="BE412" i="4"/>
  <c r="BE417" i="4"/>
  <c r="BE425" i="4"/>
  <c r="BE427" i="4"/>
  <c r="BE430" i="4"/>
  <c r="BE433" i="4"/>
  <c r="BE159" i="4"/>
  <c r="BE198" i="4"/>
  <c r="BE214" i="4"/>
  <c r="BE233" i="4"/>
  <c r="BE353" i="4"/>
  <c r="BE388" i="4"/>
  <c r="BE396" i="4"/>
  <c r="BE438" i="4"/>
  <c r="BE439" i="4"/>
  <c r="BE442" i="4"/>
  <c r="BE451" i="4"/>
  <c r="BE452" i="4"/>
  <c r="BE479" i="4"/>
  <c r="BE491" i="4"/>
  <c r="BE109" i="4"/>
  <c r="BE129" i="4"/>
  <c r="BE133" i="4"/>
  <c r="BE134" i="4"/>
  <c r="BE135" i="4"/>
  <c r="BE137" i="4"/>
  <c r="BE138" i="4"/>
  <c r="BE142" i="4"/>
  <c r="BE171" i="4"/>
  <c r="BE206" i="4"/>
  <c r="BE222" i="4"/>
  <c r="BE235" i="4"/>
  <c r="BE251" i="4"/>
  <c r="BE269" i="4"/>
  <c r="BE281" i="4"/>
  <c r="BE297" i="4"/>
  <c r="BE298" i="4"/>
  <c r="BE308" i="4"/>
  <c r="BE312" i="4"/>
  <c r="BE317" i="4"/>
  <c r="BE374" i="4"/>
  <c r="BE378" i="4"/>
  <c r="BE384" i="4"/>
  <c r="BE440" i="4"/>
  <c r="BE443" i="4"/>
  <c r="BE458" i="4"/>
  <c r="J116" i="2"/>
  <c r="J65" i="2"/>
  <c r="F58" i="3"/>
  <c r="BE104" i="3"/>
  <c r="BE140" i="3"/>
  <c r="BE154" i="3"/>
  <c r="BE156" i="3"/>
  <c r="BE157" i="3"/>
  <c r="BE163" i="3"/>
  <c r="BE251" i="3"/>
  <c r="BE261" i="3"/>
  <c r="BE262" i="3"/>
  <c r="BE268" i="3"/>
  <c r="BE278" i="3"/>
  <c r="BE285" i="3"/>
  <c r="BE292" i="3"/>
  <c r="BE308" i="3"/>
  <c r="BE316" i="3"/>
  <c r="BE333" i="3"/>
  <c r="BE334" i="3"/>
  <c r="BE365" i="3"/>
  <c r="BE373" i="3"/>
  <c r="BE376" i="3"/>
  <c r="BE393" i="3"/>
  <c r="BE397" i="3"/>
  <c r="BE401" i="3"/>
  <c r="BE405" i="3"/>
  <c r="BE416" i="3"/>
  <c r="BE426" i="3"/>
  <c r="BE438" i="3"/>
  <c r="E88" i="3"/>
  <c r="F97" i="3"/>
  <c r="BE108" i="3"/>
  <c r="BE112" i="3"/>
  <c r="BE165" i="3"/>
  <c r="BE190" i="3"/>
  <c r="BE253" i="3"/>
  <c r="BE254" i="3"/>
  <c r="BE271" i="3"/>
  <c r="BE277" i="3"/>
  <c r="BE279" i="3"/>
  <c r="BE294" i="3"/>
  <c r="BE361" i="3"/>
  <c r="BE377" i="3"/>
  <c r="BE420" i="3"/>
  <c r="BE432" i="3"/>
  <c r="BE435" i="3"/>
  <c r="BK906" i="2"/>
  <c r="J906" i="2" s="1"/>
  <c r="J72" i="2" s="1"/>
  <c r="BE224" i="3"/>
  <c r="BE225" i="3"/>
  <c r="BE234" i="3"/>
  <c r="BE240" i="3"/>
  <c r="BE241" i="3"/>
  <c r="BE267" i="3"/>
  <c r="BE291" i="3"/>
  <c r="BE296" i="3"/>
  <c r="BE350" i="3"/>
  <c r="BE352" i="3"/>
  <c r="BE360" i="3"/>
  <c r="BE364" i="3"/>
  <c r="BE378" i="3"/>
  <c r="BE436" i="3"/>
  <c r="J56" i="3"/>
  <c r="BE138" i="3"/>
  <c r="BE171" i="3"/>
  <c r="BE173" i="3"/>
  <c r="BE218" i="3"/>
  <c r="BE238" i="3"/>
  <c r="BE270" i="3"/>
  <c r="BE300" i="3"/>
  <c r="BE320" i="3"/>
  <c r="BE331" i="3"/>
  <c r="BE374" i="3"/>
  <c r="BE398" i="3"/>
  <c r="BE407" i="3"/>
  <c r="BE437" i="3"/>
  <c r="J97" i="3"/>
  <c r="BE103" i="3"/>
  <c r="BE116" i="3"/>
  <c r="BE125" i="3"/>
  <c r="BE137" i="3"/>
  <c r="BE145" i="3"/>
  <c r="BE147" i="3"/>
  <c r="BE153" i="3"/>
  <c r="BE159" i="3"/>
  <c r="BE176" i="3"/>
  <c r="BE177" i="3"/>
  <c r="BE179" i="3"/>
  <c r="BE185" i="3"/>
  <c r="BE232" i="3"/>
  <c r="BE243" i="3"/>
  <c r="BE250" i="3"/>
  <c r="BE264" i="3"/>
  <c r="BE266" i="3"/>
  <c r="BE276" i="3"/>
  <c r="BE287" i="3"/>
  <c r="BE314" i="3"/>
  <c r="BE358" i="3"/>
  <c r="BE366" i="3"/>
  <c r="BE368" i="3"/>
  <c r="BE372" i="3"/>
  <c r="BE389" i="3"/>
  <c r="BE422" i="3"/>
  <c r="BE428" i="3"/>
  <c r="J58" i="3"/>
  <c r="BE117" i="3"/>
  <c r="BE121" i="3"/>
  <c r="BE129" i="3"/>
  <c r="BE133" i="3"/>
  <c r="BE141" i="3"/>
  <c r="BE143" i="3"/>
  <c r="BE149" i="3"/>
  <c r="BE160" i="3"/>
  <c r="BE182" i="3"/>
  <c r="BE187" i="3"/>
  <c r="BE189" i="3"/>
  <c r="BE196" i="3"/>
  <c r="BE205" i="3"/>
  <c r="BE208" i="3"/>
  <c r="BE212" i="3"/>
  <c r="BE215" i="3"/>
  <c r="BE223" i="3"/>
  <c r="BE237" i="3"/>
  <c r="BE281" i="3"/>
  <c r="BE289" i="3"/>
  <c r="BE321" i="3"/>
  <c r="BE323" i="3"/>
  <c r="BE328" i="3"/>
  <c r="BE346" i="3"/>
  <c r="BE375" i="3"/>
  <c r="BE411" i="3"/>
  <c r="BE162" i="3"/>
  <c r="BE166" i="3"/>
  <c r="BE168" i="3"/>
  <c r="BE174" i="3"/>
  <c r="BE180" i="3"/>
  <c r="BE183" i="3"/>
  <c r="BE192" i="3"/>
  <c r="BE194" i="3"/>
  <c r="BE199" i="3"/>
  <c r="BE202" i="3"/>
  <c r="BE229" i="3"/>
  <c r="BE235" i="3"/>
  <c r="BE269" i="3"/>
  <c r="BE282" i="3"/>
  <c r="BE283" i="3"/>
  <c r="BE330" i="3"/>
  <c r="BE356" i="3"/>
  <c r="BE369" i="3"/>
  <c r="BE370" i="3"/>
  <c r="BE371" i="3"/>
  <c r="BE414" i="3"/>
  <c r="BE418" i="3"/>
  <c r="BE151" i="3"/>
  <c r="BE169" i="3"/>
  <c r="BE221" i="3"/>
  <c r="BE226" i="3"/>
  <c r="BE228" i="3"/>
  <c r="BE231" i="3"/>
  <c r="BE272" i="3"/>
  <c r="BE273" i="3"/>
  <c r="BE274" i="3"/>
  <c r="BE275" i="3"/>
  <c r="BE298" i="3"/>
  <c r="BE302" i="3"/>
  <c r="BE304" i="3"/>
  <c r="BE306" i="3"/>
  <c r="BE310" i="3"/>
  <c r="BE312" i="3"/>
  <c r="BE318" i="3"/>
  <c r="BE325" i="3"/>
  <c r="BE326" i="3"/>
  <c r="BE340" i="3"/>
  <c r="BE343" i="3"/>
  <c r="BE355" i="3"/>
  <c r="BE367" i="3"/>
  <c r="BE381" i="3"/>
  <c r="BE385" i="3"/>
  <c r="BE430" i="3"/>
  <c r="BE187" i="2"/>
  <c r="BE196" i="2"/>
  <c r="BE200" i="2"/>
  <c r="BE433" i="2"/>
  <c r="BE488" i="2"/>
  <c r="BE511" i="2"/>
  <c r="BE541" i="2"/>
  <c r="BE547" i="2"/>
  <c r="BE658" i="2"/>
  <c r="BE728" i="2"/>
  <c r="BE738" i="2"/>
  <c r="BE792" i="2"/>
  <c r="BE929" i="2"/>
  <c r="BE1139" i="2"/>
  <c r="BE1188" i="2"/>
  <c r="BE1296" i="2"/>
  <c r="BE1360" i="2"/>
  <c r="BE1372" i="2"/>
  <c r="BE1385" i="2"/>
  <c r="BE1416" i="2"/>
  <c r="BE1450" i="2"/>
  <c r="BE1471" i="2"/>
  <c r="BE1481" i="2"/>
  <c r="BE1492" i="2"/>
  <c r="BE1503" i="2"/>
  <c r="BE120" i="2"/>
  <c r="BE123" i="2"/>
  <c r="BE129" i="2"/>
  <c r="BE135" i="2"/>
  <c r="BE157" i="2"/>
  <c r="BE159" i="2"/>
  <c r="BE189" i="2"/>
  <c r="BE205" i="2"/>
  <c r="BE212" i="2"/>
  <c r="BE300" i="2"/>
  <c r="BE312" i="2"/>
  <c r="BE315" i="2"/>
  <c r="BE318" i="2"/>
  <c r="BE520" i="2"/>
  <c r="BE645" i="2"/>
  <c r="BE649" i="2"/>
  <c r="BE668" i="2"/>
  <c r="BE676" i="2"/>
  <c r="BE750" i="2"/>
  <c r="BE767" i="2"/>
  <c r="BE820" i="2"/>
  <c r="BE860" i="2"/>
  <c r="BE916" i="2"/>
  <c r="BE1057" i="2"/>
  <c r="BE1115" i="2"/>
  <c r="BE1135" i="2"/>
  <c r="BE1143" i="2"/>
  <c r="BE1268" i="2"/>
  <c r="BE1276" i="2"/>
  <c r="BE1279" i="2"/>
  <c r="BE1292" i="2"/>
  <c r="BE1351" i="2"/>
  <c r="BE1354" i="2"/>
  <c r="BE1357" i="2"/>
  <c r="BE1383" i="2"/>
  <c r="BE1413" i="2"/>
  <c r="BE1414" i="2"/>
  <c r="BE1415" i="2"/>
  <c r="BE1428" i="2"/>
  <c r="BE1429" i="2"/>
  <c r="BE1430" i="2"/>
  <c r="BE1477" i="2"/>
  <c r="BE1480" i="2"/>
  <c r="BE1482" i="2"/>
  <c r="BE1486" i="2"/>
  <c r="BE1487" i="2"/>
  <c r="BE1490" i="2"/>
  <c r="BE1507" i="2"/>
  <c r="BE1531" i="2"/>
  <c r="BE1567" i="2"/>
  <c r="F111" i="2"/>
  <c r="BE142" i="2"/>
  <c r="BE161" i="2"/>
  <c r="BE172" i="2"/>
  <c r="BE193" i="2"/>
  <c r="BE303" i="2"/>
  <c r="BE452" i="2"/>
  <c r="BE455" i="2"/>
  <c r="BE469" i="2"/>
  <c r="BE537" i="2"/>
  <c r="BE633" i="2"/>
  <c r="BE672" i="2"/>
  <c r="BE674" i="2"/>
  <c r="BE686" i="2"/>
  <c r="BE709" i="2"/>
  <c r="BE773" i="2"/>
  <c r="BE787" i="2"/>
  <c r="BE850" i="2"/>
  <c r="BE863" i="2"/>
  <c r="BE875" i="2"/>
  <c r="BE935" i="2"/>
  <c r="BE945" i="2"/>
  <c r="BE1019" i="2"/>
  <c r="BE1076" i="2"/>
  <c r="BE1118" i="2"/>
  <c r="BE1243" i="2"/>
  <c r="BE1307" i="2"/>
  <c r="BE1319" i="2"/>
  <c r="BE1344" i="2"/>
  <c r="BE1369" i="2"/>
  <c r="BE1381" i="2"/>
  <c r="BE1398" i="2"/>
  <c r="BE1407" i="2"/>
  <c r="BE1408" i="2"/>
  <c r="BE1418" i="2"/>
  <c r="BE1419" i="2"/>
  <c r="BE1434" i="2"/>
  <c r="BE1438" i="2"/>
  <c r="BE165" i="2"/>
  <c r="BE254" i="2"/>
  <c r="BE321" i="2"/>
  <c r="BE341" i="2"/>
  <c r="BE360" i="2"/>
  <c r="BE420" i="2"/>
  <c r="BE516" i="2"/>
  <c r="BE540" i="2"/>
  <c r="BE627" i="2"/>
  <c r="BE646" i="2"/>
  <c r="BE651" i="2"/>
  <c r="BE652" i="2"/>
  <c r="BE662" i="2"/>
  <c r="BE666" i="2"/>
  <c r="BE670" i="2"/>
  <c r="BE679" i="2"/>
  <c r="BE730" i="2"/>
  <c r="BE732" i="2"/>
  <c r="BE812" i="2"/>
  <c r="BE844" i="2"/>
  <c r="BE848" i="2"/>
  <c r="BE854" i="2"/>
  <c r="BE878" i="2"/>
  <c r="BE879" i="2"/>
  <c r="BE905" i="2"/>
  <c r="BE918" i="2"/>
  <c r="BE922" i="2"/>
  <c r="BE933" i="2"/>
  <c r="BE947" i="2"/>
  <c r="BE972" i="2"/>
  <c r="BE1100" i="2"/>
  <c r="BE1105" i="2"/>
  <c r="BE1110" i="2"/>
  <c r="BE1121" i="2"/>
  <c r="BE1123" i="2"/>
  <c r="BE1141" i="2"/>
  <c r="BE1251" i="2"/>
  <c r="BE1299" i="2"/>
  <c r="BE1317" i="2"/>
  <c r="BE1397" i="2"/>
  <c r="BE1405" i="2"/>
  <c r="BE1411" i="2"/>
  <c r="BE1424" i="2"/>
  <c r="BE1433" i="2"/>
  <c r="J108" i="2"/>
  <c r="BE136" i="2"/>
  <c r="BE170" i="2"/>
  <c r="BE173" i="2"/>
  <c r="BE366" i="2"/>
  <c r="BE468" i="2"/>
  <c r="BE536" i="2"/>
  <c r="BE644" i="2"/>
  <c r="BE654" i="2"/>
  <c r="BE746" i="2"/>
  <c r="BE748" i="2"/>
  <c r="BE914" i="2"/>
  <c r="BE1120" i="2"/>
  <c r="BE1137" i="2"/>
  <c r="BE1171" i="2"/>
  <c r="BE1214" i="2"/>
  <c r="BE1222" i="2"/>
  <c r="BE1230" i="2"/>
  <c r="BE1240" i="2"/>
  <c r="BE1301" i="2"/>
  <c r="BE1339" i="2"/>
  <c r="BE1399" i="2"/>
  <c r="BE1401" i="2"/>
  <c r="BE1410" i="2"/>
  <c r="BE1421" i="2"/>
  <c r="BE1431" i="2"/>
  <c r="BE1435" i="2"/>
  <c r="BE1437" i="2"/>
  <c r="BE1439" i="2"/>
  <c r="BE1441" i="2"/>
  <c r="BE1444" i="2"/>
  <c r="BE1453" i="2"/>
  <c r="BE1469" i="2"/>
  <c r="BE1479" i="2"/>
  <c r="BE1484" i="2"/>
  <c r="E50" i="2"/>
  <c r="BE144" i="2"/>
  <c r="BE153" i="2"/>
  <c r="BE190" i="2"/>
  <c r="BE204" i="2"/>
  <c r="BE283" i="2"/>
  <c r="BE291" i="2"/>
  <c r="BE297" i="2"/>
  <c r="BE385" i="2"/>
  <c r="BE403" i="2"/>
  <c r="BE471" i="2"/>
  <c r="BE510" i="2"/>
  <c r="BE603" i="2"/>
  <c r="BE604" i="2"/>
  <c r="BE639" i="2"/>
  <c r="BE688" i="2"/>
  <c r="BE693" i="2"/>
  <c r="BE700" i="2"/>
  <c r="BE789" i="2"/>
  <c r="BE846" i="2"/>
  <c r="BE908" i="2"/>
  <c r="BE910" i="2"/>
  <c r="BE1014" i="2"/>
  <c r="BE1095" i="2"/>
  <c r="BE1173" i="2"/>
  <c r="BE1176" i="2"/>
  <c r="BE1186" i="2"/>
  <c r="BE1246" i="2"/>
  <c r="BE1254" i="2"/>
  <c r="BE1285" i="2"/>
  <c r="BE1328" i="2"/>
  <c r="BE1346" i="2"/>
  <c r="BE1396" i="2"/>
  <c r="BE1403" i="2"/>
  <c r="BE1406" i="2"/>
  <c r="BE1420" i="2"/>
  <c r="BE1472" i="2"/>
  <c r="BE1473" i="2"/>
  <c r="BE1474" i="2"/>
  <c r="BE1475" i="2"/>
  <c r="BE1476" i="2"/>
  <c r="BE1478" i="2"/>
  <c r="BE1485" i="2"/>
  <c r="BE1505" i="2"/>
  <c r="BE1561" i="2"/>
  <c r="BE1563" i="2"/>
  <c r="BE1565" i="2"/>
  <c r="BE1569" i="2"/>
  <c r="BE125" i="2"/>
  <c r="BE126" i="2"/>
  <c r="BE139" i="2"/>
  <c r="BE176" i="2"/>
  <c r="BE178" i="2"/>
  <c r="BE180" i="2"/>
  <c r="BE181" i="2"/>
  <c r="BE184" i="2"/>
  <c r="BE226" i="2"/>
  <c r="BE282" i="2"/>
  <c r="BE306" i="2"/>
  <c r="BE359" i="2"/>
  <c r="BE442" i="2"/>
  <c r="BE451" i="2"/>
  <c r="BE463" i="2"/>
  <c r="BE466" i="2"/>
  <c r="BE467" i="2"/>
  <c r="BE565" i="2"/>
  <c r="BE584" i="2"/>
  <c r="BE623" i="2"/>
  <c r="BE624" i="2"/>
  <c r="BE648" i="2"/>
  <c r="BE681" i="2"/>
  <c r="BE795" i="2"/>
  <c r="BE832" i="2"/>
  <c r="BE838" i="2"/>
  <c r="BE841" i="2"/>
  <c r="BE876" i="2"/>
  <c r="BE877" i="2"/>
  <c r="BE937" i="2"/>
  <c r="BE995" i="2"/>
  <c r="BE1038" i="2"/>
  <c r="BE1146" i="2"/>
  <c r="BE1235" i="2"/>
  <c r="BE1303" i="2"/>
  <c r="BE1331" i="2"/>
  <c r="BE1348" i="2"/>
  <c r="BE1390" i="2"/>
  <c r="BE1394" i="2"/>
  <c r="BE1400" i="2"/>
  <c r="BE1404" i="2"/>
  <c r="BE1412" i="2"/>
  <c r="BE1432" i="2"/>
  <c r="BE1436" i="2"/>
  <c r="BE1447" i="2"/>
  <c r="BE1483" i="2"/>
  <c r="BE1488" i="2"/>
  <c r="BE117" i="2"/>
  <c r="BE155" i="2"/>
  <c r="BE168" i="2"/>
  <c r="BE309" i="2"/>
  <c r="BE323" i="2"/>
  <c r="BE517" i="2"/>
  <c r="BE640" i="2"/>
  <c r="BE643" i="2"/>
  <c r="BE647" i="2"/>
  <c r="BE650" i="2"/>
  <c r="BE656" i="2"/>
  <c r="BE660" i="2"/>
  <c r="BE664" i="2"/>
  <c r="BE695" i="2"/>
  <c r="BE718" i="2"/>
  <c r="BE740" i="2"/>
  <c r="BE758" i="2"/>
  <c r="BE764" i="2"/>
  <c r="BE803" i="2"/>
  <c r="BE809" i="2"/>
  <c r="BE852" i="2"/>
  <c r="BE874" i="2"/>
  <c r="BE890" i="2"/>
  <c r="BE901" i="2"/>
  <c r="BE970" i="2"/>
  <c r="BE1179" i="2"/>
  <c r="BE1181" i="2"/>
  <c r="BE1219" i="2"/>
  <c r="BE1227" i="2"/>
  <c r="BE1288" i="2"/>
  <c r="BE1290" i="2"/>
  <c r="BE1305" i="2"/>
  <c r="BE1315" i="2"/>
  <c r="BE1375" i="2"/>
  <c r="BE1379" i="2"/>
  <c r="BE1387" i="2"/>
  <c r="BE1395" i="2"/>
  <c r="BE1402" i="2"/>
  <c r="BE1409" i="2"/>
  <c r="BE1417" i="2"/>
  <c r="BE1423" i="2"/>
  <c r="BE1425" i="2"/>
  <c r="BE1427" i="2"/>
  <c r="BE1456" i="2"/>
  <c r="BE1462" i="2"/>
  <c r="BE1465" i="2"/>
  <c r="BE1489" i="2"/>
  <c r="BE1501" i="2"/>
  <c r="BE1543" i="2"/>
  <c r="BE1572" i="2"/>
  <c r="BE1574" i="2"/>
  <c r="BE1597" i="2"/>
  <c r="BE1599" i="2"/>
  <c r="BE1609" i="2"/>
  <c r="BE1619" i="2"/>
  <c r="BE1632" i="2"/>
  <c r="J36" i="4"/>
  <c r="AW58" i="1"/>
  <c r="F39" i="28"/>
  <c r="BB84" i="1" s="1"/>
  <c r="F39" i="38"/>
  <c r="BB94" i="1"/>
  <c r="J38" i="49"/>
  <c r="AW105" i="1" s="1"/>
  <c r="F38" i="3"/>
  <c r="BC57" i="1" s="1"/>
  <c r="F39" i="18"/>
  <c r="BD73" i="1" s="1"/>
  <c r="F40" i="16"/>
  <c r="BC71" i="1"/>
  <c r="F39" i="31"/>
  <c r="BB87" i="1" s="1"/>
  <c r="F41" i="40"/>
  <c r="BD96" i="1" s="1"/>
  <c r="F41" i="48"/>
  <c r="BD104" i="1" s="1"/>
  <c r="F37" i="2"/>
  <c r="BB56" i="1"/>
  <c r="F38" i="46"/>
  <c r="BA102" i="1" s="1"/>
  <c r="F35" i="56"/>
  <c r="BB112" i="1" s="1"/>
  <c r="J38" i="15"/>
  <c r="AW70" i="1" s="1"/>
  <c r="F39" i="19"/>
  <c r="BD74" i="1" s="1"/>
  <c r="F35" i="57"/>
  <c r="BB113" i="1"/>
  <c r="J38" i="12"/>
  <c r="AW67" i="1"/>
  <c r="F38" i="17"/>
  <c r="BA72" i="1" s="1"/>
  <c r="F38" i="20"/>
  <c r="BC75" i="1" s="1"/>
  <c r="F34" i="53"/>
  <c r="BA109" i="1"/>
  <c r="J38" i="5"/>
  <c r="AW60" i="1"/>
  <c r="F41" i="10"/>
  <c r="BD65" i="1" s="1"/>
  <c r="J38" i="22"/>
  <c r="AW78" i="1" s="1"/>
  <c r="F40" i="32"/>
  <c r="BC88" i="1"/>
  <c r="J38" i="42"/>
  <c r="AW98" i="1"/>
  <c r="F34" i="57"/>
  <c r="BA113" i="1"/>
  <c r="AS55" i="1"/>
  <c r="AS54" i="1" s="1"/>
  <c r="F39" i="3"/>
  <c r="BD57" i="1"/>
  <c r="F40" i="45"/>
  <c r="BC101" i="1" s="1"/>
  <c r="J38" i="10"/>
  <c r="AW65" i="1"/>
  <c r="F40" i="22"/>
  <c r="BC78" i="1" s="1"/>
  <c r="F38" i="32"/>
  <c r="BA88" i="1"/>
  <c r="F41" i="45"/>
  <c r="BD101" i="1" s="1"/>
  <c r="F36" i="54"/>
  <c r="BC110" i="1"/>
  <c r="J38" i="9"/>
  <c r="AW64" i="1" s="1"/>
  <c r="F40" i="24"/>
  <c r="BC80" i="1" s="1"/>
  <c r="F38" i="30"/>
  <c r="BA86" i="1" s="1"/>
  <c r="J38" i="38"/>
  <c r="AW94" i="1"/>
  <c r="F39" i="46"/>
  <c r="BB102" i="1" s="1"/>
  <c r="F34" i="51"/>
  <c r="BA107" i="1" s="1"/>
  <c r="F34" i="52"/>
  <c r="BA108" i="1" s="1"/>
  <c r="F36" i="56"/>
  <c r="BC112" i="1"/>
  <c r="F37" i="18"/>
  <c r="BB73" i="1" s="1"/>
  <c r="J36" i="3"/>
  <c r="AW57" i="1" s="1"/>
  <c r="F38" i="7"/>
  <c r="BA62" i="1" s="1"/>
  <c r="F39" i="9"/>
  <c r="BB64" i="1"/>
  <c r="F41" i="16"/>
  <c r="BD71" i="1" s="1"/>
  <c r="F36" i="20"/>
  <c r="BA75" i="1" s="1"/>
  <c r="F38" i="22"/>
  <c r="BA78" i="1" s="1"/>
  <c r="F41" i="25"/>
  <c r="BD81" i="1" s="1"/>
  <c r="J38" i="30"/>
  <c r="AW86" i="1" s="1"/>
  <c r="F39" i="37"/>
  <c r="BB93" i="1" s="1"/>
  <c r="F39" i="45"/>
  <c r="BB101" i="1" s="1"/>
  <c r="F34" i="59"/>
  <c r="BA115" i="1" s="1"/>
  <c r="F41" i="8"/>
  <c r="BD63" i="1"/>
  <c r="F41" i="22"/>
  <c r="BD78" i="1" s="1"/>
  <c r="F40" i="40"/>
  <c r="BC96" i="1" s="1"/>
  <c r="F37" i="55"/>
  <c r="BD111" i="1" s="1"/>
  <c r="F39" i="35"/>
  <c r="BB91" i="1" s="1"/>
  <c r="J38" i="44"/>
  <c r="AW100" i="1" s="1"/>
  <c r="F36" i="50"/>
  <c r="BA106" i="1" s="1"/>
  <c r="F39" i="4"/>
  <c r="BD58" i="1" s="1"/>
  <c r="F41" i="27"/>
  <c r="BD83" i="1" s="1"/>
  <c r="F38" i="37"/>
  <c r="BA93" i="1" s="1"/>
  <c r="F39" i="47"/>
  <c r="BB103" i="1" s="1"/>
  <c r="J34" i="58"/>
  <c r="AW114" i="1" s="1"/>
  <c r="F41" i="6"/>
  <c r="BD61" i="1" s="1"/>
  <c r="F39" i="11"/>
  <c r="BB66" i="1" s="1"/>
  <c r="J38" i="26"/>
  <c r="AW82" i="1" s="1"/>
  <c r="F41" i="38"/>
  <c r="BD94" i="1" s="1"/>
  <c r="J36" i="50"/>
  <c r="AW106" i="1"/>
  <c r="F41" i="13"/>
  <c r="BD68" i="1"/>
  <c r="J36" i="18"/>
  <c r="AW73" i="1"/>
  <c r="F36" i="19"/>
  <c r="BA74" i="1" s="1"/>
  <c r="J34" i="56"/>
  <c r="AW112" i="1" s="1"/>
  <c r="F41" i="17"/>
  <c r="BD72" i="1" s="1"/>
  <c r="F40" i="25"/>
  <c r="BC81" i="1" s="1"/>
  <c r="J38" i="33"/>
  <c r="AW89" i="1" s="1"/>
  <c r="F39" i="36"/>
  <c r="BB92" i="1" s="1"/>
  <c r="F39" i="44"/>
  <c r="BB100" i="1" s="1"/>
  <c r="F39" i="50"/>
  <c r="BD106" i="1" s="1"/>
  <c r="F34" i="58"/>
  <c r="BA114" i="1" s="1"/>
  <c r="F41" i="5"/>
  <c r="BD60" i="1" s="1"/>
  <c r="F39" i="13"/>
  <c r="BB68" i="1" s="1"/>
  <c r="F38" i="19"/>
  <c r="BC74" i="1" s="1"/>
  <c r="F37" i="60"/>
  <c r="BD116" i="1" s="1"/>
  <c r="F40" i="10"/>
  <c r="BC65" i="1" s="1"/>
  <c r="F38" i="39"/>
  <c r="BA95" i="1" s="1"/>
  <c r="F37" i="51"/>
  <c r="BD107" i="1" s="1"/>
  <c r="F39" i="8"/>
  <c r="BB63" i="1" s="1"/>
  <c r="F39" i="27"/>
  <c r="BB83" i="1" s="1"/>
  <c r="F41" i="37"/>
  <c r="BD93" i="1" s="1"/>
  <c r="F40" i="46"/>
  <c r="BC102" i="1" s="1"/>
  <c r="F39" i="5"/>
  <c r="BB60" i="1" s="1"/>
  <c r="F40" i="9"/>
  <c r="BC64" i="1" s="1"/>
  <c r="J36" i="20"/>
  <c r="AW75" i="1" s="1"/>
  <c r="J38" i="46"/>
  <c r="AW102" i="1" s="1"/>
  <c r="F37" i="56"/>
  <c r="BD112" i="1" s="1"/>
  <c r="F40" i="5"/>
  <c r="BC60" i="1" s="1"/>
  <c r="F39" i="10"/>
  <c r="BB65" i="1" s="1"/>
  <c r="F39" i="25"/>
  <c r="BB81" i="1" s="1"/>
  <c r="F39" i="32"/>
  <c r="BB88" i="1" s="1"/>
  <c r="F40" i="42"/>
  <c r="BC98" i="1" s="1"/>
  <c r="J34" i="53"/>
  <c r="AW109" i="1" s="1"/>
  <c r="F41" i="28"/>
  <c r="BD84" i="1" s="1"/>
  <c r="F39" i="39"/>
  <c r="BB95" i="1" s="1"/>
  <c r="F35" i="52"/>
  <c r="BB108" i="1" s="1"/>
  <c r="F38" i="16"/>
  <c r="BA71" i="1" s="1"/>
  <c r="F37" i="19"/>
  <c r="BB74" i="1" s="1"/>
  <c r="F36" i="60"/>
  <c r="BC116" i="1" s="1"/>
  <c r="J36" i="2"/>
  <c r="AW56" i="1" s="1"/>
  <c r="F37" i="20"/>
  <c r="BB75" i="1" s="1"/>
  <c r="J38" i="28"/>
  <c r="AW84" i="1" s="1"/>
  <c r="F40" i="31"/>
  <c r="BC87" i="1" s="1"/>
  <c r="F39" i="34"/>
  <c r="BB90" i="1" s="1"/>
  <c r="F38" i="45"/>
  <c r="BA101" i="1" s="1"/>
  <c r="F40" i="48"/>
  <c r="BC104" i="1" s="1"/>
  <c r="J34" i="54"/>
  <c r="AW110" i="1" s="1"/>
  <c r="F34" i="60"/>
  <c r="BA116" i="1" s="1"/>
  <c r="F41" i="12"/>
  <c r="BD67" i="1" s="1"/>
  <c r="F41" i="33"/>
  <c r="BD89" i="1" s="1"/>
  <c r="F39" i="40"/>
  <c r="BB96" i="1" s="1"/>
  <c r="J38" i="47"/>
  <c r="AW103" i="1" s="1"/>
  <c r="F36" i="57"/>
  <c r="BC113" i="1" s="1"/>
  <c r="F40" i="6"/>
  <c r="BC61" i="1" s="1"/>
  <c r="F38" i="8"/>
  <c r="BA63" i="1" s="1"/>
  <c r="F40" i="14"/>
  <c r="BC69" i="1" s="1"/>
  <c r="F38" i="18"/>
  <c r="BC73" i="1" s="1"/>
  <c r="J38" i="7"/>
  <c r="AW62" i="1" s="1"/>
  <c r="J38" i="14"/>
  <c r="AW69" i="1" s="1"/>
  <c r="J38" i="23"/>
  <c r="AW79" i="1" s="1"/>
  <c r="J38" i="34"/>
  <c r="AW90" i="1" s="1"/>
  <c r="F41" i="47"/>
  <c r="BD103" i="1" s="1"/>
  <c r="F34" i="55"/>
  <c r="BA111" i="1" s="1"/>
  <c r="F40" i="29"/>
  <c r="BC85" i="1" s="1"/>
  <c r="F38" i="42"/>
  <c r="BA98" i="1" s="1"/>
  <c r="F40" i="47"/>
  <c r="BC103" i="1" s="1"/>
  <c r="F35" i="58"/>
  <c r="BB114" i="1" s="1"/>
  <c r="J38" i="13"/>
  <c r="AW68" i="1" s="1"/>
  <c r="F39" i="21"/>
  <c r="BD76" i="1" s="1"/>
  <c r="F41" i="32"/>
  <c r="BD88" i="1" s="1"/>
  <c r="F40" i="36"/>
  <c r="BC92" i="1" s="1"/>
  <c r="F39" i="42"/>
  <c r="BB98" i="1" s="1"/>
  <c r="F39" i="49"/>
  <c r="BB105" i="1" s="1"/>
  <c r="F36" i="59"/>
  <c r="BC115" i="1" s="1"/>
  <c r="F38" i="11"/>
  <c r="BA66" i="1" s="1"/>
  <c r="F38" i="14"/>
  <c r="BA69" i="1" s="1"/>
  <c r="F39" i="20"/>
  <c r="BD75" i="1" s="1"/>
  <c r="J38" i="45"/>
  <c r="AW101" i="1" s="1"/>
  <c r="F35" i="54"/>
  <c r="BB110" i="1" s="1"/>
  <c r="J30" i="56"/>
  <c r="F37" i="4"/>
  <c r="BB58" i="1"/>
  <c r="J38" i="32"/>
  <c r="AW88" i="1"/>
  <c r="F41" i="36"/>
  <c r="BD92" i="1"/>
  <c r="F40" i="43"/>
  <c r="BC99" i="1"/>
  <c r="F37" i="53"/>
  <c r="BD109" i="1"/>
  <c r="F39" i="16"/>
  <c r="BB71" i="1"/>
  <c r="F40" i="23"/>
  <c r="BC79" i="1"/>
  <c r="F41" i="46"/>
  <c r="BD102" i="1"/>
  <c r="J34" i="59"/>
  <c r="AW115" i="1"/>
  <c r="F38" i="2"/>
  <c r="BC56" i="1"/>
  <c r="F38" i="6"/>
  <c r="BA61" i="1"/>
  <c r="F39" i="7"/>
  <c r="BB62" i="1"/>
  <c r="F40" i="13"/>
  <c r="BC68" i="1"/>
  <c r="J38" i="16"/>
  <c r="AW71" i="1"/>
  <c r="J36" i="21"/>
  <c r="AW76" i="1"/>
  <c r="F39" i="30"/>
  <c r="BB86" i="1"/>
  <c r="J38" i="39"/>
  <c r="AW95" i="1"/>
  <c r="J34" i="51"/>
  <c r="AW107" i="1"/>
  <c r="F38" i="4"/>
  <c r="BC58" i="1"/>
  <c r="F39" i="22"/>
  <c r="BB78" i="1"/>
  <c r="F41" i="29"/>
  <c r="BD85" i="1"/>
  <c r="F39" i="43"/>
  <c r="BB99" i="1"/>
  <c r="F36" i="58"/>
  <c r="BC114" i="1"/>
  <c r="F41" i="11"/>
  <c r="BD66" i="1"/>
  <c r="F36" i="21"/>
  <c r="BA76" i="1"/>
  <c r="F40" i="26"/>
  <c r="BC82" i="1"/>
  <c r="F38" i="34"/>
  <c r="BA90" i="1"/>
  <c r="J38" i="35"/>
  <c r="AW91" i="1"/>
  <c r="F38" i="50"/>
  <c r="BC106" i="1"/>
  <c r="J38" i="11"/>
  <c r="AW66" i="1" s="1"/>
  <c r="F41" i="23"/>
  <c r="BD79" i="1"/>
  <c r="J38" i="27"/>
  <c r="AW83" i="1"/>
  <c r="F38" i="35"/>
  <c r="BA91" i="1"/>
  <c r="F40" i="39"/>
  <c r="BC95" i="1" s="1"/>
  <c r="F41" i="44"/>
  <c r="BD100" i="1"/>
  <c r="F38" i="48"/>
  <c r="BA104" i="1"/>
  <c r="F36" i="53"/>
  <c r="BC109" i="1"/>
  <c r="F38" i="27"/>
  <c r="BA83" i="1" s="1"/>
  <c r="F38" i="31"/>
  <c r="BA87" i="1"/>
  <c r="F40" i="35"/>
  <c r="BC91" i="1"/>
  <c r="F38" i="40"/>
  <c r="BA96" i="1"/>
  <c r="F38" i="43"/>
  <c r="BA99" i="1" s="1"/>
  <c r="F41" i="49"/>
  <c r="BD105" i="1"/>
  <c r="J34" i="55"/>
  <c r="AW111" i="1"/>
  <c r="J34" i="57"/>
  <c r="AW113" i="1"/>
  <c r="F36" i="4"/>
  <c r="BA58" i="1" s="1"/>
  <c r="J38" i="6"/>
  <c r="AW61" i="1"/>
  <c r="F40" i="7"/>
  <c r="BC62" i="1"/>
  <c r="F41" i="14"/>
  <c r="BD69" i="1"/>
  <c r="J36" i="19"/>
  <c r="AW74" i="1" s="1"/>
  <c r="F38" i="23"/>
  <c r="BA79" i="1"/>
  <c r="F40" i="27"/>
  <c r="BC83" i="1"/>
  <c r="F41" i="35"/>
  <c r="BD91" i="1"/>
  <c r="F41" i="39"/>
  <c r="BD95" i="1" s="1"/>
  <c r="F37" i="50"/>
  <c r="BB106" i="1" s="1"/>
  <c r="F39" i="12"/>
  <c r="BB67" i="1" s="1"/>
  <c r="J38" i="25"/>
  <c r="AW81" i="1"/>
  <c r="F41" i="26"/>
  <c r="BD82" i="1" s="1"/>
  <c r="F41" i="30"/>
  <c r="BD86" i="1" s="1"/>
  <c r="F40" i="33"/>
  <c r="BC89" i="1" s="1"/>
  <c r="F40" i="37"/>
  <c r="BC93" i="1" s="1"/>
  <c r="F40" i="49"/>
  <c r="BC105" i="1"/>
  <c r="F35" i="59"/>
  <c r="BB115" i="1"/>
  <c r="F38" i="10"/>
  <c r="BA65" i="1"/>
  <c r="F36" i="18"/>
  <c r="BA73" i="1" s="1"/>
  <c r="F39" i="26"/>
  <c r="BB82" i="1"/>
  <c r="F41" i="31"/>
  <c r="BD87" i="1"/>
  <c r="F40" i="38"/>
  <c r="BC94" i="1"/>
  <c r="F36" i="55"/>
  <c r="BC111" i="1" s="1"/>
  <c r="F36" i="3"/>
  <c r="BA57" i="1"/>
  <c r="F38" i="25"/>
  <c r="BA81" i="1"/>
  <c r="F38" i="36"/>
  <c r="BA92" i="1"/>
  <c r="F38" i="44"/>
  <c r="BA100" i="1" s="1"/>
  <c r="J34" i="52"/>
  <c r="AW108" i="1"/>
  <c r="F41" i="7"/>
  <c r="BD62" i="1"/>
  <c r="F41" i="15"/>
  <c r="BD70" i="1"/>
  <c r="F37" i="21"/>
  <c r="BB76" i="1" s="1"/>
  <c r="J38" i="31"/>
  <c r="AW87" i="1"/>
  <c r="F39" i="48"/>
  <c r="BB104" i="1"/>
  <c r="F39" i="2"/>
  <c r="BD56" i="1" s="1"/>
  <c r="F36" i="52"/>
  <c r="BC108" i="1" s="1"/>
  <c r="F39" i="17"/>
  <c r="BB72" i="1"/>
  <c r="J38" i="24"/>
  <c r="AW80" i="1"/>
  <c r="F38" i="41"/>
  <c r="BA97" i="1" s="1"/>
  <c r="F35" i="51"/>
  <c r="BB107" i="1" s="1"/>
  <c r="F35" i="60"/>
  <c r="BB116" i="1"/>
  <c r="F40" i="15"/>
  <c r="BC70" i="1"/>
  <c r="F38" i="29"/>
  <c r="BA85" i="1" s="1"/>
  <c r="F40" i="34"/>
  <c r="BC90" i="1" s="1"/>
  <c r="F41" i="43"/>
  <c r="BD99" i="1"/>
  <c r="F37" i="54"/>
  <c r="BD110" i="1"/>
  <c r="F37" i="3"/>
  <c r="BB57" i="1" s="1"/>
  <c r="F39" i="23"/>
  <c r="BB79" i="1" s="1"/>
  <c r="F41" i="34"/>
  <c r="BD90" i="1"/>
  <c r="F40" i="41"/>
  <c r="BC97" i="1"/>
  <c r="F34" i="54"/>
  <c r="BA110" i="1"/>
  <c r="F38" i="5"/>
  <c r="BA60" i="1" s="1"/>
  <c r="F39" i="6"/>
  <c r="BB61" i="1" s="1"/>
  <c r="F40" i="8"/>
  <c r="BC63" i="1" s="1"/>
  <c r="F40" i="17"/>
  <c r="BC72" i="1"/>
  <c r="F38" i="28"/>
  <c r="BA84" i="1" s="1"/>
  <c r="J38" i="36"/>
  <c r="AW92" i="1" s="1"/>
  <c r="J38" i="40"/>
  <c r="AW96" i="1" s="1"/>
  <c r="F37" i="57"/>
  <c r="BD113" i="1"/>
  <c r="F41" i="9"/>
  <c r="BD64" i="1" s="1"/>
  <c r="F38" i="15"/>
  <c r="BA70" i="1" s="1"/>
  <c r="F38" i="24"/>
  <c r="BA80" i="1" s="1"/>
  <c r="J38" i="37"/>
  <c r="AW93" i="1"/>
  <c r="F40" i="44"/>
  <c r="BC100" i="1" s="1"/>
  <c r="F35" i="55"/>
  <c r="BB111" i="1" s="1"/>
  <c r="F39" i="14"/>
  <c r="BB69" i="1" s="1"/>
  <c r="F38" i="26"/>
  <c r="BA82" i="1"/>
  <c r="F40" i="28"/>
  <c r="BC84" i="1" s="1"/>
  <c r="F38" i="33"/>
  <c r="BA89" i="1" s="1"/>
  <c r="F41" i="41"/>
  <c r="BD97" i="1" s="1"/>
  <c r="F36" i="51"/>
  <c r="BC107" i="1"/>
  <c r="J34" i="60"/>
  <c r="AW116" i="1" s="1"/>
  <c r="F38" i="9"/>
  <c r="BA64" i="1" s="1"/>
  <c r="F38" i="13"/>
  <c r="BA68" i="1" s="1"/>
  <c r="F39" i="15"/>
  <c r="BB70" i="1"/>
  <c r="F41" i="24"/>
  <c r="BD80" i="1" s="1"/>
  <c r="J38" i="29"/>
  <c r="AW85" i="1" s="1"/>
  <c r="F38" i="38"/>
  <c r="BA94" i="1" s="1"/>
  <c r="F41" i="42"/>
  <c r="BD98" i="1"/>
  <c r="F38" i="47"/>
  <c r="BA103" i="1" s="1"/>
  <c r="F37" i="52"/>
  <c r="BD108" i="1" s="1"/>
  <c r="J38" i="8"/>
  <c r="AW63" i="1" s="1"/>
  <c r="F40" i="11"/>
  <c r="BC66" i="1"/>
  <c r="J38" i="17"/>
  <c r="AW72" i="1" s="1"/>
  <c r="F38" i="21"/>
  <c r="BC76" i="1" s="1"/>
  <c r="F39" i="29"/>
  <c r="BB85" i="1" s="1"/>
  <c r="F39" i="33"/>
  <c r="BB89" i="1"/>
  <c r="J38" i="41"/>
  <c r="AW97" i="1" s="1"/>
  <c r="J38" i="48"/>
  <c r="AW104" i="1" s="1"/>
  <c r="F34" i="56"/>
  <c r="BA112" i="1" s="1"/>
  <c r="F37" i="59"/>
  <c r="BD115" i="1"/>
  <c r="F36" i="2"/>
  <c r="BA56" i="1" s="1"/>
  <c r="J38" i="43"/>
  <c r="AW99" i="1" s="1"/>
  <c r="F35" i="53"/>
  <c r="BB109" i="1" s="1"/>
  <c r="F39" i="24"/>
  <c r="BB80" i="1"/>
  <c r="F40" i="30"/>
  <c r="BC86" i="1" s="1"/>
  <c r="F39" i="41"/>
  <c r="BB97" i="1" s="1"/>
  <c r="F38" i="49"/>
  <c r="BA105" i="1" s="1"/>
  <c r="F37" i="58"/>
  <c r="BD114" i="1"/>
  <c r="J32" i="18" l="1"/>
  <c r="J63" i="18"/>
  <c r="T97" i="37"/>
  <c r="T96" i="37" s="1"/>
  <c r="BK91" i="20"/>
  <c r="J91" i="20" s="1"/>
  <c r="J32" i="20" s="1"/>
  <c r="BK98" i="46"/>
  <c r="BK97" i="46" s="1"/>
  <c r="J97" i="46" s="1"/>
  <c r="J67" i="46" s="1"/>
  <c r="J225" i="10"/>
  <c r="J71" i="10" s="1"/>
  <c r="BK96" i="10"/>
  <c r="BK83" i="59"/>
  <c r="J83" i="59" s="1"/>
  <c r="J59" i="59" s="1"/>
  <c r="P96" i="14"/>
  <c r="P95" i="14" s="1"/>
  <c r="AU69" i="1" s="1"/>
  <c r="BK98" i="35"/>
  <c r="BK97" i="35" s="1"/>
  <c r="J97" i="35" s="1"/>
  <c r="J34" i="35" s="1"/>
  <c r="AG91" i="1" s="1"/>
  <c r="AN91" i="1" s="1"/>
  <c r="T96" i="11"/>
  <c r="T95" i="11" s="1"/>
  <c r="J118" i="56"/>
  <c r="J63" i="56" s="1"/>
  <c r="R91" i="20"/>
  <c r="R93" i="18"/>
  <c r="R92" i="18" s="1"/>
  <c r="T93" i="18"/>
  <c r="T92" i="18" s="1"/>
  <c r="P93" i="18"/>
  <c r="P92" i="18" s="1"/>
  <c r="AU73" i="1" s="1"/>
  <c r="T83" i="59"/>
  <c r="BK97" i="28"/>
  <c r="J97" i="28" s="1"/>
  <c r="J68" i="28" s="1"/>
  <c r="P96" i="13"/>
  <c r="P95" i="13"/>
  <c r="AU68" i="1" s="1"/>
  <c r="R84" i="55"/>
  <c r="P98" i="40"/>
  <c r="P97" i="40"/>
  <c r="AU96" i="1" s="1"/>
  <c r="T906" i="2"/>
  <c r="R87" i="50"/>
  <c r="R98" i="36"/>
  <c r="R97" i="36" s="1"/>
  <c r="T98" i="47"/>
  <c r="T97" i="47"/>
  <c r="R97" i="25"/>
  <c r="R96" i="25" s="1"/>
  <c r="T96" i="13"/>
  <c r="T95" i="13" s="1"/>
  <c r="BK97" i="7"/>
  <c r="J97" i="7" s="1"/>
  <c r="J68" i="7" s="1"/>
  <c r="T97" i="23"/>
  <c r="T96" i="23"/>
  <c r="R96" i="15"/>
  <c r="R95" i="15"/>
  <c r="R83" i="59"/>
  <c r="BK85" i="53"/>
  <c r="BK84" i="53" s="1"/>
  <c r="J84" i="53" s="1"/>
  <c r="J59" i="53" s="1"/>
  <c r="P98" i="49"/>
  <c r="P97" i="49" s="1"/>
  <c r="AU105" i="1" s="1"/>
  <c r="T97" i="34"/>
  <c r="T96" i="34"/>
  <c r="T91" i="52"/>
  <c r="T90" i="52" s="1"/>
  <c r="T89" i="52" s="1"/>
  <c r="R98" i="44"/>
  <c r="R97" i="44" s="1"/>
  <c r="R97" i="28"/>
  <c r="R96" i="28" s="1"/>
  <c r="P98" i="36"/>
  <c r="P97" i="36" s="1"/>
  <c r="AU92" i="1" s="1"/>
  <c r="R96" i="17"/>
  <c r="R95" i="17"/>
  <c r="R97" i="37"/>
  <c r="R96" i="37"/>
  <c r="T97" i="26"/>
  <c r="T96" i="26"/>
  <c r="P101" i="3"/>
  <c r="P100" i="3" s="1"/>
  <c r="AU57" i="1" s="1"/>
  <c r="T84" i="55"/>
  <c r="T98" i="45"/>
  <c r="T97" i="45"/>
  <c r="BK97" i="38"/>
  <c r="BK96" i="38"/>
  <c r="J96" i="38" s="1"/>
  <c r="J34" i="38" s="1"/>
  <c r="AG94" i="1" s="1"/>
  <c r="BK97" i="30"/>
  <c r="J97" i="30"/>
  <c r="J68" i="30"/>
  <c r="R97" i="8"/>
  <c r="R96" i="8"/>
  <c r="T143" i="4"/>
  <c r="T96" i="4"/>
  <c r="BK97" i="37"/>
  <c r="BK96" i="37" s="1"/>
  <c r="J96" i="37" s="1"/>
  <c r="J67" i="37" s="1"/>
  <c r="P97" i="27"/>
  <c r="P96" i="27"/>
  <c r="AU83" i="1" s="1"/>
  <c r="P84" i="54"/>
  <c r="P83" i="54" s="1"/>
  <c r="AU110" i="1" s="1"/>
  <c r="P97" i="43"/>
  <c r="P96" i="43"/>
  <c r="AU99" i="1" s="1"/>
  <c r="R97" i="4"/>
  <c r="P84" i="55"/>
  <c r="AU111" i="1"/>
  <c r="BK91" i="52"/>
  <c r="J91" i="52" s="1"/>
  <c r="J61" i="52" s="1"/>
  <c r="R98" i="35"/>
  <c r="R97" i="35" s="1"/>
  <c r="R96" i="13"/>
  <c r="R95" i="13" s="1"/>
  <c r="P97" i="38"/>
  <c r="P96" i="38" s="1"/>
  <c r="AU94" i="1" s="1"/>
  <c r="R97" i="31"/>
  <c r="R96" i="31"/>
  <c r="T97" i="22"/>
  <c r="T96" i="22"/>
  <c r="R97" i="43"/>
  <c r="R96" i="43"/>
  <c r="P97" i="26"/>
  <c r="P96" i="26" s="1"/>
  <c r="AU82" i="1" s="1"/>
  <c r="R97" i="19"/>
  <c r="P96" i="17"/>
  <c r="P95" i="17"/>
  <c r="AU72" i="1" s="1"/>
  <c r="R97" i="7"/>
  <c r="R96" i="7" s="1"/>
  <c r="P83" i="59"/>
  <c r="AU115" i="1"/>
  <c r="T97" i="19"/>
  <c r="P96" i="12"/>
  <c r="P95" i="12"/>
  <c r="AU67" i="1" s="1"/>
  <c r="T97" i="6"/>
  <c r="T96" i="6" s="1"/>
  <c r="R98" i="40"/>
  <c r="R97" i="40"/>
  <c r="BK97" i="25"/>
  <c r="BK96" i="25" s="1"/>
  <c r="J96" i="25" s="1"/>
  <c r="J67" i="25" s="1"/>
  <c r="R96" i="5"/>
  <c r="R95" i="5" s="1"/>
  <c r="P98" i="42"/>
  <c r="P97" i="42"/>
  <c r="AU98" i="1"/>
  <c r="BK98" i="40"/>
  <c r="BK97" i="40"/>
  <c r="J97" i="40" s="1"/>
  <c r="J34" i="40" s="1"/>
  <c r="AG96" i="1" s="1"/>
  <c r="T97" i="32"/>
  <c r="T96" i="32" s="1"/>
  <c r="R101" i="3"/>
  <c r="R100" i="3"/>
  <c r="P98" i="46"/>
  <c r="P97" i="46" s="1"/>
  <c r="AU102" i="1" s="1"/>
  <c r="R97" i="33"/>
  <c r="R96" i="33"/>
  <c r="R97" i="22"/>
  <c r="R96" i="22" s="1"/>
  <c r="P96" i="16"/>
  <c r="P95" i="16"/>
  <c r="AU71" i="1" s="1"/>
  <c r="P97" i="8"/>
  <c r="P96" i="8" s="1"/>
  <c r="AU63" i="1" s="1"/>
  <c r="P119" i="58"/>
  <c r="P87" i="58" s="1"/>
  <c r="AU114" i="1" s="1"/>
  <c r="BK97" i="39"/>
  <c r="BK96" i="39" s="1"/>
  <c r="J96" i="39" s="1"/>
  <c r="J34" i="39" s="1"/>
  <c r="AG95" i="1" s="1"/>
  <c r="T84" i="56"/>
  <c r="P84" i="51"/>
  <c r="P83" i="51" s="1"/>
  <c r="AU107" i="1" s="1"/>
  <c r="T96" i="12"/>
  <c r="T95" i="12"/>
  <c r="P97" i="34"/>
  <c r="P96" i="34"/>
  <c r="AU90" i="1" s="1"/>
  <c r="BK97" i="24"/>
  <c r="BK96" i="24" s="1"/>
  <c r="J96" i="24" s="1"/>
  <c r="J67" i="24" s="1"/>
  <c r="BK83" i="51"/>
  <c r="J83" i="51" s="1"/>
  <c r="J59" i="51" s="1"/>
  <c r="T97" i="43"/>
  <c r="T96" i="43"/>
  <c r="P97" i="33"/>
  <c r="P96" i="33" s="1"/>
  <c r="AU89" i="1" s="1"/>
  <c r="R98" i="45"/>
  <c r="R97" i="45" s="1"/>
  <c r="P97" i="28"/>
  <c r="P96" i="28" s="1"/>
  <c r="AU84" i="1" s="1"/>
  <c r="P97" i="23"/>
  <c r="P96" i="23" s="1"/>
  <c r="AU79" i="1" s="1"/>
  <c r="T115" i="2"/>
  <c r="T114" i="2" s="1"/>
  <c r="R97" i="6"/>
  <c r="R96" i="6" s="1"/>
  <c r="BK87" i="50"/>
  <c r="J87" i="50" s="1"/>
  <c r="J63" i="50" s="1"/>
  <c r="R143" i="4"/>
  <c r="BK115" i="2"/>
  <c r="BK114" i="2" s="1"/>
  <c r="J114" i="2" s="1"/>
  <c r="J32" i="2" s="1"/>
  <c r="AG56" i="1" s="1"/>
  <c r="T97" i="38"/>
  <c r="T96" i="38"/>
  <c r="BK101" i="3"/>
  <c r="J101" i="3" s="1"/>
  <c r="J64" i="3" s="1"/>
  <c r="T87" i="50"/>
  <c r="P97" i="39"/>
  <c r="P96" i="39"/>
  <c r="AU95" i="1" s="1"/>
  <c r="R97" i="30"/>
  <c r="R96" i="30" s="1"/>
  <c r="P96" i="5"/>
  <c r="P95" i="5"/>
  <c r="AU60" i="1"/>
  <c r="T98" i="35"/>
  <c r="T97" i="35"/>
  <c r="T97" i="24"/>
  <c r="T96" i="24"/>
  <c r="R98" i="41"/>
  <c r="R97" i="41" s="1"/>
  <c r="BK96" i="5"/>
  <c r="J96" i="5"/>
  <c r="J68" i="5" s="1"/>
  <c r="T119" i="58"/>
  <c r="T87" i="58" s="1"/>
  <c r="T88" i="58"/>
  <c r="T101" i="3"/>
  <c r="T100" i="3" s="1"/>
  <c r="P97" i="24"/>
  <c r="P96" i="24"/>
  <c r="AU80" i="1" s="1"/>
  <c r="R906" i="2"/>
  <c r="R114" i="2" s="1"/>
  <c r="R88" i="58"/>
  <c r="R87" i="58" s="1"/>
  <c r="P97" i="37"/>
  <c r="P96" i="37"/>
  <c r="AU93" i="1"/>
  <c r="P91" i="20"/>
  <c r="AU75" i="1"/>
  <c r="R97" i="27"/>
  <c r="R96" i="27"/>
  <c r="T85" i="53"/>
  <c r="T84" i="53" s="1"/>
  <c r="R98" i="49"/>
  <c r="R97" i="49"/>
  <c r="R97" i="26"/>
  <c r="R96" i="26"/>
  <c r="P97" i="19"/>
  <c r="AU74" i="1"/>
  <c r="T98" i="49"/>
  <c r="T97" i="49" s="1"/>
  <c r="T97" i="39"/>
  <c r="T96" i="39"/>
  <c r="T97" i="33"/>
  <c r="T96" i="33"/>
  <c r="P96" i="11"/>
  <c r="P95" i="11"/>
  <c r="AU66" i="1" s="1"/>
  <c r="T98" i="42"/>
  <c r="T97" i="42"/>
  <c r="T97" i="25"/>
  <c r="T96" i="25" s="1"/>
  <c r="R96" i="12"/>
  <c r="R95" i="12" s="1"/>
  <c r="R96" i="14"/>
  <c r="R95" i="14" s="1"/>
  <c r="P98" i="48"/>
  <c r="P97" i="48"/>
  <c r="AU104" i="1"/>
  <c r="R97" i="39"/>
  <c r="R96" i="39"/>
  <c r="P85" i="53"/>
  <c r="P84" i="53"/>
  <c r="AU109" i="1" s="1"/>
  <c r="P97" i="22"/>
  <c r="P96" i="22"/>
  <c r="AU78" i="1"/>
  <c r="R84" i="56"/>
  <c r="R97" i="38"/>
  <c r="R96" i="38" s="1"/>
  <c r="T97" i="29"/>
  <c r="T96" i="29" s="1"/>
  <c r="P98" i="41"/>
  <c r="P97" i="41"/>
  <c r="AU97" i="1"/>
  <c r="P97" i="31"/>
  <c r="P96" i="31"/>
  <c r="AU87" i="1" s="1"/>
  <c r="P96" i="4"/>
  <c r="AU58" i="1" s="1"/>
  <c r="P87" i="50"/>
  <c r="AU106" i="1"/>
  <c r="R98" i="46"/>
  <c r="R97" i="46" s="1"/>
  <c r="R98" i="42"/>
  <c r="R97" i="42" s="1"/>
  <c r="T96" i="17"/>
  <c r="T95" i="17" s="1"/>
  <c r="T96" i="5"/>
  <c r="T95" i="5"/>
  <c r="R96" i="10"/>
  <c r="R95" i="10" s="1"/>
  <c r="BK97" i="4"/>
  <c r="J97" i="4" s="1"/>
  <c r="J64" i="4" s="1"/>
  <c r="P906" i="2"/>
  <c r="P114" i="2" s="1"/>
  <c r="AU56" i="1" s="1"/>
  <c r="AG112" i="1"/>
  <c r="AG73" i="1"/>
  <c r="BK1630" i="2"/>
  <c r="J1630" i="2" s="1"/>
  <c r="J91" i="2" s="1"/>
  <c r="BK97" i="31"/>
  <c r="J97" i="31" s="1"/>
  <c r="J68" i="31" s="1"/>
  <c r="BK96" i="15"/>
  <c r="J96" i="15" s="1"/>
  <c r="J68" i="15" s="1"/>
  <c r="BK82" i="60"/>
  <c r="J82" i="60"/>
  <c r="J60" i="60"/>
  <c r="BK87" i="58"/>
  <c r="J87" i="58"/>
  <c r="J59" i="58"/>
  <c r="AG111" i="1"/>
  <c r="J59" i="55"/>
  <c r="BK83" i="54"/>
  <c r="J83" i="54"/>
  <c r="AG105" i="1"/>
  <c r="AN105" i="1" s="1"/>
  <c r="J98" i="49"/>
  <c r="J68" i="49"/>
  <c r="J67" i="49"/>
  <c r="AG104" i="1"/>
  <c r="J98" i="48"/>
  <c r="J68" i="48" s="1"/>
  <c r="J67" i="48"/>
  <c r="BK97" i="47"/>
  <c r="J97" i="47" s="1"/>
  <c r="J67" i="47" s="1"/>
  <c r="J98" i="46"/>
  <c r="J68" i="46" s="1"/>
  <c r="BK97" i="45"/>
  <c r="J97" i="45" s="1"/>
  <c r="J67" i="45" s="1"/>
  <c r="BK97" i="44"/>
  <c r="J97" i="44" s="1"/>
  <c r="J67" i="44" s="1"/>
  <c r="AG99" i="1"/>
  <c r="J97" i="43"/>
  <c r="J68" i="43"/>
  <c r="J67" i="43"/>
  <c r="BK97" i="42"/>
  <c r="J97" i="42"/>
  <c r="J67" i="42" s="1"/>
  <c r="J98" i="41"/>
  <c r="J68" i="41" s="1"/>
  <c r="BK97" i="36"/>
  <c r="J97" i="36"/>
  <c r="J34" i="36" s="1"/>
  <c r="AG92" i="1" s="1"/>
  <c r="J67" i="35"/>
  <c r="J98" i="35"/>
  <c r="J68" i="35" s="1"/>
  <c r="BK96" i="34"/>
  <c r="J96" i="34" s="1"/>
  <c r="J34" i="34" s="1"/>
  <c r="AG90" i="1" s="1"/>
  <c r="BK96" i="33"/>
  <c r="J96" i="33"/>
  <c r="J67" i="33" s="1"/>
  <c r="J97" i="32"/>
  <c r="J68" i="32"/>
  <c r="BK96" i="29"/>
  <c r="J96" i="29"/>
  <c r="BK96" i="27"/>
  <c r="J96" i="27" s="1"/>
  <c r="J67" i="27" s="1"/>
  <c r="BK96" i="26"/>
  <c r="J96" i="26"/>
  <c r="J34" i="26" s="1"/>
  <c r="AG82" i="1" s="1"/>
  <c r="BK96" i="23"/>
  <c r="J96" i="23" s="1"/>
  <c r="J67" i="23" s="1"/>
  <c r="BK96" i="22"/>
  <c r="J96" i="22" s="1"/>
  <c r="J67" i="22" s="1"/>
  <c r="J89" i="21"/>
  <c r="J64" i="21"/>
  <c r="AG75" i="1"/>
  <c r="J63" i="20"/>
  <c r="AG72" i="1"/>
  <c r="J67" i="17"/>
  <c r="J96" i="17"/>
  <c r="J68" i="17"/>
  <c r="BK95" i="16"/>
  <c r="J95" i="16"/>
  <c r="BK95" i="14"/>
  <c r="J95" i="14" s="1"/>
  <c r="J67" i="14" s="1"/>
  <c r="BK95" i="13"/>
  <c r="J95" i="13" s="1"/>
  <c r="J34" i="13" s="1"/>
  <c r="AG68" i="1" s="1"/>
  <c r="BK95" i="12"/>
  <c r="J95" i="12" s="1"/>
  <c r="J34" i="12" s="1"/>
  <c r="AG67" i="1" s="1"/>
  <c r="BK95" i="11"/>
  <c r="J95" i="11"/>
  <c r="BK95" i="9"/>
  <c r="J95" i="9" s="1"/>
  <c r="J67" i="9" s="1"/>
  <c r="BK96" i="8"/>
  <c r="J96" i="8"/>
  <c r="J67" i="8"/>
  <c r="BK96" i="6"/>
  <c r="J96" i="6"/>
  <c r="J67" i="6" s="1"/>
  <c r="F37" i="16"/>
  <c r="AZ71" i="1" s="1"/>
  <c r="J34" i="41"/>
  <c r="AG97" i="1" s="1"/>
  <c r="F37" i="42"/>
  <c r="AZ98" i="1"/>
  <c r="J35" i="4"/>
  <c r="AV58" i="1" s="1"/>
  <c r="AT58" i="1" s="1"/>
  <c r="J37" i="23"/>
  <c r="AV79" i="1" s="1"/>
  <c r="AT79" i="1" s="1"/>
  <c r="J37" i="34"/>
  <c r="AV90" i="1" s="1"/>
  <c r="AT90" i="1" s="1"/>
  <c r="J35" i="50"/>
  <c r="AV106" i="1" s="1"/>
  <c r="AT106" i="1" s="1"/>
  <c r="J37" i="10"/>
  <c r="AV65" i="1"/>
  <c r="AT65" i="1"/>
  <c r="F37" i="14"/>
  <c r="AZ69" i="1"/>
  <c r="J33" i="57"/>
  <c r="AV113" i="1"/>
  <c r="AT113" i="1"/>
  <c r="J33" i="58"/>
  <c r="AV114" i="1"/>
  <c r="AT114" i="1" s="1"/>
  <c r="F37" i="11"/>
  <c r="AZ66" i="1"/>
  <c r="F37" i="35"/>
  <c r="AZ91" i="1" s="1"/>
  <c r="F37" i="41"/>
  <c r="AZ97" i="1" s="1"/>
  <c r="BA77" i="1"/>
  <c r="AW77" i="1"/>
  <c r="F37" i="9"/>
  <c r="AZ64" i="1"/>
  <c r="J37" i="15"/>
  <c r="AV70" i="1" s="1"/>
  <c r="AT70" i="1" s="1"/>
  <c r="F37" i="22"/>
  <c r="AZ78" i="1" s="1"/>
  <c r="J34" i="32"/>
  <c r="AG88" i="1" s="1"/>
  <c r="F37" i="39"/>
  <c r="AZ95" i="1"/>
  <c r="BA59" i="1"/>
  <c r="AW59" i="1"/>
  <c r="F37" i="31"/>
  <c r="AZ87" i="1" s="1"/>
  <c r="J37" i="37"/>
  <c r="AV93" i="1" s="1"/>
  <c r="AT93" i="1" s="1"/>
  <c r="J33" i="60"/>
  <c r="AV116" i="1" s="1"/>
  <c r="AT116" i="1" s="1"/>
  <c r="F37" i="6"/>
  <c r="AZ61" i="1" s="1"/>
  <c r="F37" i="10"/>
  <c r="AZ65" i="1" s="1"/>
  <c r="J37" i="29"/>
  <c r="AV85" i="1"/>
  <c r="AT85" i="1" s="1"/>
  <c r="BB77" i="1"/>
  <c r="AX77" i="1" s="1"/>
  <c r="F37" i="46"/>
  <c r="AZ102" i="1"/>
  <c r="J35" i="3"/>
  <c r="AV57" i="1"/>
  <c r="AT57" i="1"/>
  <c r="J37" i="28"/>
  <c r="AV84" i="1"/>
  <c r="AT84" i="1" s="1"/>
  <c r="F33" i="58"/>
  <c r="AZ114" i="1"/>
  <c r="J37" i="41"/>
  <c r="AV97" i="1" s="1"/>
  <c r="AT97" i="1" s="1"/>
  <c r="F37" i="5"/>
  <c r="AZ60" i="1" s="1"/>
  <c r="J37" i="16"/>
  <c r="AV71" i="1"/>
  <c r="AT71" i="1" s="1"/>
  <c r="F35" i="20"/>
  <c r="AZ75" i="1" s="1"/>
  <c r="F37" i="43"/>
  <c r="AZ99" i="1"/>
  <c r="J35" i="2"/>
  <c r="AV56" i="1"/>
  <c r="AT56" i="1"/>
  <c r="F35" i="3"/>
  <c r="AZ57" i="1"/>
  <c r="F33" i="52"/>
  <c r="AZ108" i="1" s="1"/>
  <c r="F35" i="19"/>
  <c r="AZ74" i="1" s="1"/>
  <c r="F37" i="45"/>
  <c r="AZ101" i="1"/>
  <c r="BD77" i="1"/>
  <c r="J37" i="7"/>
  <c r="AV62" i="1" s="1"/>
  <c r="AT62" i="1" s="1"/>
  <c r="F37" i="15"/>
  <c r="AZ70" i="1" s="1"/>
  <c r="F35" i="21"/>
  <c r="AZ76" i="1"/>
  <c r="F37" i="25"/>
  <c r="AZ81" i="1"/>
  <c r="J37" i="39"/>
  <c r="AV95" i="1" s="1"/>
  <c r="AT95" i="1" s="1"/>
  <c r="J37" i="40"/>
  <c r="AV96" i="1"/>
  <c r="AT96" i="1"/>
  <c r="J33" i="55"/>
  <c r="AV111" i="1"/>
  <c r="AT111" i="1" s="1"/>
  <c r="AN111" i="1" s="1"/>
  <c r="J35" i="18"/>
  <c r="AV73" i="1" s="1"/>
  <c r="AT73" i="1" s="1"/>
  <c r="AN73" i="1" s="1"/>
  <c r="J37" i="30"/>
  <c r="AV86" i="1" s="1"/>
  <c r="AT86" i="1" s="1"/>
  <c r="J37" i="49"/>
  <c r="AV105" i="1"/>
  <c r="AT105" i="1"/>
  <c r="F37" i="26"/>
  <c r="AZ82" i="1" s="1"/>
  <c r="F37" i="33"/>
  <c r="AZ89" i="1"/>
  <c r="J37" i="48"/>
  <c r="AV104" i="1"/>
  <c r="AT104" i="1"/>
  <c r="AN104" i="1" s="1"/>
  <c r="J37" i="9"/>
  <c r="AV64" i="1" s="1"/>
  <c r="AT64" i="1" s="1"/>
  <c r="F33" i="59"/>
  <c r="AZ115" i="1" s="1"/>
  <c r="J37" i="5"/>
  <c r="AV60" i="1" s="1"/>
  <c r="AT60" i="1" s="1"/>
  <c r="BC59" i="1"/>
  <c r="AY59" i="1" s="1"/>
  <c r="J35" i="21"/>
  <c r="AV76" i="1"/>
  <c r="AT76" i="1" s="1"/>
  <c r="F37" i="27"/>
  <c r="AZ83" i="1" s="1"/>
  <c r="J37" i="36"/>
  <c r="AV92" i="1"/>
  <c r="AT92" i="1" s="1"/>
  <c r="F37" i="37"/>
  <c r="AZ93" i="1"/>
  <c r="J37" i="43"/>
  <c r="AV99" i="1" s="1"/>
  <c r="AT99" i="1" s="1"/>
  <c r="AN99" i="1" s="1"/>
  <c r="J33" i="51"/>
  <c r="AV107" i="1"/>
  <c r="AT107" i="1" s="1"/>
  <c r="F33" i="54"/>
  <c r="AZ110" i="1" s="1"/>
  <c r="J37" i="26"/>
  <c r="AV82" i="1"/>
  <c r="AT82" i="1" s="1"/>
  <c r="F37" i="29"/>
  <c r="AZ85" i="1"/>
  <c r="F37" i="34"/>
  <c r="AZ90" i="1"/>
  <c r="F37" i="40"/>
  <c r="AZ96" i="1" s="1"/>
  <c r="F37" i="49"/>
  <c r="AZ105" i="1" s="1"/>
  <c r="J30" i="57"/>
  <c r="AG113" i="1"/>
  <c r="F35" i="4"/>
  <c r="AZ58" i="1"/>
  <c r="F37" i="13"/>
  <c r="AZ68" i="1" s="1"/>
  <c r="J34" i="16"/>
  <c r="AG71" i="1" s="1"/>
  <c r="J37" i="17"/>
  <c r="AV72" i="1"/>
  <c r="AT72" i="1" s="1"/>
  <c r="AN72" i="1" s="1"/>
  <c r="F35" i="18"/>
  <c r="AZ73" i="1" s="1"/>
  <c r="J37" i="24"/>
  <c r="AV80" i="1" s="1"/>
  <c r="AT80" i="1" s="1"/>
  <c r="J37" i="42"/>
  <c r="AV98" i="1" s="1"/>
  <c r="AT98" i="1" s="1"/>
  <c r="F37" i="24"/>
  <c r="AZ80" i="1" s="1"/>
  <c r="J37" i="35"/>
  <c r="AV91" i="1" s="1"/>
  <c r="AT91" i="1" s="1"/>
  <c r="F33" i="51"/>
  <c r="AZ107" i="1"/>
  <c r="F37" i="12"/>
  <c r="AZ67" i="1" s="1"/>
  <c r="J32" i="21"/>
  <c r="AG76" i="1" s="1"/>
  <c r="F37" i="23"/>
  <c r="AZ79" i="1"/>
  <c r="F37" i="32"/>
  <c r="AZ88" i="1"/>
  <c r="J30" i="54"/>
  <c r="AG110" i="1" s="1"/>
  <c r="F33" i="55"/>
  <c r="AZ111" i="1" s="1"/>
  <c r="F37" i="17"/>
  <c r="AZ72" i="1"/>
  <c r="J33" i="52"/>
  <c r="AV108" i="1" s="1"/>
  <c r="AT108" i="1" s="1"/>
  <c r="F37" i="30"/>
  <c r="AZ86" i="1"/>
  <c r="F37" i="47"/>
  <c r="AZ103" i="1" s="1"/>
  <c r="J33" i="54"/>
  <c r="AV110" i="1" s="1"/>
  <c r="AT110" i="1" s="1"/>
  <c r="J30" i="59"/>
  <c r="AG115" i="1" s="1"/>
  <c r="F33" i="60"/>
  <c r="AZ116" i="1" s="1"/>
  <c r="J37" i="11"/>
  <c r="AV66" i="1"/>
  <c r="AT66" i="1" s="1"/>
  <c r="BB59" i="1"/>
  <c r="AX59" i="1"/>
  <c r="J37" i="27"/>
  <c r="AV83" i="1"/>
  <c r="AT83" i="1" s="1"/>
  <c r="J37" i="46"/>
  <c r="AV102" i="1"/>
  <c r="AT102" i="1" s="1"/>
  <c r="J37" i="22"/>
  <c r="AV78" i="1"/>
  <c r="AT78" i="1" s="1"/>
  <c r="J37" i="38"/>
  <c r="AV94" i="1" s="1"/>
  <c r="AT94" i="1" s="1"/>
  <c r="F33" i="53"/>
  <c r="AZ109" i="1" s="1"/>
  <c r="F37" i="48"/>
  <c r="AZ104" i="1"/>
  <c r="J33" i="53"/>
  <c r="AV109" i="1"/>
  <c r="AT109" i="1" s="1"/>
  <c r="J37" i="6"/>
  <c r="AV61" i="1"/>
  <c r="AT61" i="1" s="1"/>
  <c r="J37" i="13"/>
  <c r="AV68" i="1"/>
  <c r="AT68" i="1" s="1"/>
  <c r="J32" i="19"/>
  <c r="AG74" i="1" s="1"/>
  <c r="J35" i="20"/>
  <c r="AV75" i="1"/>
  <c r="AT75" i="1" s="1"/>
  <c r="AN75" i="1" s="1"/>
  <c r="J34" i="46"/>
  <c r="AG102" i="1" s="1"/>
  <c r="J37" i="47"/>
  <c r="AV103" i="1" s="1"/>
  <c r="AT103" i="1" s="1"/>
  <c r="BC77" i="1"/>
  <c r="AY77" i="1" s="1"/>
  <c r="F37" i="8"/>
  <c r="AZ63" i="1"/>
  <c r="J37" i="31"/>
  <c r="AV87" i="1"/>
  <c r="AT87" i="1" s="1"/>
  <c r="F37" i="44"/>
  <c r="AZ100" i="1"/>
  <c r="F33" i="57"/>
  <c r="AZ113" i="1"/>
  <c r="J37" i="8"/>
  <c r="AV63" i="1" s="1"/>
  <c r="AT63" i="1" s="1"/>
  <c r="J34" i="11"/>
  <c r="AG66" i="1"/>
  <c r="J37" i="14"/>
  <c r="AV69" i="1"/>
  <c r="AT69" i="1" s="1"/>
  <c r="BD59" i="1"/>
  <c r="J37" i="25"/>
  <c r="AV81" i="1"/>
  <c r="AT81" i="1"/>
  <c r="F37" i="28"/>
  <c r="AZ84" i="1"/>
  <c r="J37" i="32"/>
  <c r="AV88" i="1" s="1"/>
  <c r="AT88" i="1" s="1"/>
  <c r="F37" i="38"/>
  <c r="AZ94" i="1"/>
  <c r="J37" i="44"/>
  <c r="AV100" i="1" s="1"/>
  <c r="AT100" i="1" s="1"/>
  <c r="F35" i="50"/>
  <c r="AZ106" i="1" s="1"/>
  <c r="J33" i="56"/>
  <c r="AV112" i="1" s="1"/>
  <c r="AT112" i="1" s="1"/>
  <c r="AN112" i="1" s="1"/>
  <c r="J37" i="33"/>
  <c r="AV89" i="1"/>
  <c r="AT89" i="1"/>
  <c r="J33" i="59"/>
  <c r="AV115" i="1"/>
  <c r="AT115" i="1" s="1"/>
  <c r="J37" i="45"/>
  <c r="AV101" i="1"/>
  <c r="AT101" i="1" s="1"/>
  <c r="F35" i="2"/>
  <c r="AZ56" i="1" s="1"/>
  <c r="F37" i="7"/>
  <c r="AZ62" i="1"/>
  <c r="J37" i="12"/>
  <c r="AV67" i="1" s="1"/>
  <c r="AT67" i="1" s="1"/>
  <c r="J35" i="19"/>
  <c r="AV74" i="1" s="1"/>
  <c r="AT74" i="1" s="1"/>
  <c r="J34" i="29"/>
  <c r="AG85" i="1"/>
  <c r="F37" i="36"/>
  <c r="AZ92" i="1" s="1"/>
  <c r="F33" i="56"/>
  <c r="AZ112" i="1"/>
  <c r="BK96" i="4" l="1"/>
  <c r="J96" i="4" s="1"/>
  <c r="J32" i="4" s="1"/>
  <c r="AG58" i="1" s="1"/>
  <c r="J115" i="2"/>
  <c r="J64" i="2" s="1"/>
  <c r="J96" i="10"/>
  <c r="J68" i="10" s="1"/>
  <c r="BK95" i="10"/>
  <c r="J95" i="10" s="1"/>
  <c r="R96" i="4"/>
  <c r="BK96" i="7"/>
  <c r="J96" i="7" s="1"/>
  <c r="J34" i="7" s="1"/>
  <c r="AG62" i="1" s="1"/>
  <c r="J97" i="24"/>
  <c r="J68" i="24" s="1"/>
  <c r="J97" i="38"/>
  <c r="J68" i="38"/>
  <c r="J98" i="40"/>
  <c r="J68" i="40"/>
  <c r="J97" i="37"/>
  <c r="J68" i="37" s="1"/>
  <c r="BK96" i="30"/>
  <c r="J96" i="30" s="1"/>
  <c r="J67" i="30" s="1"/>
  <c r="BK96" i="28"/>
  <c r="J96" i="28" s="1"/>
  <c r="J34" i="28" s="1"/>
  <c r="AG84" i="1" s="1"/>
  <c r="J85" i="53"/>
  <c r="J60" i="53" s="1"/>
  <c r="J97" i="39"/>
  <c r="J68" i="39"/>
  <c r="J67" i="38"/>
  <c r="BK95" i="5"/>
  <c r="J95" i="5"/>
  <c r="BK100" i="3"/>
  <c r="J100" i="3"/>
  <c r="BK95" i="15"/>
  <c r="J95" i="15" s="1"/>
  <c r="J67" i="15" s="1"/>
  <c r="J97" i="25"/>
  <c r="J68" i="25" s="1"/>
  <c r="J67" i="40"/>
  <c r="BK96" i="31"/>
  <c r="J96" i="31"/>
  <c r="BK90" i="52"/>
  <c r="J90" i="52" s="1"/>
  <c r="J60" i="52" s="1"/>
  <c r="J67" i="39"/>
  <c r="BK81" i="60"/>
  <c r="J81" i="60"/>
  <c r="J59" i="60" s="1"/>
  <c r="AN115" i="1"/>
  <c r="J39" i="59"/>
  <c r="AN113" i="1"/>
  <c r="J39" i="57"/>
  <c r="J39" i="56"/>
  <c r="AN110" i="1"/>
  <c r="J59" i="54"/>
  <c r="J39" i="55"/>
  <c r="J39" i="54"/>
  <c r="J43" i="49"/>
  <c r="J43" i="48"/>
  <c r="AN102" i="1"/>
  <c r="J43" i="46"/>
  <c r="J43" i="43"/>
  <c r="AN97" i="1"/>
  <c r="J43" i="41"/>
  <c r="J43" i="40"/>
  <c r="J43" i="39"/>
  <c r="J43" i="38"/>
  <c r="AN92" i="1"/>
  <c r="J67" i="36"/>
  <c r="J43" i="36"/>
  <c r="AN90" i="1"/>
  <c r="J67" i="34"/>
  <c r="J43" i="35"/>
  <c r="J43" i="34"/>
  <c r="AN88" i="1"/>
  <c r="J43" i="32"/>
  <c r="AN85" i="1"/>
  <c r="J67" i="29"/>
  <c r="J43" i="29"/>
  <c r="AN82" i="1"/>
  <c r="J67" i="26"/>
  <c r="J43" i="26"/>
  <c r="AN76" i="1"/>
  <c r="J41" i="21"/>
  <c r="AN74" i="1"/>
  <c r="J41" i="20"/>
  <c r="J41" i="19"/>
  <c r="J41" i="18"/>
  <c r="AN71" i="1"/>
  <c r="J67" i="16"/>
  <c r="J43" i="17"/>
  <c r="J43" i="16"/>
  <c r="AN68" i="1"/>
  <c r="J67" i="13"/>
  <c r="AN67" i="1"/>
  <c r="J67" i="12"/>
  <c r="J43" i="13"/>
  <c r="AN66" i="1"/>
  <c r="J67" i="11"/>
  <c r="J43" i="12"/>
  <c r="J43" i="11"/>
  <c r="AN58" i="1"/>
  <c r="J63" i="4"/>
  <c r="J41" i="4"/>
  <c r="AN56" i="1"/>
  <c r="J63" i="2"/>
  <c r="J41" i="2"/>
  <c r="AN94" i="1"/>
  <c r="AN95" i="1"/>
  <c r="AN96" i="1"/>
  <c r="J34" i="22"/>
  <c r="AG78" i="1"/>
  <c r="J34" i="37"/>
  <c r="AG93" i="1" s="1"/>
  <c r="J34" i="33"/>
  <c r="AG89" i="1" s="1"/>
  <c r="AN89" i="1" s="1"/>
  <c r="AU77" i="1"/>
  <c r="J34" i="5"/>
  <c r="AG60" i="1"/>
  <c r="J34" i="25"/>
  <c r="AG81" i="1" s="1"/>
  <c r="J34" i="44"/>
  <c r="AG100" i="1" s="1"/>
  <c r="AN100" i="1" s="1"/>
  <c r="J30" i="53"/>
  <c r="AG109" i="1" s="1"/>
  <c r="J32" i="3"/>
  <c r="AG57" i="1" s="1"/>
  <c r="J34" i="6"/>
  <c r="AG61" i="1"/>
  <c r="J34" i="24"/>
  <c r="AG80" i="1" s="1"/>
  <c r="J34" i="42"/>
  <c r="AG98" i="1" s="1"/>
  <c r="AN98" i="1" s="1"/>
  <c r="J34" i="8"/>
  <c r="AG63" i="1" s="1"/>
  <c r="AN63" i="1" s="1"/>
  <c r="J34" i="45"/>
  <c r="AG101" i="1" s="1"/>
  <c r="AN101" i="1" s="1"/>
  <c r="BD55" i="1"/>
  <c r="AZ77" i="1"/>
  <c r="AV77" i="1" s="1"/>
  <c r="AT77" i="1" s="1"/>
  <c r="BC55" i="1"/>
  <c r="J34" i="23"/>
  <c r="AG79" i="1" s="1"/>
  <c r="AN79" i="1" s="1"/>
  <c r="J32" i="50"/>
  <c r="AG106" i="1"/>
  <c r="J34" i="47"/>
  <c r="AG103" i="1" s="1"/>
  <c r="AN103" i="1" s="1"/>
  <c r="BB55" i="1"/>
  <c r="AU59" i="1"/>
  <c r="J34" i="14"/>
  <c r="AG69" i="1" s="1"/>
  <c r="AN69" i="1" s="1"/>
  <c r="AZ59" i="1"/>
  <c r="AV59" i="1" s="1"/>
  <c r="AT59" i="1" s="1"/>
  <c r="J30" i="51"/>
  <c r="AG107" i="1" s="1"/>
  <c r="J34" i="9"/>
  <c r="AG64" i="1"/>
  <c r="AN64" i="1" s="1"/>
  <c r="BA55" i="1"/>
  <c r="J30" i="58"/>
  <c r="AG114" i="1" s="1"/>
  <c r="AN114" i="1" s="1"/>
  <c r="J34" i="27"/>
  <c r="AG83" i="1" s="1"/>
  <c r="AN83" i="1" s="1"/>
  <c r="J34" i="31"/>
  <c r="AG87" i="1" s="1"/>
  <c r="J34" i="10" l="1"/>
  <c r="J67" i="10"/>
  <c r="J43" i="5"/>
  <c r="J41" i="3"/>
  <c r="J43" i="37"/>
  <c r="J41" i="50"/>
  <c r="J43" i="24"/>
  <c r="J43" i="7"/>
  <c r="J43" i="28"/>
  <c r="J39" i="53"/>
  <c r="J43" i="25"/>
  <c r="J39" i="51"/>
  <c r="J43" i="31"/>
  <c r="J67" i="5"/>
  <c r="BK89" i="52"/>
  <c r="J89" i="52"/>
  <c r="J59" i="52" s="1"/>
  <c r="J63" i="3"/>
  <c r="J67" i="28"/>
  <c r="J67" i="31"/>
  <c r="J67" i="7"/>
  <c r="J39" i="58"/>
  <c r="J43" i="47"/>
  <c r="J43" i="45"/>
  <c r="J43" i="44"/>
  <c r="J43" i="42"/>
  <c r="J43" i="33"/>
  <c r="J43" i="27"/>
  <c r="J43" i="23"/>
  <c r="J43" i="22"/>
  <c r="AN78" i="1"/>
  <c r="J43" i="14"/>
  <c r="J43" i="9"/>
  <c r="J43" i="8"/>
  <c r="J43" i="6"/>
  <c r="AN61" i="1"/>
  <c r="AN84" i="1"/>
  <c r="AN93" i="1"/>
  <c r="AN109" i="1"/>
  <c r="AN60" i="1"/>
  <c r="AN62" i="1"/>
  <c r="AN106" i="1"/>
  <c r="AN107" i="1"/>
  <c r="AN57" i="1"/>
  <c r="AN87" i="1"/>
  <c r="AN81" i="1"/>
  <c r="AN80" i="1"/>
  <c r="BC54" i="1"/>
  <c r="W32" i="1" s="1"/>
  <c r="AU55" i="1"/>
  <c r="AU54" i="1" s="1"/>
  <c r="BB54" i="1"/>
  <c r="AX54" i="1" s="1"/>
  <c r="J30" i="60"/>
  <c r="AG116" i="1"/>
  <c r="AW55" i="1"/>
  <c r="BA54" i="1"/>
  <c r="W30" i="1"/>
  <c r="AX55" i="1"/>
  <c r="BD54" i="1"/>
  <c r="W33" i="1" s="1"/>
  <c r="AY55" i="1"/>
  <c r="J34" i="15"/>
  <c r="AG70" i="1"/>
  <c r="J34" i="30"/>
  <c r="AG86" i="1" s="1"/>
  <c r="AN86" i="1" s="1"/>
  <c r="AZ55" i="1"/>
  <c r="AV55" i="1" s="1"/>
  <c r="AG65" i="1" l="1"/>
  <c r="J43" i="10"/>
  <c r="J39" i="60"/>
  <c r="J43" i="15"/>
  <c r="J43" i="30"/>
  <c r="AN116" i="1"/>
  <c r="AN70" i="1"/>
  <c r="W31" i="1"/>
  <c r="AY54" i="1"/>
  <c r="AZ54" i="1"/>
  <c r="W29" i="1"/>
  <c r="AW54" i="1"/>
  <c r="AK30" i="1" s="1"/>
  <c r="J30" i="52"/>
  <c r="AG108" i="1"/>
  <c r="AN108" i="1"/>
  <c r="AG77" i="1"/>
  <c r="AT55" i="1"/>
  <c r="AN65" i="1" l="1"/>
  <c r="AG59" i="1"/>
  <c r="AN59" i="1" s="1"/>
  <c r="AN77" i="1"/>
  <c r="J39" i="52"/>
  <c r="AV54" i="1"/>
  <c r="AK29" i="1" s="1"/>
  <c r="AG55" i="1" l="1"/>
  <c r="AG54" i="1" s="1"/>
  <c r="AK26" i="1" s="1"/>
  <c r="AK35" i="1" s="1"/>
  <c r="AT54" i="1"/>
  <c r="AN55" i="1" l="1"/>
  <c r="AN54" i="1"/>
</calcChain>
</file>

<file path=xl/sharedStrings.xml><?xml version="1.0" encoding="utf-8"?>
<sst xmlns="http://schemas.openxmlformats.org/spreadsheetml/2006/main" count="72402" uniqueCount="7265">
  <si>
    <t>Export Komplet</t>
  </si>
  <si>
    <t>VZ</t>
  </si>
  <si>
    <t>2.0</t>
  </si>
  <si>
    <t>ZAMOK</t>
  </si>
  <si>
    <t>False</t>
  </si>
  <si>
    <t>{24e73581-5112-4bc9-a670-46c7bcdc329c}</t>
  </si>
  <si>
    <t>0,01</t>
  </si>
  <si>
    <t>21</t>
  </si>
  <si>
    <t>15</t>
  </si>
  <si>
    <t>REKAPITULACE STAVBY</t>
  </si>
  <si>
    <t>v ---  níže se nacházejí doplnkové a pomocné údaje k sestavám  --- v</t>
  </si>
  <si>
    <t>Návod na vyplnění</t>
  </si>
  <si>
    <t>0,001</t>
  </si>
  <si>
    <t>Kód:</t>
  </si>
  <si>
    <t>VAPAUPOL</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</si>
  <si>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</si>
  <si>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</si>
  <si>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ARCHIV UP V OLOMOUCI - BEZ VYBAVENÍ INTERIÉRU</t>
  </si>
  <si>
    <t>KSO:</t>
  </si>
  <si>
    <t/>
  </si>
  <si>
    <t>CC-CZ:</t>
  </si>
  <si>
    <t>Místo:</t>
  </si>
  <si>
    <t>OLOMOUC</t>
  </si>
  <si>
    <t>Datum:</t>
  </si>
  <si>
    <t>4. 8. 2021</t>
  </si>
  <si>
    <t>Zadavatel:</t>
  </si>
  <si>
    <t>IČ:</t>
  </si>
  <si>
    <t>UP V OLOMOUCI, KŘÍŽOVSKÉHO 511/8, 779 00</t>
  </si>
  <si>
    <t>DIČ:</t>
  </si>
  <si>
    <t>Uchazeč:</t>
  </si>
  <si>
    <t>Vyplň údaj</t>
  </si>
  <si>
    <t>Projektant:</t>
  </si>
  <si>
    <t>ALFAPROJEKT OLOMOUC a.s.</t>
  </si>
  <si>
    <t>True</t>
  </si>
  <si>
    <t>Zpracovatel:</t>
  </si>
  <si>
    <t>PROPOS LIBEREC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</si>
  <si>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</si>
  <si>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</si>
  <si>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</si>
  <si>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</si>
  <si>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</si>
  <si>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</si>
  <si>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</si>
  <si>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</si>
  <si>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</si>
  <si>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</si>
  <si>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</si>
  <si>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</si>
  <si>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</si>
  <si>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</si>
  <si>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</si>
  <si>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</si>
  <si>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</si>
  <si>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</si>
  <si>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</si>
  <si>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</si>
  <si>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</si>
  <si>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</si>
  <si>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</si>
  <si>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</si>
  <si>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</si>
  <si>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</si>
  <si>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</si>
  <si>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</si>
  <si>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</si>
  <si>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</si>
  <si>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</si>
  <si>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</si>
  <si>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</si>
  <si>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</si>
  <si>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</si>
  <si>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</si>
  <si>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</si>
  <si>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</si>
  <si>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</si>
  <si>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</si>
  <si>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</si>
  <si>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ARCHIV</t>
  </si>
  <si>
    <t>STA</t>
  </si>
  <si>
    <t>1</t>
  </si>
  <si>
    <t>{3a75ce6f-12e8-493b-9299-ad132a73e4b4}</t>
  </si>
  <si>
    <t>8013431</t>
  </si>
  <si>
    <t>2</t>
  </si>
  <si>
    <t>/</t>
  </si>
  <si>
    <t>ARS</t>
  </si>
  <si>
    <t>STAVEBNÍ A KONSTRUKČNÍ ČÁST</t>
  </si>
  <si>
    <t>Soupis</t>
  </si>
  <si>
    <t>{aa115679-0a2e-41c4-a8a5-2f313512fd74}</t>
  </si>
  <si>
    <t>ÚT</t>
  </si>
  <si>
    <t>ZAŘÍZENÍ PRO VYTÁPĚNÍ STAVEB</t>
  </si>
  <si>
    <t>{0beb8c22-65a0-4204-acba-345afdcb5da7}</t>
  </si>
  <si>
    <t>ZTI</t>
  </si>
  <si>
    <t>ZDRAVOTECHNIKA</t>
  </si>
  <si>
    <t>{4c76657f-a1a9-46ad-8116-82de43bcab93}</t>
  </si>
  <si>
    <t>VZT</t>
  </si>
  <si>
    <t>ZAŘÍZENÍ VZDUCHOTECHNIKY</t>
  </si>
  <si>
    <t>{3fa905ac-4426-4ba4-bf06-075e6e32cc3d}</t>
  </si>
  <si>
    <t>01</t>
  </si>
  <si>
    <t>Kanceláře jih</t>
  </si>
  <si>
    <t>3</t>
  </si>
  <si>
    <t>{ddfff55d-6f4c-4da6-b943-a5c14f5c7578}</t>
  </si>
  <si>
    <t>02</t>
  </si>
  <si>
    <t>Badatelna a kancelář</t>
  </si>
  <si>
    <t>{a566123a-bd5c-49ae-8c1d-379cd4271db6}</t>
  </si>
  <si>
    <t>03</t>
  </si>
  <si>
    <t>Konferenční sál</t>
  </si>
  <si>
    <t>{f24931c3-053f-4b4b-94c6-d5b2e9b89a3f}</t>
  </si>
  <si>
    <t>04</t>
  </si>
  <si>
    <t>Kanceláře východ a příruční sklad</t>
  </si>
  <si>
    <t>{d93603c4-9f82-4b71-9569-a935d553934d}</t>
  </si>
  <si>
    <t>06</t>
  </si>
  <si>
    <t>Hala 3.NP</t>
  </si>
  <si>
    <t>{6c7f9078-1831-4305-bfb6-a2beb6561e84}</t>
  </si>
  <si>
    <t>07</t>
  </si>
  <si>
    <t>Větrání depozitářů</t>
  </si>
  <si>
    <t>{937e9b87-a756-473d-8c96-a34bd7c74b4f}</t>
  </si>
  <si>
    <t>08</t>
  </si>
  <si>
    <t>Odvětrání hyg. zázemí a technických místností</t>
  </si>
  <si>
    <t>{2793af4c-de13-4765-a016-ec3819599009}</t>
  </si>
  <si>
    <t>09</t>
  </si>
  <si>
    <t>Odvětrání hyg. zázemí</t>
  </si>
  <si>
    <t>{c4d365b0-7a5e-4adc-8173-dfadd38c6ae6}</t>
  </si>
  <si>
    <t>10</t>
  </si>
  <si>
    <t>Odvětrání kotelny</t>
  </si>
  <si>
    <t>{3eeb1e79-e245-4ef0-9316-22cc0990c99f}</t>
  </si>
  <si>
    <t>11</t>
  </si>
  <si>
    <t>Odvětrání serverů</t>
  </si>
  <si>
    <t>{cac7c22e-6a5f-41bc-87ac-7d2f1f9ce0ec}</t>
  </si>
  <si>
    <t>12</t>
  </si>
  <si>
    <t>Odvětrání technických místností EI</t>
  </si>
  <si>
    <t>{b48c5adc-01a0-4c2f-aac0-035f393a5267}</t>
  </si>
  <si>
    <t>13</t>
  </si>
  <si>
    <t>Odvětrání technických místností</t>
  </si>
  <si>
    <t>{0421a4b3-4bdc-4f66-a088-3516985f1672}</t>
  </si>
  <si>
    <t>14</t>
  </si>
  <si>
    <t>{67fb1aad-8822-42f1-8d78-e528044f1f2b}</t>
  </si>
  <si>
    <t>SIL</t>
  </si>
  <si>
    <t>ZAŘÍZENÍ SILNOPROUDÉ ELEKTROTECHNIKY</t>
  </si>
  <si>
    <t>{526528ca-e0da-45f4-aeca-38ed175f4055}</t>
  </si>
  <si>
    <t>SLP</t>
  </si>
  <si>
    <t>SLABOPROUD</t>
  </si>
  <si>
    <t>{719faf2b-af83-43c0-836c-8651f5223e78}</t>
  </si>
  <si>
    <t>MAR</t>
  </si>
  <si>
    <t>ZAŘÍZENÍ PRO MĚŘENÍ A REGULACI</t>
  </si>
  <si>
    <t>{d4aff391-7849-4c52-b1d1-e81ece37c4c8}</t>
  </si>
  <si>
    <t>PLYN</t>
  </si>
  <si>
    <t>PLYNOINSTALACE</t>
  </si>
  <si>
    <t>{5d4a9173-3cf3-4817-b9fd-8475d270e67e}</t>
  </si>
  <si>
    <t>CHL</t>
  </si>
  <si>
    <t>ZAŘÍZENÍ PRO OCHLAZOVÁNÍ BUDOV</t>
  </si>
  <si>
    <t>{93d74d8c-5349-4dbf-9400-358333a80617}</t>
  </si>
  <si>
    <t>101</t>
  </si>
  <si>
    <t>Chlazení pro VZT jednotky VZT 01</t>
  </si>
  <si>
    <t>{a1e17861-20a8-4d3c-9513-853e4820bb26}</t>
  </si>
  <si>
    <t>102</t>
  </si>
  <si>
    <t>Chlazení pro VZT jednotky VZT 02</t>
  </si>
  <si>
    <t>{df162ea6-f59b-4e70-b977-0d08f3212b24}</t>
  </si>
  <si>
    <t>103</t>
  </si>
  <si>
    <t>Chlazení pro VZT jednotky VZT 03</t>
  </si>
  <si>
    <t>{6212e804-6317-4a7d-9707-65ba3d00349e}</t>
  </si>
  <si>
    <t>104</t>
  </si>
  <si>
    <t>Chlazení pro VZT jednotky VZT 04</t>
  </si>
  <si>
    <t>{91b5841d-db1b-4d70-b726-d308c509f1c1}</t>
  </si>
  <si>
    <t>106</t>
  </si>
  <si>
    <t>Chlazení pro VZT jednotky VZT 06</t>
  </si>
  <si>
    <t>{c80eae84-ee08-4dfa-a501-bee6c669f908}</t>
  </si>
  <si>
    <t>107.1</t>
  </si>
  <si>
    <t>Chlazení pro VZT jednotky VZT 07.1</t>
  </si>
  <si>
    <t>{0c868624-6b3e-413f-897c-02ec304e3526}</t>
  </si>
  <si>
    <t>107.2</t>
  </si>
  <si>
    <t>Chlazení pro VZT jednotky VZT 07.2</t>
  </si>
  <si>
    <t>{5f9e1415-e775-47ab-9577-af9d9e643b36}</t>
  </si>
  <si>
    <t>107.3</t>
  </si>
  <si>
    <t>Chlazení pro VZT jednotky VZT 07.3</t>
  </si>
  <si>
    <t>{9a30d5e9-e6e3-43e4-8c9d-5413f2f1e89a}</t>
  </si>
  <si>
    <t>107.4</t>
  </si>
  <si>
    <t>Chlazení pro VZT jednotky VZT 07.4</t>
  </si>
  <si>
    <t>{4089e339-321f-4bd1-a6f6-84996de6c4a7}</t>
  </si>
  <si>
    <t>107.5</t>
  </si>
  <si>
    <t>Chlazení pro VZT jednotky VZT 07.5</t>
  </si>
  <si>
    <t>{18977ff5-1a94-468e-9857-8b98afbd4f1b}</t>
  </si>
  <si>
    <t>107.6</t>
  </si>
  <si>
    <t>Chlazení pro VZT jednotky VZT 07.6</t>
  </si>
  <si>
    <t>{418ccf34-770c-4ae6-aff1-cfce69726025}</t>
  </si>
  <si>
    <t>107.7</t>
  </si>
  <si>
    <t>Chlazení pro VZT jednotky VZT 07.7</t>
  </si>
  <si>
    <t>{00fa28b1-0bb8-40b6-93d8-40b6fd78fece}</t>
  </si>
  <si>
    <t>107.8</t>
  </si>
  <si>
    <t>Chlazení pro VZT jednotky VZT 07.8</t>
  </si>
  <si>
    <t>{a97793bb-e0a7-4079-a66a-f8e58768953c}</t>
  </si>
  <si>
    <t>208</t>
  </si>
  <si>
    <t>Okruh server - M3.17</t>
  </si>
  <si>
    <t>{2ff95f8e-31a8-4ed2-a0f0-366720b5533a}</t>
  </si>
  <si>
    <t>209</t>
  </si>
  <si>
    <t>Okruh server - M2.16</t>
  </si>
  <si>
    <t>{3d1f9c49-cce4-4ef7-a951-a7ca348a5275}</t>
  </si>
  <si>
    <t>313</t>
  </si>
  <si>
    <t>Okruh badatelna a kancelář - M3.04, 3.04a</t>
  </si>
  <si>
    <t>{68fda43f-bdaf-4097-922a-bd5fd0f41e38}</t>
  </si>
  <si>
    <t>314</t>
  </si>
  <si>
    <t>Okruh konferenční místnost - M3.05</t>
  </si>
  <si>
    <t>{9fade8ab-d401-4f55-9f17-d24c6cf53abd}</t>
  </si>
  <si>
    <t>316</t>
  </si>
  <si>
    <t>Okruh kanceláře - M3.07, 3.08</t>
  </si>
  <si>
    <t>{69b63277-7e83-473e-b7d0-339c8465f3a2}</t>
  </si>
  <si>
    <t>410</t>
  </si>
  <si>
    <t>Okruh kanceláře - M3.13, 2.12, 2.13</t>
  </si>
  <si>
    <t>{ecbcf26f-9c87-40a3-9240-d8eeee2fcf9d}</t>
  </si>
  <si>
    <t>411</t>
  </si>
  <si>
    <t>Okruh kanceláře - M1.10, 1.11</t>
  </si>
  <si>
    <t>{46f85e00-4698-439c-b5e9-3b984b0b195f}</t>
  </si>
  <si>
    <t>412</t>
  </si>
  <si>
    <t>Okruh kanceláře - M2.10, 2.11, 3.11, 3.12</t>
  </si>
  <si>
    <t>{c19f806f-d5eb-45f5-9607-ac26782b22cd}</t>
  </si>
  <si>
    <t>415</t>
  </si>
  <si>
    <t>Okruh depozitáře - M3.06</t>
  </si>
  <si>
    <t>{d5fb9993-c3c9-459b-b534-78101879f216}</t>
  </si>
  <si>
    <t>417</t>
  </si>
  <si>
    <t>Okruh depozitáře - M1.04</t>
  </si>
  <si>
    <t>{d1eaff4b-0d32-4edf-b9c7-a60dddde9713}</t>
  </si>
  <si>
    <t>418</t>
  </si>
  <si>
    <t>Okruh depozitáře - M1.05</t>
  </si>
  <si>
    <t>{42615e31-f69a-45c5-b93c-3e28ba5a358b}</t>
  </si>
  <si>
    <t>419</t>
  </si>
  <si>
    <t>Okruh depozitáře - M1.07</t>
  </si>
  <si>
    <t>{34dbe93f-aab7-4b2d-8507-a5aec1a15eb2}</t>
  </si>
  <si>
    <t>420</t>
  </si>
  <si>
    <t>Okruh depozitáře - M1.06</t>
  </si>
  <si>
    <t>{6c83033b-2b2a-49be-bcc8-e3ececdc1e7f}</t>
  </si>
  <si>
    <t>421</t>
  </si>
  <si>
    <t>Okruh depozitáře - M2.07</t>
  </si>
  <si>
    <t>{41379e0e-05a9-4c56-b9d9-9df00fbe515d}</t>
  </si>
  <si>
    <t>422</t>
  </si>
  <si>
    <t>Okruh depozitáře - M2.06</t>
  </si>
  <si>
    <t>{814e172c-aef8-4af0-ba63-cd6d70723127}</t>
  </si>
  <si>
    <t>EPS</t>
  </si>
  <si>
    <t>ELEKTRONICKÁ POŽÁRNÍ SIGNALIZACE</t>
  </si>
  <si>
    <t>{bcb667fc-9b94-4c31-9d40-917d855fced8}</t>
  </si>
  <si>
    <t>SO 02</t>
  </si>
  <si>
    <t>DEMOLICE</t>
  </si>
  <si>
    <t>{bd4b1cdd-f960-4aa8-aec3-a34043886a19}</t>
  </si>
  <si>
    <t>IO 01</t>
  </si>
  <si>
    <t>KOMUNIKACE A ZPEVNĚNÉ PLOCHY</t>
  </si>
  <si>
    <t>{285a2c38-d400-467e-a27e-c0c307fe9db7}</t>
  </si>
  <si>
    <t>IO 02</t>
  </si>
  <si>
    <t>KANALIZACE</t>
  </si>
  <si>
    <t>{ca8345d6-132f-4d85-9a24-c9d0acf539e1}</t>
  </si>
  <si>
    <t>IO 03</t>
  </si>
  <si>
    <t>VODOVODNÍ PŘÍPOJKA</t>
  </si>
  <si>
    <t>{c05b2e18-011f-4c92-b400-6c9a8aefdf26}</t>
  </si>
  <si>
    <t>IO 04</t>
  </si>
  <si>
    <t>PŘÍPOJKA METROPOLITNÍ POČÍTAČOVÉ SÍTĚ UP</t>
  </si>
  <si>
    <t>{d52371cc-9447-4e33-ac55-1d8a78afffd2}</t>
  </si>
  <si>
    <t>IO 05</t>
  </si>
  <si>
    <t>SADOVÉ ÚPRAVY</t>
  </si>
  <si>
    <t>{b64a31a6-b7db-4995-8179-af6cf6430abb}</t>
  </si>
  <si>
    <t>PS 01</t>
  </si>
  <si>
    <t>AUTOMATICKÁ TLAKOVÁ STANICE</t>
  </si>
  <si>
    <t>{68017510-9ffb-44b8-8ab4-274398c4574f}</t>
  </si>
  <si>
    <t>PS 02</t>
  </si>
  <si>
    <t>STABILNÍ HASÍCÍ ZAŘÍZENÍ</t>
  </si>
  <si>
    <t>{1de574af-8bbe-4117-b48c-ea686af55546}</t>
  </si>
  <si>
    <t>PS 03</t>
  </si>
  <si>
    <t>REGÁLOVÉ SYSTÉMY</t>
  </si>
  <si>
    <t>{c4d198b7-55e8-4d74-991e-e9b1cc9815a7}</t>
  </si>
  <si>
    <t>VRN</t>
  </si>
  <si>
    <t>VEDLEJŠÍ ROZPOČTOVÉ NÁKLADY</t>
  </si>
  <si>
    <t>{d00df243-bca0-48b2-997d-767d8f41b6df}</t>
  </si>
  <si>
    <t>P01</t>
  </si>
  <si>
    <t>16,4</t>
  </si>
  <si>
    <t>P02</t>
  </si>
  <si>
    <t>99</t>
  </si>
  <si>
    <t>KRYCÍ LIST SOUPISU PRACÍ</t>
  </si>
  <si>
    <t>P03_2</t>
  </si>
  <si>
    <t>P03.2</t>
  </si>
  <si>
    <t>47,1</t>
  </si>
  <si>
    <t>P04</t>
  </si>
  <si>
    <t>110,3</t>
  </si>
  <si>
    <t>P05</t>
  </si>
  <si>
    <t>712,7</t>
  </si>
  <si>
    <t>P06</t>
  </si>
  <si>
    <t>16</t>
  </si>
  <si>
    <t>Objekt:</t>
  </si>
  <si>
    <t>P07</t>
  </si>
  <si>
    <t>19</t>
  </si>
  <si>
    <t>SO 01 - ARCHIV</t>
  </si>
  <si>
    <t>P08</t>
  </si>
  <si>
    <t>182,1</t>
  </si>
  <si>
    <t>Soupis:</t>
  </si>
  <si>
    <t>P09</t>
  </si>
  <si>
    <t>661,6</t>
  </si>
  <si>
    <t>ARS - STAVEBNÍ A KONSTRUKČNÍ ČÁST</t>
  </si>
  <si>
    <t>P10</t>
  </si>
  <si>
    <t>841,1</t>
  </si>
  <si>
    <t>P11</t>
  </si>
  <si>
    <t>44,6</t>
  </si>
  <si>
    <t>P12</t>
  </si>
  <si>
    <t>11,3</t>
  </si>
  <si>
    <t>P13</t>
  </si>
  <si>
    <t>228,9</t>
  </si>
  <si>
    <t>P14</t>
  </si>
  <si>
    <t>195,1</t>
  </si>
  <si>
    <t>UP01_d</t>
  </si>
  <si>
    <t>UP01_stěny</t>
  </si>
  <si>
    <t>2650,3</t>
  </si>
  <si>
    <t>UP01_p</t>
  </si>
  <si>
    <t>UP01_podhled</t>
  </si>
  <si>
    <t>282,5</t>
  </si>
  <si>
    <t>UP02_d</t>
  </si>
  <si>
    <t>UP02_stěny</t>
  </si>
  <si>
    <t>321,6</t>
  </si>
  <si>
    <t>UP02_p</t>
  </si>
  <si>
    <t>UP02_podhled</t>
  </si>
  <si>
    <t>218,4</t>
  </si>
  <si>
    <t>UP02_po</t>
  </si>
  <si>
    <t>UP02_podlaha</t>
  </si>
  <si>
    <t>11,6</t>
  </si>
  <si>
    <t>UP03_d</t>
  </si>
  <si>
    <t>139,8</t>
  </si>
  <si>
    <t>UP04_d</t>
  </si>
  <si>
    <t>UP04_stěny</t>
  </si>
  <si>
    <t>485,7</t>
  </si>
  <si>
    <t>UP04_p</t>
  </si>
  <si>
    <t>UP04_podhled</t>
  </si>
  <si>
    <t>14,7</t>
  </si>
  <si>
    <t>UP05_d</t>
  </si>
  <si>
    <t>UP05_stěny</t>
  </si>
  <si>
    <t>240,5</t>
  </si>
  <si>
    <t>UP06</t>
  </si>
  <si>
    <t>460</t>
  </si>
  <si>
    <t>UP07</t>
  </si>
  <si>
    <t>913,9</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</si>
  <si>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</si>
  <si>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</si>
  <si>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</si>
  <si>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</si>
  <si>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</si>
  <si>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</si>
  <si>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</si>
  <si>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 vč. kotvení překladů pomocí L profilů</t>
  </si>
  <si>
    <t xml:space="preserve">    4 - Vodorovné konstrukce</t>
  </si>
  <si>
    <t xml:space="preserve">    6 - Úpravy povrchů, podlahy a osazování výplní, vč. rohových podomítkových lišt</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</si>
  <si>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</si>
  <si>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</si>
  <si>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</si>
  <si>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</si>
  <si>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</si>
  <si>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</si>
  <si>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</si>
  <si>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 vč. těsnicího detailu napojení SDK příčky na LOP</t>
  </si>
  <si>
    <t xml:space="preserve">    764 - Konstrukce klempířské (bližší specifikace viz PD)</t>
  </si>
  <si>
    <t xml:space="preserve">    764.1 - Klempířské prvky odvětrávané fasády, vč. přesunu hmot</t>
  </si>
  <si>
    <t xml:space="preserve">    766 - Konstrukce truhlářské, vč. přesunu hmot (bližší specifikace viz PD)</t>
  </si>
  <si>
    <t xml:space="preserve">    766.1 - Výplně otvorů - dveře, vč. přesunu hmot (bližší specifikace viz PD)</t>
  </si>
  <si>
    <t xml:space="preserve">    766.2 - Výplně otvorů - okna, vč. přesunu hmot (bližší specifikace viz PD)</t>
  </si>
  <si>
    <t xml:space="preserve">    766.3 - Výplně otvorů - prosklené stěny, vč. přesunu hmot (bližší specifikace viz PD)</t>
  </si>
  <si>
    <t xml:space="preserve">    767 - Konstrukce zámečnické, vč. povrchové úpravy (bližší specifikace viz PD)</t>
  </si>
  <si>
    <t xml:space="preserve">    768 - Ostatní výrobky, vč. přesunu hmot (bližší specifikace viz PD)</t>
  </si>
  <si>
    <t xml:space="preserve">    771 - Podlahy z dlaždic, vč. přechodových a dilatačních lišt</t>
  </si>
  <si>
    <t xml:space="preserve">    777 - Podlahy lité, vč. přechodových a dilatačních lišt</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</si>
  <si>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</si>
  <si>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</si>
  <si>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</si>
  <si>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</si>
  <si>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</si>
  <si>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</si>
  <si>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</si>
  <si>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</si>
  <si>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</si>
  <si>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</si>
  <si>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</si>
  <si>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</si>
  <si>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</si>
  <si>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</si>
  <si>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</si>
  <si>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</si>
  <si>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</si>
  <si>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</si>
  <si>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</si>
  <si>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</si>
  <si>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</si>
  <si>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</si>
  <si>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</si>
  <si>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131401201.1</t>
  </si>
  <si>
    <t>Hloubení zapažených jam a zářezů s urovnáním dna do předepsaného profilu a spádu v hornině tř. dle IGP do 100 m3</t>
  </si>
  <si>
    <t>m3</t>
  </si>
  <si>
    <t>4</t>
  </si>
  <si>
    <t>-1179544590</t>
  </si>
  <si>
    <t>VV</t>
  </si>
  <si>
    <t>Dle výkresu výkopů - figury č.3-4</t>
  </si>
  <si>
    <t>1,3*12,3+1,3*12,3</t>
  </si>
  <si>
    <t>132401101.1</t>
  </si>
  <si>
    <t>Hloubení zapažených i nezapažených rýh šířky do 600 mm s urovnáním dna do předepsaného profilu a spádu v hornině tř. dle IGP pro jakékoliv množství</t>
  </si>
  <si>
    <t>-1655521600</t>
  </si>
  <si>
    <t>Dle výkresu výkopů - figury č.1-2</t>
  </si>
  <si>
    <t>0,45*136,3+0,55*83,5</t>
  </si>
  <si>
    <t>151101201</t>
  </si>
  <si>
    <t>Zřízení pažení stěn výkopu bez rozepření nebo vzepření příložné, hloubky do 4 m</t>
  </si>
  <si>
    <t>m2</t>
  </si>
  <si>
    <t>CS ÚRS 2019 02</t>
  </si>
  <si>
    <t>154568118</t>
  </si>
  <si>
    <t>(3,72+3,3)*2*1,3*2</t>
  </si>
  <si>
    <t>151101211</t>
  </si>
  <si>
    <t>Odstranění pažení stěn výkopu s uložením pažin na vzdálenost do 3 m od okraje výkopu příložné, hloubky do 4 m</t>
  </si>
  <si>
    <t>580422490</t>
  </si>
  <si>
    <t>5</t>
  </si>
  <si>
    <t>162201152.1</t>
  </si>
  <si>
    <t>Vodorovné přemístění výkopku nebo sypaniny po suchu na obvyklém dopravním prostředku, bez naložení výkopku, avšak se složením bez rozhrnutí z horniny tř. dle IGP na vzdálenost přes 20 do 50 m</t>
  </si>
  <si>
    <t>1829044</t>
  </si>
  <si>
    <t>meziskládka v místě staveniště pro zpětně použitou zeminu</t>
  </si>
  <si>
    <t>128,723*2</t>
  </si>
  <si>
    <t>6</t>
  </si>
  <si>
    <t>162701155.1</t>
  </si>
  <si>
    <t>Vodorovné přemístění výkopku nebo sypaniny po suchu na obvyklém dopravním prostředku, bez naložení výkopku, avšak se složením bez rozhrnutí z horniny tř. dle IGP na vzdálenost přes 9 000 do 10 000 m</t>
  </si>
  <si>
    <t>-1258671626</t>
  </si>
  <si>
    <t>přebytečná zemina odvezena na meziskládku dodavatele</t>
  </si>
  <si>
    <t>31,98+107,26-128,723</t>
  </si>
  <si>
    <t>zemina z vrtů</t>
  </si>
  <si>
    <t>501,686</t>
  </si>
  <si>
    <t>Součet</t>
  </si>
  <si>
    <t>7</t>
  </si>
  <si>
    <t>162701159.1</t>
  </si>
  <si>
    <t>Vodorovné přemístění výkopku nebo sypaniny po suchu na skládku dodavatele na obvyklém dopravním prostředku se složením bez rozhrnutí z horniny tř. dle IGP na vzdálenost Příplatek k ceně za každé další započaté kilometry přes 10 km</t>
  </si>
  <si>
    <t>-1495800889</t>
  </si>
  <si>
    <t>8</t>
  </si>
  <si>
    <t>167101151.1</t>
  </si>
  <si>
    <t>Nakládání, skládání a překládání neulehlého výkopku nebo sypaniny nakládání, množství do 100 m3, z hornin tř. dle IGP</t>
  </si>
  <si>
    <t>-632025727</t>
  </si>
  <si>
    <t>naložení zeminy pro zpětný zásyp</t>
  </si>
  <si>
    <t>128,723</t>
  </si>
  <si>
    <t>9</t>
  </si>
  <si>
    <t>171201201</t>
  </si>
  <si>
    <t>Uložení sypaniny na skládky</t>
  </si>
  <si>
    <t>323204455</t>
  </si>
  <si>
    <t>uložení zeminy na meziskládku do figury</t>
  </si>
  <si>
    <t>171201211</t>
  </si>
  <si>
    <t>Poplatek za uložení stavebního odpadu na skládce (skládkovné) zeminy a kameniva zatříděného do Katalogu odpadů pod kódem 170 504</t>
  </si>
  <si>
    <t>t</t>
  </si>
  <si>
    <t>-211856430</t>
  </si>
  <si>
    <t>512,203*1,7</t>
  </si>
  <si>
    <t>174101101</t>
  </si>
  <si>
    <t>Zásyp sypaninou z jakékoliv horniny s uložením výkopku ve vrstvách se zhutněním jam, šachet, rýh nebo kolem objektů v těchto vykopávkách</t>
  </si>
  <si>
    <t>-908111372</t>
  </si>
  <si>
    <t>Zásyp kolem pasů</t>
  </si>
  <si>
    <t>(43,6+25,5)*2*0,6*2*0,45</t>
  </si>
  <si>
    <t>šachty</t>
  </si>
  <si>
    <t>(3,72*3,3-3,22*2,8)*1,3*2</t>
  </si>
  <si>
    <t>zásyp vybouraných hlavic</t>
  </si>
  <si>
    <t>45,619</t>
  </si>
  <si>
    <t>Zakládání</t>
  </si>
  <si>
    <t>226112214.1</t>
  </si>
  <si>
    <t>Velkoprofilové vrty náběrovým vrtáním svislé nezapažené průměru přes 550 do 650 mm, v hl přes 5 m v hornině tř. dle IGP</t>
  </si>
  <si>
    <t>m</t>
  </si>
  <si>
    <t>-318171184</t>
  </si>
  <si>
    <t>16,0*28+12,5*20+10,0*40</t>
  </si>
  <si>
    <t>226113214.1</t>
  </si>
  <si>
    <t>Velkoprofilové vrty náběrovým vrtáním svislé nezapažené průměru přes 850 do 1050 mm, v hl přes 5 m v hornině tř. dle IGP</t>
  </si>
  <si>
    <t>1845164688</t>
  </si>
  <si>
    <t>17,0*7+14,0*13</t>
  </si>
  <si>
    <t>231112212</t>
  </si>
  <si>
    <t>Zřízení výplně pilot bez vytažení pažnic nezapažených nebo zapažených bentonitovou suspenzí svislých z betonu železového, v hl od 0 do 20 m, při průměru piloty přes 450 do 650 mm</t>
  </si>
  <si>
    <t>-1979302594</t>
  </si>
  <si>
    <t>231112213</t>
  </si>
  <si>
    <t>Zřízení výplně pilot bez vytažení pažnic nezapažených nebo zapažených bentonitovou suspenzí svislých z betonu železového, v hl od 0 do 20 m, při průměru piloty přes 650 do 1250 mm</t>
  </si>
  <si>
    <t>-1834298931</t>
  </si>
  <si>
    <t>M</t>
  </si>
  <si>
    <t>58932936.1</t>
  </si>
  <si>
    <t>beton C 25/30 XC2</t>
  </si>
  <si>
    <t>1687369421</t>
  </si>
  <si>
    <t>3,14*0,30*0,30*1098,0</t>
  </si>
  <si>
    <t>3,14*0,45*0,45*301,0</t>
  </si>
  <si>
    <t>17</t>
  </si>
  <si>
    <t>231611114</t>
  </si>
  <si>
    <t>Výztuž pilot betonovaných do země z oceli 10 505 (R)</t>
  </si>
  <si>
    <t>-20345549</t>
  </si>
  <si>
    <t>odhad výztuže projektanta v kg/m3</t>
  </si>
  <si>
    <t>501,686*60*0,001</t>
  </si>
  <si>
    <t>18</t>
  </si>
  <si>
    <t>273321511</t>
  </si>
  <si>
    <t>Základy z betonu železového (bez výztuže) desky z betonu bez zvláštních nároků na prostředí tř. C 25/30</t>
  </si>
  <si>
    <t>-1655080429</t>
  </si>
  <si>
    <t>(43,45*25,35-2,5*2,3*2+3,22*2,8*2)*0,250</t>
  </si>
  <si>
    <t>273351121</t>
  </si>
  <si>
    <t>Bednění základů desek zřízení</t>
  </si>
  <si>
    <t>432298335</t>
  </si>
  <si>
    <t>(43,45+25,35+2,5*2+2,3*2+3,22*2+2,8*2)*2*0,250</t>
  </si>
  <si>
    <t>20</t>
  </si>
  <si>
    <t>273351122</t>
  </si>
  <si>
    <t>Bednění základů desek odstranění</t>
  </si>
  <si>
    <t>2091035653</t>
  </si>
  <si>
    <t>273361821</t>
  </si>
  <si>
    <t>Výztuž základů desek z betonářské oceli 10 505 (R) nebo BSt 500</t>
  </si>
  <si>
    <t>1439000091</t>
  </si>
  <si>
    <t>Odhad projektanta výztuže v kg/m3</t>
  </si>
  <si>
    <t>276,997*165*0,001</t>
  </si>
  <si>
    <t>22</t>
  </si>
  <si>
    <t>274321511</t>
  </si>
  <si>
    <t>Základy z betonu železového (bez výztuže) pasy z betonu bez zvláštních nároků na prostředí tř. C 25/30</t>
  </si>
  <si>
    <t>879552698</t>
  </si>
  <si>
    <t>(43,6+25,5)*2*0,55*0,4</t>
  </si>
  <si>
    <t>23</t>
  </si>
  <si>
    <t>274351121</t>
  </si>
  <si>
    <t>Bednění základů pasů rovné zřízení</t>
  </si>
  <si>
    <t>-481709282</t>
  </si>
  <si>
    <t>(43,6+25,5)*2*0,55*2</t>
  </si>
  <si>
    <t>24</t>
  </si>
  <si>
    <t>274351122</t>
  </si>
  <si>
    <t>Bednění základů pasů rovné odstranění</t>
  </si>
  <si>
    <t>-790316116</t>
  </si>
  <si>
    <t>25</t>
  </si>
  <si>
    <t>274361821</t>
  </si>
  <si>
    <t>Výztuž základů pasů z betonářské oceli 10 505 (R) nebo BSt 500</t>
  </si>
  <si>
    <t>2001834120</t>
  </si>
  <si>
    <t>30,404*85*0,001</t>
  </si>
  <si>
    <t>26</t>
  </si>
  <si>
    <t>275321511</t>
  </si>
  <si>
    <t>Základy z betonu železového (bez výztuže) patky z betonu bez zvláštních nároků na prostředí tř. C 25/30</t>
  </si>
  <si>
    <t>-904600008</t>
  </si>
  <si>
    <t>Hlavice pilot č. 27 a 37</t>
  </si>
  <si>
    <t>3,14*0,45*0,45*1,0*2</t>
  </si>
  <si>
    <t>27</t>
  </si>
  <si>
    <t>275351121</t>
  </si>
  <si>
    <t>Bednění základů patek zřízení</t>
  </si>
  <si>
    <t>-1553668910</t>
  </si>
  <si>
    <t>2*3,14*0,45*1,0*2</t>
  </si>
  <si>
    <t>28</t>
  </si>
  <si>
    <t>275351122</t>
  </si>
  <si>
    <t>Bednění základů patek odstranění</t>
  </si>
  <si>
    <t>206089313</t>
  </si>
  <si>
    <t>29</t>
  </si>
  <si>
    <t>275361821</t>
  </si>
  <si>
    <t>Výztuž základů patek z betonářské oceli 10 505 (R)</t>
  </si>
  <si>
    <t>1128898838</t>
  </si>
  <si>
    <t>1,272*80,0*0,001</t>
  </si>
  <si>
    <t>30</t>
  </si>
  <si>
    <t>279113131</t>
  </si>
  <si>
    <t>Základové zdi z tvárnic ztraceného bednění včetně výplně z betonu bez zvláštních nároků na vliv prostředí třídy C 16/20, tloušťky zdiva 150 mm</t>
  </si>
  <si>
    <t>588223517</t>
  </si>
  <si>
    <t>ochranná přizdívka podzemních stěn výtahových šachet</t>
  </si>
  <si>
    <t>(3,22+2,8)*2*2*1,3</t>
  </si>
  <si>
    <t>31</t>
  </si>
  <si>
    <t>279321347</t>
  </si>
  <si>
    <t>Základové zdi z betonu železového (bez výztuže) bez zvláštních nároků na prostředí tř. C 25/30</t>
  </si>
  <si>
    <t>529600653</t>
  </si>
  <si>
    <t>(2,8*2+2,5*2*2)*1,05*0,25</t>
  </si>
  <si>
    <t>2,8*2*1,05*0,47</t>
  </si>
  <si>
    <t>32</t>
  </si>
  <si>
    <t>279351121</t>
  </si>
  <si>
    <t>Bednění základových zdí rovné oboustranné za každou stranu zřízení</t>
  </si>
  <si>
    <t>2019214000</t>
  </si>
  <si>
    <t>(2,8*2+2,5*2*2)*1,05*2</t>
  </si>
  <si>
    <t>2,8*2*1,05*2</t>
  </si>
  <si>
    <t>33</t>
  </si>
  <si>
    <t>279351122</t>
  </si>
  <si>
    <t>Bednění základových zdí rovné oboustranné za každou stranu odstranění</t>
  </si>
  <si>
    <t>-1475991062</t>
  </si>
  <si>
    <t>34</t>
  </si>
  <si>
    <t>279361821</t>
  </si>
  <si>
    <t>Výztuž základových zdí nosných svislých nebo odkloněných od svislice, rovinných nebo oblých, deskových nebo žebrových, včetně výztuže jejich žeber z betonářské oceli 10 505 (R) nebo BSt 500</t>
  </si>
  <si>
    <t>-309986153</t>
  </si>
  <si>
    <t>Odhad projektanta výztuže monolitických zdí v kg/m3</t>
  </si>
  <si>
    <t>6,859*90*0,001</t>
  </si>
  <si>
    <t>tvárnice ztraceného bednění (2*4+2*4)*0,617= 9,9 kg/m2</t>
  </si>
  <si>
    <t>(3,22+2,8)*2*2*1,3*9,9*0,001</t>
  </si>
  <si>
    <t>Svislé a kompletní konstrukce, vč. kotvení překladů pomocí L profilů</t>
  </si>
  <si>
    <t>35</t>
  </si>
  <si>
    <t>311234241</t>
  </si>
  <si>
    <t>Zdivo jednovrstvé z cihel děrovaných nebroušených klasických spojených na pero a drážku na maltu M10, pevnost cihel přes P10 do P15, tl. zdiva 240 mm</t>
  </si>
  <si>
    <t>1947934178</t>
  </si>
  <si>
    <t>2.np</t>
  </si>
  <si>
    <t>(8,35*2+4,95*2+43,5+5,55*2+0,15*2)*3,59</t>
  </si>
  <si>
    <t>-(0,85*0,85*2+0,9*2,1*2+2,5*2,09*6)</t>
  </si>
  <si>
    <t>Mezisoučet</t>
  </si>
  <si>
    <t>3.np</t>
  </si>
  <si>
    <t>(3,7*2+8,9*2+4,9*2+0,15*2+42,95+5,55*2+25,6)*3,59</t>
  </si>
  <si>
    <t>-(0,85*0,85*2+0,9*2,1*2+1,0*2,1*3+0,8*2,1*3+2,5*2,19*6)</t>
  </si>
  <si>
    <t>4.np</t>
  </si>
  <si>
    <t>(43,5+8,4*2+7,5*2+4,95*2+2,0*2+6,1*2+30,8-1,75)*2,5</t>
  </si>
  <si>
    <t>-(0,9*2,0+1,8*2,1*2+1,0*2,0)</t>
  </si>
  <si>
    <t>36</t>
  </si>
  <si>
    <t>311321411</t>
  </si>
  <si>
    <t>Nadzákladové zdi z betonu železového (bez výztuže) nosné bez zvláštních nároků na vliv prostředí tř. C 25/30</t>
  </si>
  <si>
    <t>-701695169</t>
  </si>
  <si>
    <t>1.np</t>
  </si>
  <si>
    <t>(8,35+5,45+0,15+33,05+0,15+5,45+8,35+4,95+0,15+33,05+0,15+5,2+5,3*2+5,55*2)*3,65*0,25</t>
  </si>
  <si>
    <t>(43,45*2+16,25*5)*3,62*0,25</t>
  </si>
  <si>
    <t>(3,4*2*2+2,3*2*2)*3,65*0,18</t>
  </si>
  <si>
    <t>-(3,5*2*3,25+3,2*4*3,25+3,5*2*2,4+1,1*4*2,35+1,5*4*3,35+1,4*2*2,46)*0,25</t>
  </si>
  <si>
    <t>-(1,1*4*2,35)*0,25</t>
  </si>
  <si>
    <t>-(1,4*2*2,46)*0,18</t>
  </si>
  <si>
    <t>(43,45*2+16,25*5+33,05+6,35*2)*3,59*0,25</t>
  </si>
  <si>
    <t>(3,4*2*2+2,3*2*2)*3,59*0,18</t>
  </si>
  <si>
    <t>-(1,1*10*2,29+3,5*2*2,34+1,4*2*2,4+1,5*4*3,29)*0,25</t>
  </si>
  <si>
    <t>-(1,4*2*2,4)*0,18</t>
  </si>
  <si>
    <t>(6,6*2)*3,59*0,25</t>
  </si>
  <si>
    <t>-(1,4*2*2,4+1,5*4*3,29)*0,25</t>
  </si>
  <si>
    <t>(2,7*2+0,65*2)*2,66*0,25</t>
  </si>
  <si>
    <t>(2,5*2*2+2,7*2*2)*3,8*0,18</t>
  </si>
  <si>
    <t>-(1,4*2*2,56)*0,25</t>
  </si>
  <si>
    <t>-(1,4*2*2,56)*0,18</t>
  </si>
  <si>
    <t>37</t>
  </si>
  <si>
    <t>311351121</t>
  </si>
  <si>
    <t>Bednění nadzákladových zdí nosných rovné oboustranné za každou stranu zřízení</t>
  </si>
  <si>
    <t>-823685294</t>
  </si>
  <si>
    <t>(8,35+5,45+0,15+33,05+0,15+5,45+8,35+4,95+0,15+33,05+0,15+5,2+5,3*2+5,55*2)*3,65*2</t>
  </si>
  <si>
    <t>(43,45*2+16,25*5)*3,62*2</t>
  </si>
  <si>
    <t>(3,4*2*2+2,3*2*2)*3,65*2</t>
  </si>
  <si>
    <t>-(3,5*2*3,25+3,2*4*3,25+3,5*2*2,4+1,1*4*2,35+1,5*4*3,35+1,4*2*2,46)*2</t>
  </si>
  <si>
    <t>-(1,1*4*2,35)*2</t>
  </si>
  <si>
    <t>-(1,4*2*2,46)*2</t>
  </si>
  <si>
    <t>(43,45*2+16,25*5+33,05+6,35*2)*3,59*2</t>
  </si>
  <si>
    <t>(3,4*2*2+2,3*2*2)*3,59*2</t>
  </si>
  <si>
    <t>-(1,1*10*2,29+3,5*2*2,34+1,4*2*2,4+1,5*4*3,29)*2</t>
  </si>
  <si>
    <t>-(1,4*2*2,4)*2</t>
  </si>
  <si>
    <t>(6,6*2)*3,59*2</t>
  </si>
  <si>
    <t>-(1,4*2*2,4+1,5*4*3,29)*2</t>
  </si>
  <si>
    <t>(2,7*2+0,65*2)*2,66*2</t>
  </si>
  <si>
    <t>(2,5*2*2+2,7*2*2)*3,8*2</t>
  </si>
  <si>
    <t>-(1,4*2*2,56)*2</t>
  </si>
  <si>
    <t>38</t>
  </si>
  <si>
    <t>311351122</t>
  </si>
  <si>
    <t>Bednění nadzákladových zdí nosných rovné oboustranné za každou stranu odstranění</t>
  </si>
  <si>
    <t>-362877215</t>
  </si>
  <si>
    <t>39</t>
  </si>
  <si>
    <t>311351911</t>
  </si>
  <si>
    <t>Bednění nadzákladových zdí nosných Příplatek k cenám bednění za pohledový beton</t>
  </si>
  <si>
    <t>-2074227593</t>
  </si>
  <si>
    <t>1.np - m.č. 1.04 - 1.07</t>
  </si>
  <si>
    <t>(16,25+10,55)*2*4*3,42</t>
  </si>
  <si>
    <t>-1,0*2,1*4</t>
  </si>
  <si>
    <t>2.np - m.č. 2.04 - 2.07</t>
  </si>
  <si>
    <t>40</t>
  </si>
  <si>
    <t>311361821</t>
  </si>
  <si>
    <t>Výztuž nadzákladových zdí nosných svislých nebo odkloněných od svislice, rovných nebo oblých z betonářské oceli 10 505 (R) nebo BSt 500</t>
  </si>
  <si>
    <t>457683123</t>
  </si>
  <si>
    <t>Dle jednotlivých pater (mezisoučty m3)</t>
  </si>
  <si>
    <t>248,823*120*0,001</t>
  </si>
  <si>
    <t>(188,49+18,755+15,601)*100*0,001</t>
  </si>
  <si>
    <t>41</t>
  </si>
  <si>
    <t>317142422</t>
  </si>
  <si>
    <t>Překlady nenosné z pórobetonu osazené do tenkého maltového lože, výšky do 250 mm, šířky překladu 100 mm, délky překladu přes 1000 do 1250 mm</t>
  </si>
  <si>
    <t>kus</t>
  </si>
  <si>
    <t>-1223233124</t>
  </si>
  <si>
    <t>dle tabulky překladů</t>
  </si>
  <si>
    <t>42</t>
  </si>
  <si>
    <t>317142442</t>
  </si>
  <si>
    <t>Překlady nenosné z pórobetonu osazené do tenkého maltového lože, výšky do 250 mm, šířky překladu 150 mm, délky překladu přes 1000 do 1250 mm</t>
  </si>
  <si>
    <t>993122271</t>
  </si>
  <si>
    <t>43</t>
  </si>
  <si>
    <t>317168012</t>
  </si>
  <si>
    <t>Překlady keramické ploché osazené do maltového lože, výšky překladu 71 mm šířky 115 mm, délky 1250 mm</t>
  </si>
  <si>
    <t>-542771988</t>
  </si>
  <si>
    <t>44</t>
  </si>
  <si>
    <t>317168013</t>
  </si>
  <si>
    <t>Překlady keramické ploché osazené do maltového lože, výšky překladu 71 mm šířky 115 mm, délky 1500 mm</t>
  </si>
  <si>
    <t>2090649517</t>
  </si>
  <si>
    <t>45</t>
  </si>
  <si>
    <t>317168016</t>
  </si>
  <si>
    <t>Překlady keramické ploché osazené do maltového lože, výšky překladu 71 mm šířky 115 mm, délky 2250 mm</t>
  </si>
  <si>
    <t>-633061110</t>
  </si>
  <si>
    <t>46</t>
  </si>
  <si>
    <t>317168052</t>
  </si>
  <si>
    <t>Překlady keramické vysoké osazené do maltového lože, šířky překladu 70 mm výšky 238 mm, délky 1250 mm</t>
  </si>
  <si>
    <t>452024266</t>
  </si>
  <si>
    <t>47</t>
  </si>
  <si>
    <t>317168053</t>
  </si>
  <si>
    <t>Překlady keramické vysoké osazené do maltového lože, šířky překladu 70 mm výšky 238 mm, délky 1500 mm</t>
  </si>
  <si>
    <t>-6351530</t>
  </si>
  <si>
    <t>48</t>
  </si>
  <si>
    <t>317168054</t>
  </si>
  <si>
    <t>Překlady keramické vysoké osazené do maltového lože, šířky překladu 70 mm výšky 238 mm, délky 1750 mm</t>
  </si>
  <si>
    <t>-1302876578</t>
  </si>
  <si>
    <t>49</t>
  </si>
  <si>
    <t>317998111</t>
  </si>
  <si>
    <t>Izolace tepelná mezi překlady z pěnového polystyrenu výšky 24 cm, tloušťky přes 30 do 50 mm</t>
  </si>
  <si>
    <t>-175420442</t>
  </si>
  <si>
    <t>1,25*12+1,5*3+1,75*8</t>
  </si>
  <si>
    <t>50</t>
  </si>
  <si>
    <t>330321610</t>
  </si>
  <si>
    <t>Sloupy, pilíře, táhla, rámové stojky, vzpěry z betonu železového (bez výztuže) bez zvláštních nároků na vliv prostředí tř. C 30/37</t>
  </si>
  <si>
    <t>-861863048</t>
  </si>
  <si>
    <t>0,4*0,4*12*3,62</t>
  </si>
  <si>
    <t>0,4*0,4*5*3,65</t>
  </si>
  <si>
    <t>0,4*0,4*17*3,59</t>
  </si>
  <si>
    <t>0,5*0,25*2*3,29</t>
  </si>
  <si>
    <t>0,4*0,4*7*3,175</t>
  </si>
  <si>
    <t>0,4*0,4*5*3,59</t>
  </si>
  <si>
    <t>0,4*0,4*5*2,66</t>
  </si>
  <si>
    <t>51</t>
  </si>
  <si>
    <t>331351121</t>
  </si>
  <si>
    <t>Bednění hranatých sloupů a pilířů včetně vzepření průřezu pravoúhlého čtyřúhelníka výšky do 4 m, průřezu přes 0,08 do 0,16 m2 zřízení</t>
  </si>
  <si>
    <t>-790844686</t>
  </si>
  <si>
    <t>0,4*4*12*3,62</t>
  </si>
  <si>
    <t>0,4*4*5*3,65</t>
  </si>
  <si>
    <t>0,4*4*17*3,59</t>
  </si>
  <si>
    <t>(0,5+0,25)*2*2*3,29</t>
  </si>
  <si>
    <t>0,4*4*7*3,175</t>
  </si>
  <si>
    <t>0,4*4*5*3,59</t>
  </si>
  <si>
    <t>0,4*4*5*2,66</t>
  </si>
  <si>
    <t>52</t>
  </si>
  <si>
    <t>331351122</t>
  </si>
  <si>
    <t>Bednění hranatých sloupů a pilířů včetně vzepření průřezu pravoúhlého čtyřúhelníka výšky do 4 m, průřezu přes 0,08 do 0,16 m2 odstranění</t>
  </si>
  <si>
    <t>1718022316</t>
  </si>
  <si>
    <t>53</t>
  </si>
  <si>
    <t>331351911</t>
  </si>
  <si>
    <t>Bednění hranatých sloupů a pilířů včetně vzepření průřezu pravoúhlého čtyřúhelníka Příplatek k cenám za pohledový beton</t>
  </si>
  <si>
    <t>1510131318</t>
  </si>
  <si>
    <t>0,4*4*12*3,42</t>
  </si>
  <si>
    <t>0,4*4*12*3,45</t>
  </si>
  <si>
    <t>54</t>
  </si>
  <si>
    <t>331361821</t>
  </si>
  <si>
    <t>Výztuž sloupů, pilířů, rámových stojek, táhel nebo vzpěr hranatých svislých nebo šikmých (odkloněných) z betonářské oceli 10 505 (R) nebo BSt 500</t>
  </si>
  <si>
    <t>-1755127367</t>
  </si>
  <si>
    <t>0,4*0,4*12*3,62*330*0,001</t>
  </si>
  <si>
    <t>0,4*0,4*5*3,65*330*0,001</t>
  </si>
  <si>
    <t>0,4*0,4*17*3,59*240*0,001</t>
  </si>
  <si>
    <t>0,5*0,25*2*3,29*240*0,001</t>
  </si>
  <si>
    <t>0,4*0,4*7*3,175*230*0,001</t>
  </si>
  <si>
    <t>0,4*0,4*5*3,59*230*0,001</t>
  </si>
  <si>
    <t>0,5*0,25*2*3,29*230*0,001</t>
  </si>
  <si>
    <t>0,4*0,4*5*2,66*230*0,001</t>
  </si>
  <si>
    <t>55</t>
  </si>
  <si>
    <t>342244301</t>
  </si>
  <si>
    <t>Příčky jednoduché z cihel děrovaných zvukově izolační na maltu MC, pevnost cihel do P15, tl. příčky 115 mm</t>
  </si>
  <si>
    <t>773861120</t>
  </si>
  <si>
    <t>(2,3*2+1,5*3+0,55*2+1,66*2+5,7*2+2,0)*3,65</t>
  </si>
  <si>
    <t>-(1,0*2,1+0,9*2,1+0,8*2,1)</t>
  </si>
  <si>
    <t>(2,3*2+6,1+1,7+4,95+1,9+0,5*2+0,44*8+1,0+5,0*4+1,0*2+1,85+1,05+6,1+1,7)*3,59</t>
  </si>
  <si>
    <t>-1,0*2,1*2</t>
  </si>
  <si>
    <t>(2,3*2+1,54*2+7,25+4,4*3+2,35*2+6,2+0,95+1,7+0,5+6,1*2+0,9*2+0,44*4+5,0+1,8+1,05+0,5*2+1,7)*3,59</t>
  </si>
  <si>
    <t>-(0,7*2,1*3+0,8*2,1*2+1,0*2,1*2)</t>
  </si>
  <si>
    <t>(2,3*2+2,0+1,7+2,0)*2,5</t>
  </si>
  <si>
    <t>-0,9*2,1*2</t>
  </si>
  <si>
    <t>56</t>
  </si>
  <si>
    <t>342272225</t>
  </si>
  <si>
    <t>Příčky z pórobetonových tvárnic hladkých na tenké maltové lože objemová hmotnost do 500 kg/m3, tloušťka příčky 100 mm</t>
  </si>
  <si>
    <t>-120997358</t>
  </si>
  <si>
    <t>(2,4+1,8+0,8+0,95)*3,65</t>
  </si>
  <si>
    <t>-0,7*2,1*2</t>
  </si>
  <si>
    <t>(2,0*2+1,8+5,0*2+0,3*4+1,7)*3,59</t>
  </si>
  <si>
    <t>-(0,7*2,1*2+0,8*2,1)</t>
  </si>
  <si>
    <t>(2,0*2+4,95*2+0,3*4+0,15*4)*3,59</t>
  </si>
  <si>
    <t>-(0,9*2,1*2)</t>
  </si>
  <si>
    <t>(4,95*2+0,3*2)*2,5</t>
  </si>
  <si>
    <t>57</t>
  </si>
  <si>
    <t>342272245</t>
  </si>
  <si>
    <t>Příčky z pórobetonových tvárnic hladkých na tenké maltové lože objemová hmotnost do 500 kg/m3, tloušťka příčky 150 mm</t>
  </si>
  <si>
    <t>-256657878</t>
  </si>
  <si>
    <t>(0,95+2,4)*3,65</t>
  </si>
  <si>
    <t>-0,8*2,1</t>
  </si>
  <si>
    <t>(2,0*2+0,15*2)*3,59</t>
  </si>
  <si>
    <t>-(0,8*2,1+0,7*2,1)</t>
  </si>
  <si>
    <t>(1,85*2+0,95)*3,59</t>
  </si>
  <si>
    <t>58</t>
  </si>
  <si>
    <t>345321515</t>
  </si>
  <si>
    <t>Zídky atikové, poprsní, schodišťové a zábradelní z betonu železového bez výztuže tř. C 25/30</t>
  </si>
  <si>
    <t>-104933703</t>
  </si>
  <si>
    <t>2,7*2*0,6*0,15</t>
  </si>
  <si>
    <t>(10,4*4+1,925*4)*0,6*0,2</t>
  </si>
  <si>
    <t>(8,85+43,15)*2*0,8*0,15</t>
  </si>
  <si>
    <t>59</t>
  </si>
  <si>
    <t>345351005</t>
  </si>
  <si>
    <t>Bednění atikových, poprsních, schodišťových, zábradelních zídek plnostěnných zřízení</t>
  </si>
  <si>
    <t>147228572</t>
  </si>
  <si>
    <t>2,7*2*0,6*2</t>
  </si>
  <si>
    <t>(10,4*4+1,925*4)*0,6*2</t>
  </si>
  <si>
    <t>(8,85+43,15)*2*0,8*2</t>
  </si>
  <si>
    <t>60</t>
  </si>
  <si>
    <t>345351006</t>
  </si>
  <si>
    <t>Bednění atikových, poprsních, schodišťových, zábradelních zídek plnostěnných odstranění</t>
  </si>
  <si>
    <t>120665356</t>
  </si>
  <si>
    <t>61</t>
  </si>
  <si>
    <t>345361821</t>
  </si>
  <si>
    <t>Výztuž atikových, poprsních, schodišťových, zábradelních zídek a madel z betonářské oceli 10 505 (R) nebo BSt 500</t>
  </si>
  <si>
    <t>-378421254</t>
  </si>
  <si>
    <t>18,882*120*0,001</t>
  </si>
  <si>
    <t>62</t>
  </si>
  <si>
    <t>346272236</t>
  </si>
  <si>
    <t>Přizdívky z pórobetonových tvárnic objemová hmotnost do 500 kg/m3, na tenké maltové lože, tloušťka přizdívky 100 mm</t>
  </si>
  <si>
    <t>1651439418</t>
  </si>
  <si>
    <t>1,5*1,2</t>
  </si>
  <si>
    <t>0,9*1,2</t>
  </si>
  <si>
    <t>63</t>
  </si>
  <si>
    <t>346272256</t>
  </si>
  <si>
    <t>Přizdívky z pórobetonových tvárnic objemová hmotnost do 500 kg/m3, na tenké maltové lože, tloušťka přizdívky 150 mm</t>
  </si>
  <si>
    <t>1697208089</t>
  </si>
  <si>
    <t>0,9*2*1,2</t>
  </si>
  <si>
    <t>64</t>
  </si>
  <si>
    <t>350500100.1</t>
  </si>
  <si>
    <t>Montáž a dodávka prefabrikovaného sloupu vel. 4740x400x300 mm z betonu tř. C30/37 XC1 - 0,54 m3, ozn. PS.1</t>
  </si>
  <si>
    <t>-982327409</t>
  </si>
  <si>
    <t>65</t>
  </si>
  <si>
    <t>350500100.2</t>
  </si>
  <si>
    <t>Montáž a dodávka prefabrikovaného sloupu vel. 3820x400x400 mm z betonu tř. C30/37 XC1 - 0,61 m3, ozn. PS.2</t>
  </si>
  <si>
    <t>116875744</t>
  </si>
  <si>
    <t>66</t>
  </si>
  <si>
    <t>350500100.3</t>
  </si>
  <si>
    <t>Montáž a dodávka prefabrikovaného sloupu vel. 3820x400x300 mm z betonu tř. C30/37 XC1 - 0,46 m3, ozn. PS.3</t>
  </si>
  <si>
    <t>1091110779</t>
  </si>
  <si>
    <t>67</t>
  </si>
  <si>
    <t>350500100.4</t>
  </si>
  <si>
    <t>Montáž a dodávka prefabrikovaného sloupu vel. 900x400x400 mm z betonu tř. C30/37 XC1 - 0,14 m3, ozn. PS.4</t>
  </si>
  <si>
    <t>-1144141506</t>
  </si>
  <si>
    <t>Vodorovné konstrukce</t>
  </si>
  <si>
    <t>68</t>
  </si>
  <si>
    <t>411321414</t>
  </si>
  <si>
    <t>Stropy z betonu železového (bez výztuže) stropů deskových, plochých střech, desek balkonových, desek hřibových stropů včetně hlavic hřibových sloupů tř. C 25/30</t>
  </si>
  <si>
    <t>1348992749</t>
  </si>
  <si>
    <t>363,5*0,250</t>
  </si>
  <si>
    <t>16,75*43,45*0,280</t>
  </si>
  <si>
    <t>1019,4*0,25</t>
  </si>
  <si>
    <t>3,65*2,8*2*0,2</t>
  </si>
  <si>
    <t>(435,8-10,0*1,925*2)*0,25</t>
  </si>
  <si>
    <t>(8,85*43,45-2,5*2,3*2)*0,22</t>
  </si>
  <si>
    <t>2,9*2,7*2*0,2</t>
  </si>
  <si>
    <t>69</t>
  </si>
  <si>
    <t>411351011</t>
  </si>
  <si>
    <t>Bednění stropních konstrukcí - bez podpěrné konstrukce desek tloušťky stropní desky přes 5 do 25 cm zřízení</t>
  </si>
  <si>
    <t>444136001</t>
  </si>
  <si>
    <t>363,5</t>
  </si>
  <si>
    <t>107,3*0,25</t>
  </si>
  <si>
    <t>1019,4</t>
  </si>
  <si>
    <t>3,65*2,8*2</t>
  </si>
  <si>
    <t>152,2*0,25</t>
  </si>
  <si>
    <t>(3,65*2+2,8*2)*2*0,2</t>
  </si>
  <si>
    <t>(435,8-10,0*1,925*2)</t>
  </si>
  <si>
    <t>(110,95+10,0*4+1,925*4)*0,25</t>
  </si>
  <si>
    <t>(8,85*43,45-2,5*2,3*2)</t>
  </si>
  <si>
    <t>2,9*2,7*2</t>
  </si>
  <si>
    <t>(8,85+43,45+2,5*2+2,3*2)*2*0,22</t>
  </si>
  <si>
    <t>(2,9*2+2,7*2)*2*0,2</t>
  </si>
  <si>
    <t>70</t>
  </si>
  <si>
    <t>411351012</t>
  </si>
  <si>
    <t>Bednění stropních konstrukcí - bez podpěrné konstrukce desek tloušťky stropní desky přes 5 do 25 cm odstranění</t>
  </si>
  <si>
    <t>1458567383</t>
  </si>
  <si>
    <t>71</t>
  </si>
  <si>
    <t>411351021</t>
  </si>
  <si>
    <t>Bednění stropních konstrukcí - bez podpěrné konstrukce desek tloušťky stropní desky přes 25 do 50 cm zřízení</t>
  </si>
  <si>
    <t>1892577924</t>
  </si>
  <si>
    <t>16,75*43,45</t>
  </si>
  <si>
    <t>(16,75+43,45)*2*0,280</t>
  </si>
  <si>
    <t>72</t>
  </si>
  <si>
    <t>411351022</t>
  </si>
  <si>
    <t>Bednění stropních konstrukcí - bez podpěrné konstrukce desek tloušťky stropní desky přes 25 do 50 cm odstranění</t>
  </si>
  <si>
    <t>1435736939</t>
  </si>
  <si>
    <t>73</t>
  </si>
  <si>
    <t>411354200.1</t>
  </si>
  <si>
    <t>Bednění stropů ztracené ocelové z trapézového plechu z oceli S 320 GD s výškou profilu 160 mm</t>
  </si>
  <si>
    <t>-1332681901</t>
  </si>
  <si>
    <t>Skladba SP 04</t>
  </si>
  <si>
    <t>13,24*42,95</t>
  </si>
  <si>
    <t>74</t>
  </si>
  <si>
    <t>411354313</t>
  </si>
  <si>
    <t>Podpěrná konstrukce stropů - desek, kleneb a skořepin výška podepření do 4 m tloušťka stropu přes 15 do 25 cm zřízení</t>
  </si>
  <si>
    <t>-1769581516</t>
  </si>
  <si>
    <t>75</t>
  </si>
  <si>
    <t>411354314</t>
  </si>
  <si>
    <t>Podpěrná konstrukce stropů - desek, kleneb a skořepin výška podepření do 4 m tloušťka stropu přes 15 do 25 cm odstranění</t>
  </si>
  <si>
    <t>481730189</t>
  </si>
  <si>
    <t>76</t>
  </si>
  <si>
    <t>411354315</t>
  </si>
  <si>
    <t>Podpěrná konstrukce stropů - desek, kleneb a skořepin výška podepření do 4 m tloušťka stropu přes 25 do 35 cm zřízení</t>
  </si>
  <si>
    <t>1766350360</t>
  </si>
  <si>
    <t>77</t>
  </si>
  <si>
    <t>411354316</t>
  </si>
  <si>
    <t>Podpěrná konstrukce stropů - desek, kleneb a skořepin výška podepření do 4 m tloušťka stropu přes 25 do 35 cm odstranění</t>
  </si>
  <si>
    <t>-1979867478</t>
  </si>
  <si>
    <t>78</t>
  </si>
  <si>
    <t>411359111</t>
  </si>
  <si>
    <t>Bednění stropních konstrukcí - bez podpěrné konstrukce Příplatek k cenám za pohledový beton</t>
  </si>
  <si>
    <t>569554391</t>
  </si>
  <si>
    <t>171,2*4</t>
  </si>
  <si>
    <t>2.np - m.č. 2.04 -2.07</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</si>
  <si>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</si>
  <si>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</si>
  <si>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</si>
  <si>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1193622549</t>
  </si>
  <si>
    <t>363,5*0,250*150*0,001</t>
  </si>
  <si>
    <t>16,75*43,45*0,280*150*0,001</t>
  </si>
  <si>
    <t>1019,4*0,25*150*0,001</t>
  </si>
  <si>
    <t>3,65*2,8*2*0,2*150*0,001</t>
  </si>
  <si>
    <t>(435,8-10,0*1,925*2)*0,25*170*0,001</t>
  </si>
  <si>
    <t>(8,85*43,45-2,5*2,3*2)*0,22*120*0,001</t>
  </si>
  <si>
    <t>2,9*2,7*2*0,2*120*0,001</t>
  </si>
  <si>
    <t>80</t>
  </si>
  <si>
    <t>413321414</t>
  </si>
  <si>
    <t>Nosníky z betonu železového (bez výztuže) včetně stěnových i jeřábových drah, volných trámů, průvlaků, rámových příčlí, ztužidel, konzol, vodorovných táhel apod., tyčových konstrukcí tř. C 25/30</t>
  </si>
  <si>
    <t>-27055864</t>
  </si>
  <si>
    <t>2,7*0,25*0,18</t>
  </si>
  <si>
    <t>33,55*0,4*0,25</t>
  </si>
  <si>
    <t>1,7*2*0,46*0,25</t>
  </si>
  <si>
    <t>35,65*0,4*0,4</t>
  </si>
  <si>
    <t>2,9*2*0,3*0,25</t>
  </si>
  <si>
    <t>(1,5*2+5,8+3,35+1,7*2)*0,59*0,25</t>
  </si>
  <si>
    <t>(4,3+4,15)*1,25*0,25</t>
  </si>
  <si>
    <t>33,05*0,4*0,25</t>
  </si>
  <si>
    <t>0,6*2*0,5*0,25</t>
  </si>
  <si>
    <t>81</t>
  </si>
  <si>
    <t>413351121</t>
  </si>
  <si>
    <t>Bednění nosníků a průvlaků - bez podpěrné konstrukce výška nosníku po spodní líc stropní desky přes 100 cm zřízení</t>
  </si>
  <si>
    <t>1778191055</t>
  </si>
  <si>
    <t>2,7*0,25*2</t>
  </si>
  <si>
    <t>33,55*0,4*2</t>
  </si>
  <si>
    <t>1,7*2*0,46*2</t>
  </si>
  <si>
    <t>35,65*0,4*2</t>
  </si>
  <si>
    <t>2,9*2*0,3*2</t>
  </si>
  <si>
    <t>(1,5*2+5,8+3,35+1,7*2)*0,59*2</t>
  </si>
  <si>
    <t>(4,3+4,15)*1,25*2</t>
  </si>
  <si>
    <t>33,05*0,4*2</t>
  </si>
  <si>
    <t>0,6*2*0,5*2</t>
  </si>
  <si>
    <t>82</t>
  </si>
  <si>
    <t>413351122</t>
  </si>
  <si>
    <t>Bednění nosníků a průvlaků - bez podpěrné konstrukce výška nosníku po spodní líc stropní desky přes 100 cm odstranění</t>
  </si>
  <si>
    <t>-757717564</t>
  </si>
  <si>
    <t>83</t>
  </si>
  <si>
    <t>413352115</t>
  </si>
  <si>
    <t>Podpěrná konstrukce nosníků a průvlaků výšky podepření do 4 m výšky nosníku (po spodní hranu stropní desky) přes 100 cm zřízení</t>
  </si>
  <si>
    <t>-1170999000</t>
  </si>
  <si>
    <t>2,7*0,18</t>
  </si>
  <si>
    <t>33,55*0,25</t>
  </si>
  <si>
    <t>1,7*2*0,25</t>
  </si>
  <si>
    <t>35,65*0,4</t>
  </si>
  <si>
    <t>2,9*2*0,25</t>
  </si>
  <si>
    <t>(1,5*2+5,8+3,35+1,7*2)*0,25</t>
  </si>
  <si>
    <t>(4,3+4,15)*0,25</t>
  </si>
  <si>
    <t>33,05*0,25</t>
  </si>
  <si>
    <t>0,6*2*0,25</t>
  </si>
  <si>
    <t>84</t>
  </si>
  <si>
    <t>413352116</t>
  </si>
  <si>
    <t>Podpěrná konstrukce nosníků a průvlaků výšky podepření do 4 m výšky nosníku (po spodní hranu stropní desky) přes 100 cm odstranění</t>
  </si>
  <si>
    <t>-1032482722</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</si>
  <si>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</si>
  <si>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</si>
  <si>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</si>
  <si>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-723421163</t>
  </si>
  <si>
    <t>18,641*260*0,001</t>
  </si>
  <si>
    <t>86</t>
  </si>
  <si>
    <t>417321515</t>
  </si>
  <si>
    <t>Ztužující pásy a věnce z betonu železového (bez výztuže) tř. C 25/30</t>
  </si>
  <si>
    <t>-1121077207</t>
  </si>
  <si>
    <t>33,55*0,25*0,25</t>
  </si>
  <si>
    <t>87</t>
  </si>
  <si>
    <t>417351115</t>
  </si>
  <si>
    <t>Bednění bočnic ztužujících pásů a věnců včetně vzpěr zřízení</t>
  </si>
  <si>
    <t>1972095089</t>
  </si>
  <si>
    <t>33,55*0,25*2</t>
  </si>
  <si>
    <t>88</t>
  </si>
  <si>
    <t>417351116</t>
  </si>
  <si>
    <t>Bednění bočnic ztužujících pásů a věnců včetně vzpěr odstranění</t>
  </si>
  <si>
    <t>2098509508</t>
  </si>
  <si>
    <t>89</t>
  </si>
  <si>
    <t>417361821</t>
  </si>
  <si>
    <t>Výztuž ztužujících pásů a věnců z betonářské oceli 10 505 (R) nebo BSt 500</t>
  </si>
  <si>
    <t>1393690959</t>
  </si>
  <si>
    <t>4,194*250*0,001</t>
  </si>
  <si>
    <t>90</t>
  </si>
  <si>
    <t>450500100.1</t>
  </si>
  <si>
    <t>Montáž a dodávka prefabrikovaného vazníku vel. 13725x1200x500 mm z betonu tř. C30/37 XC1 - 3,49 m3, ozn. VZ1</t>
  </si>
  <si>
    <t>-631094748</t>
  </si>
  <si>
    <t>91</t>
  </si>
  <si>
    <t>450500100.2</t>
  </si>
  <si>
    <t>Montáž a dodávka prefabrikovaného vazníku vel. 13725x1630x250 mm z betonu tř. C30/37 XC1 - 5,59 m3, ozn. VZ2</t>
  </si>
  <si>
    <t>1658727413</t>
  </si>
  <si>
    <t>92</t>
  </si>
  <si>
    <t>450500100.3</t>
  </si>
  <si>
    <t>Montáž a dodávka prefabrikovaného ztužidla vel. 5490x1630x250 mm z betonu tř. C30/37 XC1 - 2,24 m3, ozn. PZT1</t>
  </si>
  <si>
    <t>13727169</t>
  </si>
  <si>
    <t>93</t>
  </si>
  <si>
    <t>450500100.4</t>
  </si>
  <si>
    <t>Montáž a dodávka prefabrikovaného ztužidla vel. 5290x1630x250 mm z betonu tř. C30/37 XC1 - 2,16 m3, ozn. PZT2</t>
  </si>
  <si>
    <t>-136599998</t>
  </si>
  <si>
    <t>94</t>
  </si>
  <si>
    <t>450500100.5</t>
  </si>
  <si>
    <t>Montáž a dodávka prefabrikovaného ztužidla vel. 5620x1630x250 mm z betonu tř. C30/37 XC1 - 2,29 m3, ozn. PZT3</t>
  </si>
  <si>
    <t>494377749</t>
  </si>
  <si>
    <t>95</t>
  </si>
  <si>
    <t>450500100.6</t>
  </si>
  <si>
    <t>Montáž a dodávka prefabrikovaného schodišťového ramena vel. 4875x1500x220 mm z betonu tř. C30/37 XC1 - 2,00 m3, vč. akustického ložiska, ozn. R1</t>
  </si>
  <si>
    <t>1659305109</t>
  </si>
  <si>
    <t>96</t>
  </si>
  <si>
    <t>450500100.7</t>
  </si>
  <si>
    <t>Montáž a dodávka prefabrikovaného schodišťového ramena vel. 5340x1500x220 mm z betonu tř. C30/37 XC1 - 2,23 m3, vč. akustického ložiska, ozn. R2</t>
  </si>
  <si>
    <t>790593277</t>
  </si>
  <si>
    <t>97</t>
  </si>
  <si>
    <t>450500100.8</t>
  </si>
  <si>
    <t>Montáž a dodávka prefabrikovaného schodišťového ramena vel. 5340x1500x220 mm z betonu tř. C30/37 XC1 - 2,25 m3, vč. akustického ložiska, ozn. R3</t>
  </si>
  <si>
    <t>1145261881</t>
  </si>
  <si>
    <t>98</t>
  </si>
  <si>
    <t>450500100.9</t>
  </si>
  <si>
    <t>Montáž a dodávka prefabrikovaného schodišťového ramena vel. 2945x1500x180 mm z betonu tř. C30/37 XC1 - 1,21 m3, vč. akustického ložiska, ozn. R4</t>
  </si>
  <si>
    <t>889857741</t>
  </si>
  <si>
    <t>455600100.1</t>
  </si>
  <si>
    <t>Montáž a dodávka kotevní desky pro zábradlí vel. 150x150x10 mm vč. prutů R14, ocel S235, Ochrana proti korozi C3, ozn. KD1</t>
  </si>
  <si>
    <t>1955712719</t>
  </si>
  <si>
    <t>12+4</t>
  </si>
  <si>
    <t>100</t>
  </si>
  <si>
    <t>49050010.01</t>
  </si>
  <si>
    <t>M+D smykové výztuže typu 14/200 - 4/A560</t>
  </si>
  <si>
    <t>1407253835</t>
  </si>
  <si>
    <t>12*12</t>
  </si>
  <si>
    <t>49050010.02</t>
  </si>
  <si>
    <t>M+D smykové výztuže typu 14/200 - 2/A280</t>
  </si>
  <si>
    <t>-756434729</t>
  </si>
  <si>
    <t>12*4</t>
  </si>
  <si>
    <t>49050010.03</t>
  </si>
  <si>
    <t>M+D smykové výztuže typu 16/240 - 5/A850</t>
  </si>
  <si>
    <t>-119572024</t>
  </si>
  <si>
    <t>8*4</t>
  </si>
  <si>
    <t>49050010.04</t>
  </si>
  <si>
    <t>M+D smykové výztuže typu 16/240 - 4/A680</t>
  </si>
  <si>
    <t>-1895799692</t>
  </si>
  <si>
    <t>8*8</t>
  </si>
  <si>
    <t>49050010.05</t>
  </si>
  <si>
    <t>M+D smykové výztuže typu 14/210 - 2/A320</t>
  </si>
  <si>
    <t>1426907522</t>
  </si>
  <si>
    <t>6*3</t>
  </si>
  <si>
    <t>105</t>
  </si>
  <si>
    <t>49050010.06</t>
  </si>
  <si>
    <t>M+D smykové výztuže typu 14/210 - 6/A840</t>
  </si>
  <si>
    <t>-864514625</t>
  </si>
  <si>
    <t>12*4+8*1+8*3</t>
  </si>
  <si>
    <t>49050010.07</t>
  </si>
  <si>
    <t>M+D smykové výztuže typu 14/210 - 5/A700</t>
  </si>
  <si>
    <t>-1953357268</t>
  </si>
  <si>
    <t>107</t>
  </si>
  <si>
    <t>49050010.08</t>
  </si>
  <si>
    <t>M+D smykové výztuže typu 14/210 - 7/A980</t>
  </si>
  <si>
    <t>1758738261</t>
  </si>
  <si>
    <t>8*2</t>
  </si>
  <si>
    <t>108</t>
  </si>
  <si>
    <t>49050010.09</t>
  </si>
  <si>
    <t>M+D smykové výztuže typu 14/210 - 5/A800</t>
  </si>
  <si>
    <t>1651231634</t>
  </si>
  <si>
    <t>3*2+3*2</t>
  </si>
  <si>
    <t>109</t>
  </si>
  <si>
    <t>49050010.10</t>
  </si>
  <si>
    <t>M+D smykové výztuže typu 14/210 - 4/A560</t>
  </si>
  <si>
    <t>1473187591</t>
  </si>
  <si>
    <t>3*8</t>
  </si>
  <si>
    <t>110</t>
  </si>
  <si>
    <t>49050010.11</t>
  </si>
  <si>
    <t>M+D smykové výztuže typu 14/180 - 5/A650</t>
  </si>
  <si>
    <t>-1062071859</t>
  </si>
  <si>
    <t>111</t>
  </si>
  <si>
    <t>49050010.12</t>
  </si>
  <si>
    <t>M+D smykové výztuže typu 14/180 - 6/A780</t>
  </si>
  <si>
    <t>-1762351664</t>
  </si>
  <si>
    <t>7*3</t>
  </si>
  <si>
    <t>Úpravy povrchů, podlahy a osazování výplní, vč. rohových podomítkových lišt</t>
  </si>
  <si>
    <t>112</t>
  </si>
  <si>
    <t>611131321</t>
  </si>
  <si>
    <t>Podkladní a spojovací vrstva vnitřních omítaných ploch penetrace akrylát-silikonová nanášená strojně stropů</t>
  </si>
  <si>
    <t>-1886796432</t>
  </si>
  <si>
    <t>UP01_p+UP04_p</t>
  </si>
  <si>
    <t>113</t>
  </si>
  <si>
    <t>611181001</t>
  </si>
  <si>
    <t>Sádrová stěrka vnitřních povrchů tloušťky do 3 mm bez penetrace, včetně následného přebroušení vodorovných konstrukcí stropů rovných</t>
  </si>
  <si>
    <t>976017357</t>
  </si>
  <si>
    <t>dle přílohy P1</t>
  </si>
  <si>
    <t>114</t>
  </si>
  <si>
    <t>611181011</t>
  </si>
  <si>
    <t>Sádrová stěrka vnitřních povrchů Příplatek k cenám za každý další 1 mm stěrky stropů rovných</t>
  </si>
  <si>
    <t>1717094778</t>
  </si>
  <si>
    <t>UP04_P*2</t>
  </si>
  <si>
    <t>115</t>
  </si>
  <si>
    <t>611341321</t>
  </si>
  <si>
    <t>Omítka sádrová nebo vápenosádrová vnitřních ploch nanášená strojně jednovrstvá, tloušťky do 10 mm hladká vodorovných konstrukcí stropů rovných</t>
  </si>
  <si>
    <t>39209554</t>
  </si>
  <si>
    <t>116</t>
  </si>
  <si>
    <t>611341391</t>
  </si>
  <si>
    <t>Omítka sádrová nebo vápenosádrová vnitřních ploch nanášená strojně Příplatek k cenám za každých dalších i započatých 5 mm tloušťky omítky přes 10 mm stropů</t>
  </si>
  <si>
    <t>1756812588</t>
  </si>
  <si>
    <t>117</t>
  </si>
  <si>
    <t>612131102</t>
  </si>
  <si>
    <t>Podkladní a spojovací vrstva vnitřních omítaných ploch cementový postřik nanášený ručně síťovitě (pokrytí plochy 50 až 75 %) stěn</t>
  </si>
  <si>
    <t>868169512</t>
  </si>
  <si>
    <t>UP05_d+UP03_d</t>
  </si>
  <si>
    <t>odpočet polymercementového spojovacího můstku</t>
  </si>
  <si>
    <t>-15,34</t>
  </si>
  <si>
    <t>118</t>
  </si>
  <si>
    <t>612131111</t>
  </si>
  <si>
    <t>Podkladní a spojovací vrstva vnitřních omítaných ploch polymercementový spojovací můstek nanášený ručně stěn</t>
  </si>
  <si>
    <t>-1706057034</t>
  </si>
  <si>
    <t>m.č. 4.01</t>
  </si>
  <si>
    <t>0,4*3*5*2,36</t>
  </si>
  <si>
    <t>m.č. 4.07</t>
  </si>
  <si>
    <t>0,25*2,36</t>
  </si>
  <si>
    <t>m.č. 4.04</t>
  </si>
  <si>
    <t>119</t>
  </si>
  <si>
    <t>612131321</t>
  </si>
  <si>
    <t>Podkladní a spojovací vrstva vnitřních omítaných ploch penetrace akrylát-silikonová nanášená strojně stěn</t>
  </si>
  <si>
    <t>-1359433702</t>
  </si>
  <si>
    <t>Dle přílohy P1</t>
  </si>
  <si>
    <t>Skladba UP 01</t>
  </si>
  <si>
    <t>Skladba UP 04</t>
  </si>
  <si>
    <t>120</t>
  </si>
  <si>
    <t>612142001</t>
  </si>
  <si>
    <t>Potažení vnitřních ploch pletivem v ploše nebo pruzích, na plném podkladu sklovláknitým vtlačením do tmelu stěn</t>
  </si>
  <si>
    <t>-323706043</t>
  </si>
  <si>
    <t>(0,115+0,071)*2*1,25*9</t>
  </si>
  <si>
    <t>(0,115+0,071)*2*1,50*5</t>
  </si>
  <si>
    <t>(0,25+0,071)*2*2,25*2</t>
  </si>
  <si>
    <t>(0,25+0,238)*2*1,25*12</t>
  </si>
  <si>
    <t>(0,25+0,238)*2*1,5*3</t>
  </si>
  <si>
    <t>(0,1+0,249)*2*1,25*8</t>
  </si>
  <si>
    <t>(0,15+0,249)*2*1,25*2</t>
  </si>
  <si>
    <t>(0,25+0,238)*2*1,75*8</t>
  </si>
  <si>
    <t>121</t>
  </si>
  <si>
    <t>612181001</t>
  </si>
  <si>
    <t>Sádrová stěrka vnitřních povrchů tloušťky do 3 mm bez penetrace, včetně následného přebroušení svislých konstrukcí stěn v podlaží i na schodišti</t>
  </si>
  <si>
    <t>1561090907</t>
  </si>
  <si>
    <t>UP04_D</t>
  </si>
  <si>
    <t>122</t>
  </si>
  <si>
    <t>612181011</t>
  </si>
  <si>
    <t>Sádrová stěrka vnitřních povrchů Příplatek k cenám za každý další 1 mm stěrky stěn v podlaží i na schodišti</t>
  </si>
  <si>
    <t>876459450</t>
  </si>
  <si>
    <t>UP04_D*2</t>
  </si>
  <si>
    <t>123</t>
  </si>
  <si>
    <t>612321121</t>
  </si>
  <si>
    <t>Omítka vápenocementová vnitřních ploch nanášená ručně jednovrstvá, tloušťky do 10 mm hladká svislých konstrukcí stěn</t>
  </si>
  <si>
    <t>2032535456</t>
  </si>
  <si>
    <t>Skladba UP 05</t>
  </si>
  <si>
    <t>124</t>
  </si>
  <si>
    <t>612321191</t>
  </si>
  <si>
    <t>Omítka vápenocementová vnitřních ploch nanášená ručně Příplatek k cenám za každých dalších i započatých 5 mm tloušťky omítky přes 10 mm stěn</t>
  </si>
  <si>
    <t>1386486614</t>
  </si>
  <si>
    <t>125</t>
  </si>
  <si>
    <t>612321321</t>
  </si>
  <si>
    <t>Omítka vápenocementová vnitřních ploch nanášená strojně jednovrstvá, tloušťky do 10 mm hladká svislých konstrukcí stěn</t>
  </si>
  <si>
    <t>-1381961204</t>
  </si>
  <si>
    <t>skladba UP 03</t>
  </si>
  <si>
    <t>126</t>
  </si>
  <si>
    <t>612341321</t>
  </si>
  <si>
    <t>Omítka sádrová nebo vápenosádrová vnitřních ploch nanášená strojně jednovrstvá, tloušťky do 10 mm hladká svislých konstrukcí stěn</t>
  </si>
  <si>
    <t>-286729203</t>
  </si>
  <si>
    <t>UP01_D</t>
  </si>
  <si>
    <t>127</t>
  </si>
  <si>
    <t>612341391</t>
  </si>
  <si>
    <t>Omítka sádrová nebo vápenosádrová vnitřních ploch nanášená strojně Příplatek k cenám za každých dalších i započatých 5 mm tloušťky omítky přes 10 mm stěn</t>
  </si>
  <si>
    <t>-1816708457</t>
  </si>
  <si>
    <t>128</t>
  </si>
  <si>
    <t>621211031.1</t>
  </si>
  <si>
    <t>Montáž kontaktního zateplení lepením a mechanickým kotvením z polystyrenových desek nebo z kombinovaných desek na vnější podhledy, tloušťky desek přes 120 do 160 mm, vč. všech systémových prvků, lišt a detailů</t>
  </si>
  <si>
    <t>-1598071685</t>
  </si>
  <si>
    <t>markýza v 1.np (PIR 120 mm)</t>
  </si>
  <si>
    <t>32,25*2,0</t>
  </si>
  <si>
    <t>podhled nad světlíky ve 3.np (PIR 60 mm)</t>
  </si>
  <si>
    <t>28,0*2,45</t>
  </si>
  <si>
    <t>Bočnice markýzy (PIR 60 mm)</t>
  </si>
  <si>
    <t>0,72*2</t>
  </si>
  <si>
    <t>129</t>
  </si>
  <si>
    <t>28376526.8</t>
  </si>
  <si>
    <t>deska izolační PIR tl. 60mm</t>
  </si>
  <si>
    <t>-1147840499</t>
  </si>
  <si>
    <t>28,0*2,45*1,02</t>
  </si>
  <si>
    <t>0,72*2*1,02</t>
  </si>
  <si>
    <t>130</t>
  </si>
  <si>
    <t>28376503.9</t>
  </si>
  <si>
    <t>deska izolační PIR tl. 120mm</t>
  </si>
  <si>
    <t>1694349274</t>
  </si>
  <si>
    <t>32,25*2,0*1,02</t>
  </si>
  <si>
    <t>131</t>
  </si>
  <si>
    <t>621531011</t>
  </si>
  <si>
    <t>Omítka tenkovrstvá silikonová vnějších ploch probarvená, včetně penetrace podkladu zrnitá, tloušťky 1,5 mm podhledů</t>
  </si>
  <si>
    <t>34330575</t>
  </si>
  <si>
    <t>132</t>
  </si>
  <si>
    <t>622211031.1</t>
  </si>
  <si>
    <t>Montáž kontaktního zateplení lepením a mechanickým kotvením z polystyrenových desek nebo z kombinovaných desek na vnější stěny, tloušťky desek přes 120 do 160 mm, vč. všech systémových prvků, lišt a detailů</t>
  </si>
  <si>
    <t>-1891799163</t>
  </si>
  <si>
    <t>pod cihelné bagety (EPS 160 mm)</t>
  </si>
  <si>
    <t>Hlavní plochy měřeny digitálně</t>
  </si>
  <si>
    <t>Severovýchod</t>
  </si>
  <si>
    <t>258,2+28,0*2,2</t>
  </si>
  <si>
    <t>-(40,8*0,35+28,0*0,32)</t>
  </si>
  <si>
    <t>Sokl pro obklad z cihelných desek (Perimetr 140 mm)</t>
  </si>
  <si>
    <t>1,35*2*0,45+(25,8*2+5,9*2)*0,75</t>
  </si>
  <si>
    <t>Sokl pro obklad z cihelných baget (Perimetr 160 mm)</t>
  </si>
  <si>
    <t>40,8*0,45</t>
  </si>
  <si>
    <t>133</t>
  </si>
  <si>
    <t>28375952.1</t>
  </si>
  <si>
    <t>deska z expandovaného pěnového polystyrenu s příměsí grafitu s bílou lícovou povrchovou vrstvou tl 160mm</t>
  </si>
  <si>
    <t>-1271663471</t>
  </si>
  <si>
    <t>296,56*1,02</t>
  </si>
  <si>
    <t>134</t>
  </si>
  <si>
    <t>28376359</t>
  </si>
  <si>
    <t>deska perimetrická spodních staveb, podlah a plochých střech 200kPa λ=0,034 tl 160mm</t>
  </si>
  <si>
    <t>835299560</t>
  </si>
  <si>
    <t>40,8*0,45*1,02</t>
  </si>
  <si>
    <t>135</t>
  </si>
  <si>
    <t>28376357</t>
  </si>
  <si>
    <t>deska perimetrická spodních staveb, podlah a plochých střech 200kPa λ=0,034 tl 140mm</t>
  </si>
  <si>
    <t>-419426339</t>
  </si>
  <si>
    <t>(1,35*2*0,45+(25,8*2+5,9*2)*0,75)*1,02</t>
  </si>
  <si>
    <t>136</t>
  </si>
  <si>
    <t>622211041.1</t>
  </si>
  <si>
    <t>Montáž kontaktního zateplení lepením a mechanickým kotvením z polystyrenových desek nebo z kombinovaných desek na vnější stěny, tloušťky desek přes 160 do 200 mm, vč. všech systémových prvků, lišt a detailů</t>
  </si>
  <si>
    <t>-972510901</t>
  </si>
  <si>
    <t>Sokl pro obklad z TiZn plechu (Perimetr 180 mm)</t>
  </si>
  <si>
    <t>32,5*0,75</t>
  </si>
  <si>
    <t>Sokl pro obklad z cihelných baget (Perimetr 180 mm) - střecha / řez A</t>
  </si>
  <si>
    <t>28,6*0,32</t>
  </si>
  <si>
    <t>Sokl pro obklad z cihelných desek (Perimetr 200 mm) - střecha / řez A</t>
  </si>
  <si>
    <t>(35,1+3,7*2+2,1*2)*0,32</t>
  </si>
  <si>
    <t>137</t>
  </si>
  <si>
    <t>28376362</t>
  </si>
  <si>
    <t>deska perimetrická spodních staveb, podlah a plochých střech 200kPa λ=0,034 tl 180mm</t>
  </si>
  <si>
    <t>-1480950029</t>
  </si>
  <si>
    <t>24,375*1,02</t>
  </si>
  <si>
    <t>28,6*0,32*1,02</t>
  </si>
  <si>
    <t>138</t>
  </si>
  <si>
    <t>28376363</t>
  </si>
  <si>
    <t>deska perimetrická spodních staveb, podlah a plochých střech 200kPa λ=0,034 tl 200mm</t>
  </si>
  <si>
    <t>874689291</t>
  </si>
  <si>
    <t>Sokl pro obklad z cihelných desek (Perimetr 200 mm)</t>
  </si>
  <si>
    <t>(35,1+3,7*2+2,1*2)*0,32*1,02</t>
  </si>
  <si>
    <t>139</t>
  </si>
  <si>
    <t>622531011</t>
  </si>
  <si>
    <t>Omítka tenkovrstvá silikonová vnějších ploch probarvená, včetně penetrace podkladu zrnitá, tloušťky 1,5 mm stěn</t>
  </si>
  <si>
    <t>1827976422</t>
  </si>
  <si>
    <t>pod cihelné bagety</t>
  </si>
  <si>
    <t>Čelo a bočnice markýzy</t>
  </si>
  <si>
    <t>15,9+0,72*2</t>
  </si>
  <si>
    <t>140</t>
  </si>
  <si>
    <t>622500100.1</t>
  </si>
  <si>
    <t>M+D keramické fasády z cihelných obkladových desek zavěšených na vertikální a horizontální nosné hliníkové konstrukci v systému skrytého uchycení, vč. všech systémových prvků a detailů</t>
  </si>
  <si>
    <t>-979270925</t>
  </si>
  <si>
    <t>P</t>
  </si>
  <si>
    <t>Poznámka k položce:_x000D_
Obvodový plášť budovy je zavěšený, zateplený, odvětrávaný fasádní plášť s použitím režných cihelných obkladových prvků, zavěšených na vertikální a horizontální nosné hliníkové konstrukci  v systému skrytého uchycení. Cihelná obkladová dvouvrstvá deska byla vybrána v odstínu Natural Red a povrchové úpravě PATINA. Základní šířkový modulový rozměr je 600mm, výškový modulový rozměr  je 300mm, delší rozměr v horizontálním směru. Tloušťka desky je 30 mm._x000D_
Provětrávaní a odvětrání je umožněno díky horizontálním spárám mezi cihelnými deskami a dostatečným odstupem od izolace. Horizontální spáry jsou tvořeny zámkem cihelného obkladu, vertikální spáry jsou vyplněny pružným plechovým systémovým profilem v barvě obkladu._x000D_
Upevňovací háčky pro mechanické kotvení keramických desek do nosné konstrukce jsou z Al slitin.</t>
  </si>
  <si>
    <t>Jihovýchod</t>
  </si>
  <si>
    <t>269,4+3,75*3,85</t>
  </si>
  <si>
    <t>Severozápad</t>
  </si>
  <si>
    <t>86,1+(7,64+2,25)*2*2,2-1,0*2,0*2+46,0+44,0*1,54</t>
  </si>
  <si>
    <t>Jihozápad</t>
  </si>
  <si>
    <t>528,8-2,4*6,3*6</t>
  </si>
  <si>
    <t>141</t>
  </si>
  <si>
    <t>622500200.1</t>
  </si>
  <si>
    <t>M+D keramické fasády z cihelných baget kotvené do vertikálních nosných hliníkových profilů, vč. všech systémových prvků a detailů</t>
  </si>
  <si>
    <t>-1125587920</t>
  </si>
  <si>
    <t>Poznámka k položce:_x000D_
Obvodový plášť budovy tvořený kombinaci KZS a předsazených stínících cihelných prvků (baget). Rozměr (průřez) baget 50 x 50mm, rozteč baget je 150mm, pohledová vertikální mezera mezi bagetami je 100mm. Stínící prvky jsou kotveny do vertikálních nosných Al profilů L 100/50/5 v RAL úpravě, předsazených před KZS, které jsou pomocí Fe/Zn kotev zakotveny do obvodové nosné konstrukce. Koncové prvky baget jsou bez barevné úpravy, v přírodním hliníku. Odstín cihelného stínícího prvku je Natural Red. Kotvení baget je do Al L profilu 100/50/5.</t>
  </si>
  <si>
    <t>142</t>
  </si>
  <si>
    <t>631311123</t>
  </si>
  <si>
    <t>Mazanina z betonu prostého bez zvýšených nároků na prostředí tl. přes 80 do 120 mm tř. C 12/15</t>
  </si>
  <si>
    <t>87646579</t>
  </si>
  <si>
    <t>Podkladní beton</t>
  </si>
  <si>
    <t>(24,7*42,8-3,22*2,8*2+3,72*3,3*2+139,8*0,6)*0,100</t>
  </si>
  <si>
    <t>143</t>
  </si>
  <si>
    <t>631311126</t>
  </si>
  <si>
    <t>Mazanina z betonu prostého bez zvýšených nároků na prostředí tl. přes 80 do 120 mm tř. C 25/30</t>
  </si>
  <si>
    <t>113733710</t>
  </si>
  <si>
    <t>Podbetonování schodišťového ramena na zdivu</t>
  </si>
  <si>
    <t>1,75*0,25*8*0,200</t>
  </si>
  <si>
    <t>144</t>
  </si>
  <si>
    <t>631311136.1</t>
  </si>
  <si>
    <t>Podbetonování kolejnic z pasů vel. 250x130 mm z betonu prostého tř. C 25/30, vč. bednění</t>
  </si>
  <si>
    <t>1451544626</t>
  </si>
  <si>
    <t>16,25*24*0,25*0,13</t>
  </si>
  <si>
    <t>145</t>
  </si>
  <si>
    <t>631342212.1</t>
  </si>
  <si>
    <t>Cementová litá pěna na bázi cementu a speciální stabilizované hmoty tl. 50-55 mm, objemové hmotnosti 300 kg/m3</t>
  </si>
  <si>
    <t>-1628528806</t>
  </si>
  <si>
    <t>P08+P09+P11+P12+P13</t>
  </si>
  <si>
    <t>146</t>
  </si>
  <si>
    <t>632441220.1</t>
  </si>
  <si>
    <t>Potěr anhydritový samonivelační litý, tl. přes 55 do 60 mm, vč. dilatační pásky tl. 10 mm</t>
  </si>
  <si>
    <t>292203917</t>
  </si>
  <si>
    <t>P03_2+P06+P11</t>
  </si>
  <si>
    <t>147</t>
  </si>
  <si>
    <t>632441220.2</t>
  </si>
  <si>
    <t>Potěr anhydritový samonivelační litý, tl. přes 65 do 75 mm, vč. dilatační pásky tl. 10 mm</t>
  </si>
  <si>
    <t>-788705584</t>
  </si>
  <si>
    <t>P01+P02+P04+P05+P07+P08+P09+P12+P13+P14</t>
  </si>
  <si>
    <t>148</t>
  </si>
  <si>
    <t>632441220.3</t>
  </si>
  <si>
    <t>Potěr anhydritový samonivelační litý, tl. 110 mm, vč. dilatační pásky tl. 10 mm</t>
  </si>
  <si>
    <t>1541650126</t>
  </si>
  <si>
    <t>149</t>
  </si>
  <si>
    <t>632450100.1</t>
  </si>
  <si>
    <t>Cementová expanzní zálivka tl. 90 mm</t>
  </si>
  <si>
    <t>-207296575</t>
  </si>
  <si>
    <t>33,55*0,090*0,25</t>
  </si>
  <si>
    <t>150</t>
  </si>
  <si>
    <t>632481213</t>
  </si>
  <si>
    <t>Separační vrstva k oddělení podlahových vrstev z polyetylénové fólie</t>
  </si>
  <si>
    <t>260639221</t>
  </si>
  <si>
    <t>P01+P02+P03_2+P04+P05+P06+P07+P08+P09+P10+P11+P12+P13+P14</t>
  </si>
  <si>
    <t>Ostatní konstrukce a práce, bourání</t>
  </si>
  <si>
    <t>151</t>
  </si>
  <si>
    <t>941111122</t>
  </si>
  <si>
    <t>Montáž lešení řadového trubkového lehkého pracovního s podlahami s provozním zatížením tř. 3 do 200 kg/m2 šířky tř. W09 přes 0,9 do 1,2 m, výšky přes 10 do 25 m</t>
  </si>
  <si>
    <t>147631794</t>
  </si>
  <si>
    <t>Plochy měřeny digitálně</t>
  </si>
  <si>
    <t>367,4+(13,65+15,23)*1,2-28,4*1,8</t>
  </si>
  <si>
    <t>(44,0+1,2*2)*(15,45-1,8)</t>
  </si>
  <si>
    <t>152</t>
  </si>
  <si>
    <t>941111222.1</t>
  </si>
  <si>
    <t>Montáž lešení řadového trubkového lehkého pracovního s podlahami s provozním zatížením tř. 3 do 200 kg/m2 Příplatek za první a každé další dny použití lešení k ceně -1122</t>
  </si>
  <si>
    <t>-716211489</t>
  </si>
  <si>
    <t>153</t>
  </si>
  <si>
    <t>941111822</t>
  </si>
  <si>
    <t>Demontáž lešení řadového trubkového lehkého pracovního s podlahami s provozním zatížením tř. 3 do 200 kg/m2 šířky tř. W09 přes 0,9 do 1,2 m, výšky přes 10 do 25 m</t>
  </si>
  <si>
    <t>1060284439</t>
  </si>
  <si>
    <t>154</t>
  </si>
  <si>
    <t>944511111</t>
  </si>
  <si>
    <t>Montáž ochranné sítě zavěšené na konstrukci lešení z textilie z umělých vláken</t>
  </si>
  <si>
    <t>-179538330</t>
  </si>
  <si>
    <t>155</t>
  </si>
  <si>
    <t>944511211.1</t>
  </si>
  <si>
    <t>Montáž ochranné sítě Příplatek za první a každé další dny použití sítě k ceně -1111</t>
  </si>
  <si>
    <t>-2033540253</t>
  </si>
  <si>
    <t>156</t>
  </si>
  <si>
    <t>944511811</t>
  </si>
  <si>
    <t>Demontáž ochranné sítě zavěšené na konstrukci lešení z textilie z umělých vláken</t>
  </si>
  <si>
    <t>-855102847</t>
  </si>
  <si>
    <t>157</t>
  </si>
  <si>
    <t>949101111</t>
  </si>
  <si>
    <t>Lešení pomocné pracovní pro objekty pozemních staveb pro zatížení do 150 kg/m2, o výšce lešeňové podlahy do 1,9 m</t>
  </si>
  <si>
    <t>651756283</t>
  </si>
  <si>
    <t>dle tabulek místností</t>
  </si>
  <si>
    <t>151,4+110,3+712,7+16,0+19,0+13,8</t>
  </si>
  <si>
    <t>165,1+124,3+684,8+17,8+7,1</t>
  </si>
  <si>
    <t>288,1+195,0+156,3+26,8+6,2+342,3</t>
  </si>
  <si>
    <t>27,7+195,1</t>
  </si>
  <si>
    <t>158</t>
  </si>
  <si>
    <t>952901111</t>
  </si>
  <si>
    <t>Vyčištění budov nebo objektů před předáním do užívání budov bytové nebo občanské výstavby, světlé výšky podlaží do 4 m</t>
  </si>
  <si>
    <t>696298225</t>
  </si>
  <si>
    <t>dle digitálního měření</t>
  </si>
  <si>
    <t>1132,4</t>
  </si>
  <si>
    <t>1140,3</t>
  </si>
  <si>
    <t>1140,9</t>
  </si>
  <si>
    <t>350,7</t>
  </si>
  <si>
    <t>159</t>
  </si>
  <si>
    <t>960500100.1</t>
  </si>
  <si>
    <t>Zednické výpomoce jinde neuvedené a jiné doplňkové práce (realizováno a účtováno na pokyn investora a SD)</t>
  </si>
  <si>
    <t>hod</t>
  </si>
  <si>
    <t>911381723</t>
  </si>
  <si>
    <t>odhad</t>
  </si>
  <si>
    <t>300,0</t>
  </si>
  <si>
    <t>998</t>
  </si>
  <si>
    <t>Přesun hmot</t>
  </si>
  <si>
    <t>160</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</si>
  <si>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</si>
  <si>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</si>
  <si>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330381221</t>
  </si>
  <si>
    <t>PSV</t>
  </si>
  <si>
    <t>Práce a dodávky PSV</t>
  </si>
  <si>
    <t>711</t>
  </si>
  <si>
    <t>Izolace proti vodě, vlhkosti a plynům</t>
  </si>
  <si>
    <t>161</t>
  </si>
  <si>
    <t>711111001</t>
  </si>
  <si>
    <t>Provedení izolace proti zemní vlhkosti natěradly a tmely za studena na ploše vodorovné V nátěrem penetračním</t>
  </si>
  <si>
    <t>-1981469015</t>
  </si>
  <si>
    <t>43,6*25,5</t>
  </si>
  <si>
    <t>162</t>
  </si>
  <si>
    <t>711112001</t>
  </si>
  <si>
    <t>Provedení izolace proti zemní vlhkosti natěradly a tmely za studena na ploše svislé S nátěrem penetračním</t>
  </si>
  <si>
    <t>1263966138</t>
  </si>
  <si>
    <t>(43,6+25,5)*2*0,880</t>
  </si>
  <si>
    <t>163</t>
  </si>
  <si>
    <t>11163150</t>
  </si>
  <si>
    <t>lak penetrační asfaltový</t>
  </si>
  <si>
    <t>-1930088622</t>
  </si>
  <si>
    <t>(1111,8+152,92)*0,00035</t>
  </si>
  <si>
    <t>164</t>
  </si>
  <si>
    <t>711141559</t>
  </si>
  <si>
    <t>Provedení izolace proti zemní vlhkosti pásy přitavením NAIP na ploše vodorovné V</t>
  </si>
  <si>
    <t>2102688443</t>
  </si>
  <si>
    <t>165</t>
  </si>
  <si>
    <t>711142559</t>
  </si>
  <si>
    <t>Provedení izolace proti zemní vlhkosti pásy přitavením NAIP na ploše svislé S</t>
  </si>
  <si>
    <t>262971944</t>
  </si>
  <si>
    <t>(43,6+25,5)*2*0,880*2</t>
  </si>
  <si>
    <t>(3,22+2,8)*2*2*1,3*2</t>
  </si>
  <si>
    <t>166</t>
  </si>
  <si>
    <t>62853004.1</t>
  </si>
  <si>
    <t>pás asfaltový natavitelný modifikovaný SBS tl 4,0mm s vložkou ze skleněné tkaniny, spalitelnou PE fólií a jemnozrnný minerálním posypem na horním povrchu</t>
  </si>
  <si>
    <t>482877119</t>
  </si>
  <si>
    <t>vodorovná</t>
  </si>
  <si>
    <t>1111,8*1,15</t>
  </si>
  <si>
    <t>svislá</t>
  </si>
  <si>
    <t>(43,6+25,5)*2*0,880*1,20</t>
  </si>
  <si>
    <t>(3,22+2,8)*2*2*1,3*1,20</t>
  </si>
  <si>
    <t>167</t>
  </si>
  <si>
    <t>62855001.1</t>
  </si>
  <si>
    <t>pás asfaltový natavitelný modifikovaný SBS tl 4,0mm s vložkou z polyesterové rohože, spalitelnou PE fólií a jemnozrnný minerálním posypem na horním povrchu</t>
  </si>
  <si>
    <t>-1415251700</t>
  </si>
  <si>
    <t>168</t>
  </si>
  <si>
    <t>711491172</t>
  </si>
  <si>
    <t>Provedení izolace proti povrchové a podpovrchové tlakové vodě ostatní na ploše vodorovné V z textilií, vrstva ochranná</t>
  </si>
  <si>
    <t>1466504088</t>
  </si>
  <si>
    <t>169</t>
  </si>
  <si>
    <t>69311082.1</t>
  </si>
  <si>
    <t>geotextilie netkaná 500g/m2</t>
  </si>
  <si>
    <t>-1908503131</t>
  </si>
  <si>
    <t>170</t>
  </si>
  <si>
    <t>711700500.1</t>
  </si>
  <si>
    <t>Jednosložková hydroizolační stěrka na bázi cementových pojiv provedená ve dvou vrstvách, vč. vytažení a těsnící pásky</t>
  </si>
  <si>
    <t>-272607600</t>
  </si>
  <si>
    <t>podlahy</t>
  </si>
  <si>
    <t>P01+P06+P11</t>
  </si>
  <si>
    <t>vytažení soklu (dle přílohy P1)</t>
  </si>
  <si>
    <t>116,5*0,15</t>
  </si>
  <si>
    <t>stěny</t>
  </si>
  <si>
    <t>1,2*(6+10+14+0)*1,2</t>
  </si>
  <si>
    <t>171</t>
  </si>
  <si>
    <t>998711103</t>
  </si>
  <si>
    <t>Přesun hmot pro izolace proti vodě, vlhkosti a plynům stanovený z hmotnosti přesunovaného materiálu vodorovná dopravní vzdálenost do 50 m v objektech výšky přes 12 do 60 m</t>
  </si>
  <si>
    <t>238726773</t>
  </si>
  <si>
    <t>712</t>
  </si>
  <si>
    <t>Povlakové krytiny</t>
  </si>
  <si>
    <t>172</t>
  </si>
  <si>
    <t>712311101</t>
  </si>
  <si>
    <t>Provedení povlakové krytiny střech plochých do 10° natěradly a tmely za studena nátěrem lakem penetračním nebo asfaltovým</t>
  </si>
  <si>
    <t>1313266519</t>
  </si>
  <si>
    <t>Skladba SP 01</t>
  </si>
  <si>
    <t>9,41*44,01-3,39*2,66*2</t>
  </si>
  <si>
    <t>(8,55+43,15)*2*0,8</t>
  </si>
  <si>
    <t>(3,39+2,66)*2*2*1,12</t>
  </si>
  <si>
    <t>Skladba SP 02</t>
  </si>
  <si>
    <t>3,715*2,98*2</t>
  </si>
  <si>
    <t>Skladba SP 03</t>
  </si>
  <si>
    <t>162,33-2,325*10,4*2</t>
  </si>
  <si>
    <t>80,75*0,45</t>
  </si>
  <si>
    <t>(2,325+10,4)*2*2*0,45</t>
  </si>
  <si>
    <t>14,3*44,01</t>
  </si>
  <si>
    <t>(13,24+42,95)*2*0,57</t>
  </si>
  <si>
    <t>Skladba SP 06</t>
  </si>
  <si>
    <t>8,8*2</t>
  </si>
  <si>
    <t>(4,0*2+2,8)*0,3</t>
  </si>
  <si>
    <t>173</t>
  </si>
  <si>
    <t>-654524683</t>
  </si>
  <si>
    <t>1415,517*0,0003 'Přepočtené koeficientem množství</t>
  </si>
  <si>
    <t>174</t>
  </si>
  <si>
    <t>712331111</t>
  </si>
  <si>
    <t>Provedení povlakové krytiny střech plochých do 10° pásy na sucho podkladní samolepící asfaltový pás</t>
  </si>
  <si>
    <t>738905006</t>
  </si>
  <si>
    <t>Skladba SP 01 - tl. 3,5 mm</t>
  </si>
  <si>
    <t>(8,55+43,15)*2*0,38</t>
  </si>
  <si>
    <t>(3,39+2,66)*2*2*0,96</t>
  </si>
  <si>
    <t>Skladba SP 02 - tl. 3,5 mm</t>
  </si>
  <si>
    <t>Skladba SP 03 - tl. 3,5 mm</t>
  </si>
  <si>
    <t>80,75*0,3</t>
  </si>
  <si>
    <t>(2,325+10,4)*2*2*0,32</t>
  </si>
  <si>
    <t>Skladba SP 04 - tl. 0,4 mm</t>
  </si>
  <si>
    <t>Skladba SP 04 - tl. 3,5 mm</t>
  </si>
  <si>
    <t>(13,24+42,95)*2*0,45</t>
  </si>
  <si>
    <t>175</t>
  </si>
  <si>
    <t>62853000.1</t>
  </si>
  <si>
    <t>pás asfaltový samolepicí modifikovaný SBS tl 3,5mm s vložkou ze skleněné tkaniny se spalitelnou fólií a zdola snímatelnou ochrannou fólií</t>
  </si>
  <si>
    <t>-817128563</t>
  </si>
  <si>
    <t>(9,41*44,01-3,39*2,66*2)*1,15</t>
  </si>
  <si>
    <t>(8,55+43,15)*2*0,38*1,15</t>
  </si>
  <si>
    <t>(3,39+2,66)*2*2*0,96*1,15</t>
  </si>
  <si>
    <t>3,715*2,98*2*1,15</t>
  </si>
  <si>
    <t>(162,33-2,325*10,4*2)*1,15</t>
  </si>
  <si>
    <t>80,75*0,3*1,15</t>
  </si>
  <si>
    <t>(2,325+10,4)*2*2*0,32*1,15</t>
  </si>
  <si>
    <t>14,3*44,01*1,15</t>
  </si>
  <si>
    <t>(13,24+42,95)*2*0,45*1,15</t>
  </si>
  <si>
    <t>176</t>
  </si>
  <si>
    <t>62856003</t>
  </si>
  <si>
    <t>pás asfaltový samolepicí modifikovaný SBS tl 0,4mm s vrchní spřaženou speciálnínosnou vložkou z hliníkové fólie, se sníženou hořlavostí</t>
  </si>
  <si>
    <t>-798118129</t>
  </si>
  <si>
    <t>(13,24+42,95)*2*0,57*1,15</t>
  </si>
  <si>
    <t>177</t>
  </si>
  <si>
    <t>712341559</t>
  </si>
  <si>
    <t>Provedení povlakové krytiny střech plochých do 10° pásy přitavením NAIP v plné ploše</t>
  </si>
  <si>
    <t>-1752268665</t>
  </si>
  <si>
    <t>Skladba SP 01 - vložka PES</t>
  </si>
  <si>
    <t>Skladba SP 02 - vložka PES</t>
  </si>
  <si>
    <t>Skladba SP 03 - vložka PES</t>
  </si>
  <si>
    <t>Skladba SP 04 - vložka PES</t>
  </si>
  <si>
    <t>178</t>
  </si>
  <si>
    <t>62853007.3</t>
  </si>
  <si>
    <t>pás asfaltový natavitelný modifikovaný SBS tl 5,3mm s vložkou z polyesterové rohože, se spalitelnou PE fólií a jemným posypem na horním povrchu</t>
  </si>
  <si>
    <t>1710389050</t>
  </si>
  <si>
    <t>179</t>
  </si>
  <si>
    <t>712341659</t>
  </si>
  <si>
    <t>Provedení povlakové krytiny střech plochých do 10° pásy přitavením NAIP bodově</t>
  </si>
  <si>
    <t>1013746543</t>
  </si>
  <si>
    <t>180</t>
  </si>
  <si>
    <t>62853007.1</t>
  </si>
  <si>
    <t>pás asfaltový natavitelný modifikovaný SBS tl 4mm s vložkou z hliníkové fólie, se spalitelnou PE fólií a jemný posypem na horním povrchu</t>
  </si>
  <si>
    <t>1371697690</t>
  </si>
  <si>
    <t>(8,55+43,15)*2*0,8*1,15</t>
  </si>
  <si>
    <t>(3,39+2,66)*2*2*1,12*1,15</t>
  </si>
  <si>
    <t>80,75*0,45*1,15</t>
  </si>
  <si>
    <t>(2,325+10,4)*2*2*0,45*1,15</t>
  </si>
  <si>
    <t>8,8*2*1,15</t>
  </si>
  <si>
    <t>(4,0*2+2,8)*0,3*1,15</t>
  </si>
  <si>
    <t>181</t>
  </si>
  <si>
    <t>712361701</t>
  </si>
  <si>
    <t>Provedení povlakové krytiny střech plochých do 10° fólií položenou volně s přilepením spojů</t>
  </si>
  <si>
    <t>-1721273260</t>
  </si>
  <si>
    <t>182</t>
  </si>
  <si>
    <t>28342411.1</t>
  </si>
  <si>
    <t>fólie hydroizolační střešní PVC-P se skleněným rounem tl 1,5mm</t>
  </si>
  <si>
    <t>-1211339091</t>
  </si>
  <si>
    <t>183</t>
  </si>
  <si>
    <t>712391172</t>
  </si>
  <si>
    <t>Provedení povlakové krytiny střech plochých do 10° -ostatní práce provedení vrstvy textilní ochranné</t>
  </si>
  <si>
    <t>-1068899095</t>
  </si>
  <si>
    <t>184</t>
  </si>
  <si>
    <t>69311096.1</t>
  </si>
  <si>
    <t>geotextilie netkaná ze 100% skleněných vláken 120g/m2</t>
  </si>
  <si>
    <t>1263372270</t>
  </si>
  <si>
    <t>185</t>
  </si>
  <si>
    <t>712600500.1</t>
  </si>
  <si>
    <t>Montáž a dodávka keramické mrazuvzdorné slinuté dlažby tl. 20 mm vel. 600x600 mm se zabroušenou hranou na rektifikovatelných plastových podložkách</t>
  </si>
  <si>
    <t>1743826471</t>
  </si>
  <si>
    <t>186</t>
  </si>
  <si>
    <t>712650300.1</t>
  </si>
  <si>
    <t>Montáž a dodávka dlaždic vel. 500x500 mm na střechu pro přístup k jednotkám chlazení, vč. podkladu</t>
  </si>
  <si>
    <t>-1194492255</t>
  </si>
  <si>
    <t>11+13+35+58</t>
  </si>
  <si>
    <t>187</t>
  </si>
  <si>
    <t>712900500.1</t>
  </si>
  <si>
    <t>Montáž a dodávka hranatého bezpečnostního přepadu vel. 300x100 mm</t>
  </si>
  <si>
    <t>-1747594869</t>
  </si>
  <si>
    <t>188</t>
  </si>
  <si>
    <t>998712103</t>
  </si>
  <si>
    <t>Přesun hmot pro povlakové krytiny stanovený z hmotnosti přesunovaného materiálu vodorovná dopravní vzdálenost do 50 m v objektech výšky přes 12 do 24 m</t>
  </si>
  <si>
    <t>1239837062</t>
  </si>
  <si>
    <t>713</t>
  </si>
  <si>
    <t>Izolace tepelné</t>
  </si>
  <si>
    <t>189</t>
  </si>
  <si>
    <t>713121111</t>
  </si>
  <si>
    <t>Montáž tepelné izolace podlah rohožemi, pásy, deskami, dílci, bloky (izolační materiál ve specifikaci) kladenými volně jednovrstvá</t>
  </si>
  <si>
    <t>-2118903479</t>
  </si>
  <si>
    <t>EPS 150 tl. 50 mm</t>
  </si>
  <si>
    <t>P01*2+P02+P04+P05+P06+P07+P14</t>
  </si>
  <si>
    <t>PIR tl. 80 mm</t>
  </si>
  <si>
    <t>P02+P04+P05+P06+P07</t>
  </si>
  <si>
    <t>Kročejovka tl. 20 mm</t>
  </si>
  <si>
    <t>P03_2+P08+P09+P11+P12+P13+P14</t>
  </si>
  <si>
    <t>Kročejovka tl. 30 mm</t>
  </si>
  <si>
    <t>Hlavice - EPS 70F tl. 50 mm</t>
  </si>
  <si>
    <t>1,42*1,42*42</t>
  </si>
  <si>
    <t>190</t>
  </si>
  <si>
    <t>28375909</t>
  </si>
  <si>
    <t>deska EPS 150 do plochých střech a podlah λ=0,035 tl 50mm</t>
  </si>
  <si>
    <t>-756137023</t>
  </si>
  <si>
    <t>(P01*2+P02+P04+P05+P06+P07+P14)*1,02</t>
  </si>
  <si>
    <t>191</t>
  </si>
  <si>
    <t>28375671</t>
  </si>
  <si>
    <t>deska pro kročejový útlum tl 20mm</t>
  </si>
  <si>
    <t>1356629609</t>
  </si>
  <si>
    <t>(P03_2+P08+P09+P11+P12+P13+P14)*1,02</t>
  </si>
  <si>
    <t>192</t>
  </si>
  <si>
    <t>28375673</t>
  </si>
  <si>
    <t>deska pro kročejový útlum tl 30mm</t>
  </si>
  <si>
    <t>1253018306</t>
  </si>
  <si>
    <t>P10*1,02</t>
  </si>
  <si>
    <t>193</t>
  </si>
  <si>
    <t>28376526.1</t>
  </si>
  <si>
    <t>deska izolační z tuhé polyisokyanurátové pěny tl. 80 mm s oboustrannou povrchovou úpravou ze sendvičové fólie / papírová vložka s oboustranným Al potahem</t>
  </si>
  <si>
    <t>2127784275</t>
  </si>
  <si>
    <t>(P02+P04+P05+P06+P07)*1,02</t>
  </si>
  <si>
    <t>194</t>
  </si>
  <si>
    <t>28375933</t>
  </si>
  <si>
    <t>deska EPS 70 fasádní λ=0,039 tl 50mm</t>
  </si>
  <si>
    <t>-1630520976</t>
  </si>
  <si>
    <t>1,42*1,42*42*1,02</t>
  </si>
  <si>
    <t>195</t>
  </si>
  <si>
    <t>713131121.1</t>
  </si>
  <si>
    <t>Montáž tepelné izolace stěn rohožemi, pásy, deskami, dílci, bloky (izolační materiál ve specifikaci) kotvením</t>
  </si>
  <si>
    <t>-1621753623</t>
  </si>
  <si>
    <t>1/ pod cihelný obklad z desek (tl. 200 mm)</t>
  </si>
  <si>
    <t>-5,7</t>
  </si>
  <si>
    <t>-(1,35*2*0,35+9,89*2*0,32+44,0*0,32)</t>
  </si>
  <si>
    <t>-5,65*2*0,3</t>
  </si>
  <si>
    <t>2/ pod titanzinkovou fasádu (tl. 200 mm)</t>
  </si>
  <si>
    <t>61,4</t>
  </si>
  <si>
    <t>-32,55*0,3</t>
  </si>
  <si>
    <t>mezi okny na jihozápadě - dle řezu A (tl. 160 mm)</t>
  </si>
  <si>
    <t>2,4*1,35*6</t>
  </si>
  <si>
    <t>196</t>
  </si>
  <si>
    <t>63148166.1</t>
  </si>
  <si>
    <t>deska tepelně izolační minerální provětrávaných fasád s netkanou sklotextílií tl 200mm</t>
  </si>
  <si>
    <t>-1515903127</t>
  </si>
  <si>
    <t>1260,622*1,02</t>
  </si>
  <si>
    <t>197</t>
  </si>
  <si>
    <t>63148164.1</t>
  </si>
  <si>
    <t>deska tepelně izolační minerální provětrávaných fasád s netkanou sklotextílií tl 160mm</t>
  </si>
  <si>
    <t>515965790</t>
  </si>
  <si>
    <t>mezi okny na jihozápadě - dle řezu A</t>
  </si>
  <si>
    <t>2,4*1,35*6*1,02</t>
  </si>
  <si>
    <t>198</t>
  </si>
  <si>
    <t>713131145</t>
  </si>
  <si>
    <t>Montáž tepelné izolace stěn rohožemi, pásy, deskami, dílci, bloky (izolační materiál ve specifikaci) lepením bodově</t>
  </si>
  <si>
    <t>1533228899</t>
  </si>
  <si>
    <t>Izolace na základovém pasu</t>
  </si>
  <si>
    <t>(43,6+25,5)*2*0,55</t>
  </si>
  <si>
    <t>199</t>
  </si>
  <si>
    <t>28376017</t>
  </si>
  <si>
    <t>deska perimetrická fasádní soklová 150kPa λ=0,035 tl 100mm</t>
  </si>
  <si>
    <t>-731628085</t>
  </si>
  <si>
    <t>76,01*1,02</t>
  </si>
  <si>
    <t>200</t>
  </si>
  <si>
    <t>713131151</t>
  </si>
  <si>
    <t>Montáž tepelné izolace stěn rohožemi, pásy, deskami, dílci, bloky (izolační materiál ve specifikaci) vložením jednovrstvě</t>
  </si>
  <si>
    <t>2021731916</t>
  </si>
  <si>
    <t>dilatace výtahové šachty</t>
  </si>
  <si>
    <t>2,7*14,3*2</t>
  </si>
  <si>
    <t>-1,4*2,26*8</t>
  </si>
  <si>
    <t>201</t>
  </si>
  <si>
    <t>63152260.1</t>
  </si>
  <si>
    <t>deska tepelně izolační minerální tl 40mm</t>
  </si>
  <si>
    <t>-2071954283</t>
  </si>
  <si>
    <t>51,908*1,02</t>
  </si>
  <si>
    <t>202</t>
  </si>
  <si>
    <t>713141111</t>
  </si>
  <si>
    <t>Montáž tepelné izolace střech plochých rohožemi, pásy, deskami, dílci, bloky (izolační materiál ve specifikaci) přilepenými asfaltem za horka zplna, jednovrstvá</t>
  </si>
  <si>
    <t>-981745585</t>
  </si>
  <si>
    <t>Skladba SP 01 - EPS100 tl. 140 mm</t>
  </si>
  <si>
    <t>8,55*43,15-3,39*2,66*2</t>
  </si>
  <si>
    <t>Skladba SP 03 - PIR tl. 80 mm</t>
  </si>
  <si>
    <t>Skladba SP 04 - mineral tl. 50 mm</t>
  </si>
  <si>
    <t>13,24*42,95*2</t>
  </si>
  <si>
    <t>Skladba SP 04 - PIR tl. 120 mm</t>
  </si>
  <si>
    <t>Skladba SP 06 - PIR tl. 40 mm</t>
  </si>
  <si>
    <t>ATIKA + Ostatní svislé</t>
  </si>
  <si>
    <t>SP01</t>
  </si>
  <si>
    <t>EPS tl. 100 mm</t>
  </si>
  <si>
    <t>(8,55+43,15)*2*(0,8+0,53)</t>
  </si>
  <si>
    <t>EPS tl. 150 mm</t>
  </si>
  <si>
    <t>SP03</t>
  </si>
  <si>
    <t>PIR tl. 100 mm</t>
  </si>
  <si>
    <t>(10,4+2,325)*2*2*0,45</t>
  </si>
  <si>
    <t>XPS tl. 180 mm</t>
  </si>
  <si>
    <t>80,75*0,32</t>
  </si>
  <si>
    <t>SP 04</t>
  </si>
  <si>
    <t>Mineral tl. 100 mm</t>
  </si>
  <si>
    <t>(13,24+42,95)*2*(0,57+0,63)</t>
  </si>
  <si>
    <t>203</t>
  </si>
  <si>
    <t>28372309</t>
  </si>
  <si>
    <t>deska EPS 100 do plochých střech a podlah λ=0,037 tl 100mm</t>
  </si>
  <si>
    <t>-1341086298</t>
  </si>
  <si>
    <t>(8,55+43,15)*2*(0,8+0,53)*1,02</t>
  </si>
  <si>
    <t>204</t>
  </si>
  <si>
    <t>28372316</t>
  </si>
  <si>
    <t>deska EPS 100 do plochých střech a podlah λ=0,037 tl 140mm</t>
  </si>
  <si>
    <t>-277225501</t>
  </si>
  <si>
    <t>(8,55*43,15-3,39*2,66*2)*1,02</t>
  </si>
  <si>
    <t>205</t>
  </si>
  <si>
    <t>28372319.1</t>
  </si>
  <si>
    <t>deska EPS 100 pro trvalé zatížení v tlaku (max. 2000 kg/m2) tl 150mm</t>
  </si>
  <si>
    <t>-1204512569</t>
  </si>
  <si>
    <t>(3,39+2,66)*2*2*1,12*1,02</t>
  </si>
  <si>
    <t>206</t>
  </si>
  <si>
    <t>63140400.1</t>
  </si>
  <si>
    <t>deska tepelně izolační minerální plochých střech tl 50mm</t>
  </si>
  <si>
    <t>918183940</t>
  </si>
  <si>
    <t>13,24*42,95*2*1,02</t>
  </si>
  <si>
    <t>207</t>
  </si>
  <si>
    <t>63140403.1</t>
  </si>
  <si>
    <t>deska tepelně izolační minerální plochých střech tl 100mm</t>
  </si>
  <si>
    <t>-1247671748</t>
  </si>
  <si>
    <t>(13,24+42,95)*2*(0,57+0,63)*1,02</t>
  </si>
  <si>
    <t>28376425.1</t>
  </si>
  <si>
    <t>deska z polystyrénu XPS, hrana polodrážková a hladký povrch tl 180mm</t>
  </si>
  <si>
    <t>2108802908</t>
  </si>
  <si>
    <t>80,75*0,32*1,02</t>
  </si>
  <si>
    <t>28376526.4</t>
  </si>
  <si>
    <t>deska izolační z tuhé polyisokyanurátové pěny tl. 40 mm s oboustrannou povrchovou úpravou ze sendvičové fólie / papírová vložka s oboustranným Al potahem</t>
  </si>
  <si>
    <t>-458822182</t>
  </si>
  <si>
    <t>8,8*2*1,02</t>
  </si>
  <si>
    <t>210</t>
  </si>
  <si>
    <t>903653747</t>
  </si>
  <si>
    <t>(162,33-2,325*10,4*2)*1,02</t>
  </si>
  <si>
    <t>211</t>
  </si>
  <si>
    <t>28376526.5</t>
  </si>
  <si>
    <t>deska izolační z tuhé polyisokyanurátové pěny tl. 100 mm s oboustrannou povrchovou úpravou ze sendvičové fólie / papírová vložka s oboustranným Al potahem</t>
  </si>
  <si>
    <t>1603278751</t>
  </si>
  <si>
    <t>(10,4+2,325)*2*2*0,45*1,02</t>
  </si>
  <si>
    <t>212</t>
  </si>
  <si>
    <t>28376526.2</t>
  </si>
  <si>
    <t>deska izolační z tuhé polyisokyanurátové pěny tl. 120 mm s oboustrannou povrchovou úpravou ze sendvičové fólie / papírová vložka s oboustranným Al potahem</t>
  </si>
  <si>
    <t>-1750091222</t>
  </si>
  <si>
    <t>13,24*42,95*1,02</t>
  </si>
  <si>
    <t>213</t>
  </si>
  <si>
    <t>713141321</t>
  </si>
  <si>
    <t>Montáž tepelné izolace střech plochých spádovými klíny v ploše přilepenými asfaltem za horka zplna</t>
  </si>
  <si>
    <t>-981878093</t>
  </si>
  <si>
    <t>Skladba SP 01 - EPS150 tl. 60-325 mm</t>
  </si>
  <si>
    <t>Skladba SP 02 - EPS100 tl. 150 mm</t>
  </si>
  <si>
    <t>Skladba SP 03 - EPS150 tl. 160-185 mm</t>
  </si>
  <si>
    <t>162,33-65,0-2,325*10,4*2</t>
  </si>
  <si>
    <t>Skladba SP 03 - EPS150 tl. 30 mm</t>
  </si>
  <si>
    <t>65,0</t>
  </si>
  <si>
    <t>Skladba SP 05 - PIR tl. 40-110 mm</t>
  </si>
  <si>
    <t>1,4*32,25</t>
  </si>
  <si>
    <t>Skladba SP 06 - PIR tl. 40-90 mm</t>
  </si>
  <si>
    <t>214</t>
  </si>
  <si>
    <t>28376142</t>
  </si>
  <si>
    <t>klín izolační z pěnového polystyrenu EPS 150 spádový</t>
  </si>
  <si>
    <t>-884391859</t>
  </si>
  <si>
    <t>(8,55*43,15-3,39*2,66*2)*(0,325+0,06)/2*1,02</t>
  </si>
  <si>
    <t>(162,33-65,0-2,325*10,4*2)*(0,16+0,185)/2*1,02</t>
  </si>
  <si>
    <t>65,0*0,030*1,02</t>
  </si>
  <si>
    <t>215</t>
  </si>
  <si>
    <t>28376141</t>
  </si>
  <si>
    <t>klín izolační z pěnového polystyrenu EPS 100 spádový</t>
  </si>
  <si>
    <t>-383783780</t>
  </si>
  <si>
    <t>3,715*2,98*2*0,15*1,02</t>
  </si>
  <si>
    <t>216</t>
  </si>
  <si>
    <t>28376526.3</t>
  </si>
  <si>
    <t>klín izolační z tuhé polyisokyanurátové pěny s oboustrannou povrchovou úpravou ze sendvičové fólie / papírová vložka s oboustranným Al potahem</t>
  </si>
  <si>
    <t>39199886</t>
  </si>
  <si>
    <t>1,4*32,25*(0,04+0,11)/2*1,02</t>
  </si>
  <si>
    <t>8,8*2*(0,04+0,09)/2*1,02</t>
  </si>
  <si>
    <t>217</t>
  </si>
  <si>
    <t>71314200.1</t>
  </si>
  <si>
    <t>Montáž a dodávka tepelné izolace plochých střech do vln trapézového plechu systémovými řezanými ucpávkami z minerální vlny (výměra = plocha trapézového plechu)</t>
  </si>
  <si>
    <t>1621385570</t>
  </si>
  <si>
    <t>218</t>
  </si>
  <si>
    <t>998713103</t>
  </si>
  <si>
    <t>Přesun hmot pro izolace tepelné stanovený z hmotnosti přesunovaného materiálu vodorovná dopravní vzdálenost do 50 m v objektech výšky přes 12 m do 24 m</t>
  </si>
  <si>
    <t>-1546504625</t>
  </si>
  <si>
    <t>762</t>
  </si>
  <si>
    <t>Konstrukce tesařské</t>
  </si>
  <si>
    <t>219</t>
  </si>
  <si>
    <t>762083122</t>
  </si>
  <si>
    <t>Práce společné pro tesařské konstrukce impregnace řeziva máčením proti dřevokaznému hmyzu, houbám a plísním, třída ohrožení 3 a 4 (dřevo v exteriéru)</t>
  </si>
  <si>
    <t>-2072540548</t>
  </si>
  <si>
    <t>45,15*0,025+0,139+61,4*0,025+9,69*0,015+132,01*0,025</t>
  </si>
  <si>
    <t>220</t>
  </si>
  <si>
    <t>762150200.1</t>
  </si>
  <si>
    <t>Montáž a dodávka záklopu stěn z desek OSB 3 PD tl. 25 mm kotvením, vč. vytvoření mezery tl. 40 mm pomocí latí 60x40 mm</t>
  </si>
  <si>
    <t>-1000665514</t>
  </si>
  <si>
    <t>pod titanzinkovou fasádu</t>
  </si>
  <si>
    <t>221</t>
  </si>
  <si>
    <t>762341037</t>
  </si>
  <si>
    <t>Bednění a laťování bednění střech rovných sklonu do 60° s vyřezáním otvorů z dřevoštěpkových desek OSB šroubovaných na rošt na sraz, tloušťky desky 25 mm</t>
  </si>
  <si>
    <t>1575722616</t>
  </si>
  <si>
    <t>Skladba SP 05</t>
  </si>
  <si>
    <t>222</t>
  </si>
  <si>
    <t>762361114.1</t>
  </si>
  <si>
    <t>Montáž distanční vrstvy pro rovné střechy z řeziva průřezové plochy do 120 cm2</t>
  </si>
  <si>
    <t>-784735313</t>
  </si>
  <si>
    <t>32,25</t>
  </si>
  <si>
    <t>223</t>
  </si>
  <si>
    <t>60514106.1</t>
  </si>
  <si>
    <t>řezivo jehličnaté lať pevnostní třída průžez 40x60mm</t>
  </si>
  <si>
    <t>-207549585</t>
  </si>
  <si>
    <t>32,25*0,04*0,06*1,8</t>
  </si>
  <si>
    <t>224</t>
  </si>
  <si>
    <t>762395000</t>
  </si>
  <si>
    <t>Spojovací prostředky krovů, bednění a laťování, nadstřešních konstrukcí svory, prkna, hřebíky, pásová ocel, vruty</t>
  </si>
  <si>
    <t>-94579902</t>
  </si>
  <si>
    <t>45,15*0,025+0,139+61,4*0,025</t>
  </si>
  <si>
    <t>225</t>
  </si>
  <si>
    <t>762430014.1</t>
  </si>
  <si>
    <t>Obložení niky z cementotřískových desek tloušťky 15 mm</t>
  </si>
  <si>
    <t>1417006229</t>
  </si>
  <si>
    <t>((0,5*2+0,85)*0,85+0,85*0,5*2)*2*2</t>
  </si>
  <si>
    <t>226</t>
  </si>
  <si>
    <t>762361313.1</t>
  </si>
  <si>
    <t>Konstrukční vrstva pod klempířské prvky pro oplechování horních ploch zdí a nadezdívek (atik) z desek dřevoštěpkových šroubovaných do podkladu, tloušťky desky 25 mm, vč. podkladních špalíků</t>
  </si>
  <si>
    <t>-2072607990</t>
  </si>
  <si>
    <t>detail D431</t>
  </si>
  <si>
    <t>117,0*0,600</t>
  </si>
  <si>
    <t>detail D422</t>
  </si>
  <si>
    <t>4,5*0,420</t>
  </si>
  <si>
    <t>detail D401</t>
  </si>
  <si>
    <t>107,0*0,560</t>
  </si>
  <si>
    <t>227</t>
  </si>
  <si>
    <t>762495000</t>
  </si>
  <si>
    <t>Spojovací prostředky olištování spár, obložení stropů, střešních podhledů a stěn hřebíky, vruty</t>
  </si>
  <si>
    <t>-746901315</t>
  </si>
  <si>
    <t>9,69+132,01</t>
  </si>
  <si>
    <t>228</t>
  </si>
  <si>
    <t>998762103</t>
  </si>
  <si>
    <t>Přesun hmot pro konstrukce tesařské stanovený z hmotnosti přesunovaného materiálu vodorovná dopravní vzdálenost do 50 m v objektech výšky přes 12 do 24 m</t>
  </si>
  <si>
    <t>1757054872</t>
  </si>
  <si>
    <t>763</t>
  </si>
  <si>
    <t>Konstrukce suché výstavby, vč. těsnicího detailu napojení SDK příčky na LOP</t>
  </si>
  <si>
    <t>229</t>
  </si>
  <si>
    <t>763111411</t>
  </si>
  <si>
    <t>Příčka ze sádrokartonových desek s nosnou konstrukcí z jednoduchých ocelových profilů UW, CW dvojitě opláštěná deskami standardními A tl. 2 x 12,5 mm, EI 60, příčka tl. 100 mm, profil 50 TI tl. 40 mm, Rw 51 dB</t>
  </si>
  <si>
    <t>-1749119000</t>
  </si>
  <si>
    <t>(2,45*2+0,5+11,1-0,4*2)*3,19</t>
  </si>
  <si>
    <t>13,05*3*3,86</t>
  </si>
  <si>
    <t>5,75*5,06</t>
  </si>
  <si>
    <t>6,2*4,91</t>
  </si>
  <si>
    <t>nadpraží nad Al sestavou v m.č. 3.04a (3.np)</t>
  </si>
  <si>
    <t>(5,5+5,0)*1,8</t>
  </si>
  <si>
    <t>230</t>
  </si>
  <si>
    <t>763131411</t>
  </si>
  <si>
    <t>Podhled ze sádrokartonových desek dvouvrstvá zavěšená spodní konstrukce z ocelových profilů CD, UD jednoduše opláštěná deskou standardní A, tl. 12,5 mm, bez TI</t>
  </si>
  <si>
    <t>-1855907154</t>
  </si>
  <si>
    <t>chodby ve 4.np</t>
  </si>
  <si>
    <t>15,6*2</t>
  </si>
  <si>
    <t>231</t>
  </si>
  <si>
    <t>763131451</t>
  </si>
  <si>
    <t>Podhled ze sádrokartonových desek dvouvrstvá zavěšená spodní konstrukce z ocelových profilů CD, UD jednoduše opláštěná deskou impregnovanou H2, tl. 12,5 mm, bez TI</t>
  </si>
  <si>
    <t>-63662232</t>
  </si>
  <si>
    <t>460,0</t>
  </si>
  <si>
    <t>odpočet podhledu z desek standardních</t>
  </si>
  <si>
    <t>-15,6*2</t>
  </si>
  <si>
    <t>232</t>
  </si>
  <si>
    <t>763135102</t>
  </si>
  <si>
    <t>Montáž sádrokartonového podhledu kazetového demontovatelného, velikosti kazet 600x600 mm včetně zavěšené nosné konstrukce polozapuštěné</t>
  </si>
  <si>
    <t>-1671163520</t>
  </si>
  <si>
    <t>233</t>
  </si>
  <si>
    <t>59030570.1</t>
  </si>
  <si>
    <t>podhled kazetový tl 600x600mm</t>
  </si>
  <si>
    <t>1317508002</t>
  </si>
  <si>
    <t>UP07*1,05</t>
  </si>
  <si>
    <t>234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</si>
  <si>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</si>
  <si>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</si>
  <si>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175557150</t>
  </si>
  <si>
    <t>764</t>
  </si>
  <si>
    <t>Konstrukce klempířské (bližší specifikace viz PD)</t>
  </si>
  <si>
    <t>235</t>
  </si>
  <si>
    <t>764246444.2</t>
  </si>
  <si>
    <t>Oplechování parapetů z titanzinkového předzvětralého plechu rovných celoplošně lepené, bez rohů rš 410 mm, ozn. K01</t>
  </si>
  <si>
    <t>953535374</t>
  </si>
  <si>
    <t>dle tabulky klempířských výrobků</t>
  </si>
  <si>
    <t>12,4</t>
  </si>
  <si>
    <t>236</t>
  </si>
  <si>
    <t>764246445.1</t>
  </si>
  <si>
    <t>Oplechování parapetů z titanzinkového předzvětralého plechu rovných celoplošně lepené, bez rohů rš 420 mm, ozn. K02</t>
  </si>
  <si>
    <t>-1555499272</t>
  </si>
  <si>
    <t>16,6</t>
  </si>
  <si>
    <t>237</t>
  </si>
  <si>
    <t>764246444.1</t>
  </si>
  <si>
    <t>Oplechování parapetů z titanzinkového předzvětralého plechu rovných celoplošně lepené, bez rohů rš 370 mm, ozn. K03</t>
  </si>
  <si>
    <t>-90316951</t>
  </si>
  <si>
    <t>14,4</t>
  </si>
  <si>
    <t>238</t>
  </si>
  <si>
    <t>764244408.1</t>
  </si>
  <si>
    <t>Oplechování horních ploch zdí a nadezdívek (atik) z titanzinkového předzvětralého plechu mechanicky kotvené rš 750 mm, ozn. K04</t>
  </si>
  <si>
    <t>-500868358</t>
  </si>
  <si>
    <t>4,5</t>
  </si>
  <si>
    <t>239</t>
  </si>
  <si>
    <t>764244411</t>
  </si>
  <si>
    <t>Oplechování horních ploch zdí a nadezdívek (atik) z titanzinkového předzvětralého plechu mechanicky kotvené přes rš 800 mm</t>
  </si>
  <si>
    <t>-2057173048</t>
  </si>
  <si>
    <t>K05</t>
  </si>
  <si>
    <t>81,6*0,950</t>
  </si>
  <si>
    <t>K06</t>
  </si>
  <si>
    <t>35,1*0,930</t>
  </si>
  <si>
    <t>K07</t>
  </si>
  <si>
    <t>106,8*0,840</t>
  </si>
  <si>
    <t>240</t>
  </si>
  <si>
    <t>764242432.1</t>
  </si>
  <si>
    <t>Oplechování střešních prvků z titanzinkového předzvětralého plechu okapu okapovým plechem střechy rovné rš 210 mm, ozn. K08</t>
  </si>
  <si>
    <t>-354274694</t>
  </si>
  <si>
    <t>241</t>
  </si>
  <si>
    <t>764141301.1</t>
  </si>
  <si>
    <t>Krytina ze střešních pásů z titanzinkového plechu tl. 0,8 mm s dvojitou stojatou drážkou v 25 mm, vč. strukturované rohože tl. 8 mm a všech systémových prvků a detailů</t>
  </si>
  <si>
    <t>1640336844</t>
  </si>
  <si>
    <t>32,25*1,4</t>
  </si>
  <si>
    <t>242</t>
  </si>
  <si>
    <t>764250200.1</t>
  </si>
  <si>
    <t>Provětrávaný fasádní systém z TiTz pásů tl. 0,8 mm (plechů) š 430 mm pro úhlovou stojatou drážku v cca 25 mm pomocí příponek, vč. všech systémových prvků a detailů</t>
  </si>
  <si>
    <t>1145148531</t>
  </si>
  <si>
    <t>243</t>
  </si>
  <si>
    <t>998764103</t>
  </si>
  <si>
    <t>Přesun hmot pro konstrukce klempířské stanovený z hmotnosti přesunovaného materiálu vodorovná dopravní vzdálenost do 50 m v objektech výšky přes 12 do 24 m</t>
  </si>
  <si>
    <t>419759707</t>
  </si>
  <si>
    <t>764.1</t>
  </si>
  <si>
    <t>Klempířské prvky odvětrávané fasády, vč. přesunu hmot</t>
  </si>
  <si>
    <t>244</t>
  </si>
  <si>
    <t>764900100.1</t>
  </si>
  <si>
    <t>Al ostění oken r.š 0,28 m tl.1,5 mm</t>
  </si>
  <si>
    <t>-1232232256</t>
  </si>
  <si>
    <t>6,3*12</t>
  </si>
  <si>
    <t>245</t>
  </si>
  <si>
    <t>764900200.1</t>
  </si>
  <si>
    <t>Al nadpraží oken k žaluzii r.š 0,1 m tl.1,5 mm</t>
  </si>
  <si>
    <t>1995471055</t>
  </si>
  <si>
    <t>2,4*12</t>
  </si>
  <si>
    <t>246</t>
  </si>
  <si>
    <t>764900300.1</t>
  </si>
  <si>
    <t>Perforované spodní ukončení r.š=0,15 m</t>
  </si>
  <si>
    <t>-307910277</t>
  </si>
  <si>
    <t>123,0</t>
  </si>
  <si>
    <t>247</t>
  </si>
  <si>
    <t>764900400.1</t>
  </si>
  <si>
    <t>Al U profil 80x40x3 mm, dělící prvek fasády</t>
  </si>
  <si>
    <t>683394103</t>
  </si>
  <si>
    <t>11,0*5+7,6*2</t>
  </si>
  <si>
    <t>766</t>
  </si>
  <si>
    <t>Konstrukce truhlářské, vč. přesunu hmot (bližší specifikace viz PD)</t>
  </si>
  <si>
    <t>248</t>
  </si>
  <si>
    <t>766000100.1</t>
  </si>
  <si>
    <t>M+D vnitřní dřevotřískové laminátové parapetní desky š 220 mm, tl. 20 mm, s nosem v 40 mm, ozn. T/01</t>
  </si>
  <si>
    <t>1132042428</t>
  </si>
  <si>
    <t>Dle tabulky truhlářských výrobků</t>
  </si>
  <si>
    <t>42,5</t>
  </si>
  <si>
    <t>766.1</t>
  </si>
  <si>
    <t>Výplně otvorů - dveře, vč. přesunu hmot (bližší specifikace viz PD)</t>
  </si>
  <si>
    <t>249</t>
  </si>
  <si>
    <t>76610010.01</t>
  </si>
  <si>
    <t>M+D vnitřních dveří, dřevěné s ocelovou zárubní z Pz plechu, vč. kování a zámku, vel. 900x2100 mm, ozn. D00/01</t>
  </si>
  <si>
    <t>821228169</t>
  </si>
  <si>
    <t>250</t>
  </si>
  <si>
    <t>76610010.02</t>
  </si>
  <si>
    <t>M+D vnitřních dveří, prosklené v Al rámu, vč. kování a zámku, vel. 1000x2000 mm, ozn. D00/02</t>
  </si>
  <si>
    <t>708043661</t>
  </si>
  <si>
    <t>251</t>
  </si>
  <si>
    <t>76610010.03</t>
  </si>
  <si>
    <t>M+D vnitřních dveří, dřevěné s ocelovou zárubní z Pz plechu, vč. samozavírače, kování a zámku, vel. 800x2000 mm, protipožární EW-C30DP3, ozn. D00/03</t>
  </si>
  <si>
    <t>986487891</t>
  </si>
  <si>
    <t>252</t>
  </si>
  <si>
    <t>76610010.04</t>
  </si>
  <si>
    <t>M+D vnitřních dveří, dřevěné s ocelovou zárubní z Pz plechu, vč. kování a zámku, vel. 1000x2100 mm, ozn. D10/01</t>
  </si>
  <si>
    <t>814248607</t>
  </si>
  <si>
    <t>253</t>
  </si>
  <si>
    <t>76610010.05</t>
  </si>
  <si>
    <t>M+D vnitřních dveří, dřevěné s ocelovou zárubní z Pz plechu, vč. kování a zámku, vel. 1000x2100 mm, ozn. D10/02</t>
  </si>
  <si>
    <t>2090708539</t>
  </si>
  <si>
    <t>254</t>
  </si>
  <si>
    <t>76610010.06</t>
  </si>
  <si>
    <t>M+D vnitřních dveří, dřevěné s ocelovou zárubní z Pz plechu, vč. samozavírače, kování a zámku, vel. 1000x2100 mm, protipožární EW-C30DP3, ozn. D10/03</t>
  </si>
  <si>
    <t>-1060404872</t>
  </si>
  <si>
    <t>255</t>
  </si>
  <si>
    <t>76610010.07</t>
  </si>
  <si>
    <t>M+D vnitřních dveří, dřevěné s ocelovou zárubní z Pz plechu, vč. kování a zámku, vel. 1000x2100 mm, ozn. D10/04</t>
  </si>
  <si>
    <t>-788081560</t>
  </si>
  <si>
    <t>256</t>
  </si>
  <si>
    <t>76610010.08</t>
  </si>
  <si>
    <t>M+D vnitřních dveří, kovové s izol.výplní s Pz plechem, s ocelovou zárubní z Pz plechu, vč. samozavírače, kování a zámku, vel. 1000x2100 mm, protipožární EW-C30DP3, ozn. D20/01</t>
  </si>
  <si>
    <t>765518338</t>
  </si>
  <si>
    <t>257</t>
  </si>
  <si>
    <t>76610010.09</t>
  </si>
  <si>
    <t>M+D vnitřních dveří, kovové s izol.výplní s Pz plechem, s ocelovou zárubní z Pz plechu, vč. samozavírače, kování a zámku, vel. 1000x2100 mm, protipožární EW-C30DP3, ozn. D20/02</t>
  </si>
  <si>
    <t>-1924482860</t>
  </si>
  <si>
    <t>258</t>
  </si>
  <si>
    <t>76610010.10</t>
  </si>
  <si>
    <t>M+D vnitřních dveří, kovové s izol.výplní s Pz plechem, s ocelovou zárubní z Pz plechu, vč. samozavírače, kování a zámku, vel. 1000x2100 mm, protipožární EI-C30DP3, ozn. D20/03</t>
  </si>
  <si>
    <t>-1941538624</t>
  </si>
  <si>
    <t>259</t>
  </si>
  <si>
    <t>76610010.11</t>
  </si>
  <si>
    <t>M+D vnitřních dveří, dřevěné s ocelovou zárubní z Pz plechu, vč. kování a zámku, vel. 900x2100 mm, ozn. D20/04</t>
  </si>
  <si>
    <t>-1248561563</t>
  </si>
  <si>
    <t>260</t>
  </si>
  <si>
    <t>76610010.12</t>
  </si>
  <si>
    <t>M+D vnitřních dveří, dřevěné s ocelovou zárubní z Pz plechu, vč. kování a zámku, vel. 700x2100 mm, ozn. D20/05</t>
  </si>
  <si>
    <t>-2083906139</t>
  </si>
  <si>
    <t>261</t>
  </si>
  <si>
    <t>76610010.13</t>
  </si>
  <si>
    <t>M+D vnitřních dveří, dřevěné s ocelovou zárubní z Pz plechu, vč. samozavírače, kování a zámku, vel. 1000x2100 mm, protipožární EW-C30DP3, ozn. D20/06</t>
  </si>
  <si>
    <t>-51450704</t>
  </si>
  <si>
    <t>262</t>
  </si>
  <si>
    <t>76610010.14</t>
  </si>
  <si>
    <t>M+D vnitřních dveří, dřevěné s ocelovou zárubní z Pz plechu, vč. kování a zámku, vel. 800x2100 mm, ozn. D30/01</t>
  </si>
  <si>
    <t>1738691258</t>
  </si>
  <si>
    <t>263</t>
  </si>
  <si>
    <t>76610010.15</t>
  </si>
  <si>
    <t>M+D vnitřních dveří, dřevěné s ocelovou zárubní z Pz plechu, vč. kování a zámku, vel. 800x2100 mm, ozn. D30/02</t>
  </si>
  <si>
    <t>-785557665</t>
  </si>
  <si>
    <t>264</t>
  </si>
  <si>
    <t>76610010.16</t>
  </si>
  <si>
    <t>M+D vnitřních dveří, dřevěné s ocelovou zárubní z Pz plechu, vč. kování a zámku, vel. 700x2100 mm, ozn. D30/03</t>
  </si>
  <si>
    <t>1578481353</t>
  </si>
  <si>
    <t>265</t>
  </si>
  <si>
    <t>76610010.17</t>
  </si>
  <si>
    <t>M+D vnitřních dveří, dřevěné s ocelovou zárubní z Pz plechu, vč. kování a zámku, vel. 700x2100 mm, ozn. D30/04</t>
  </si>
  <si>
    <t>-1739669299</t>
  </si>
  <si>
    <t>266</t>
  </si>
  <si>
    <t>76610010.18</t>
  </si>
  <si>
    <t>M+D vnitřních dveří, dřevěné s ocelovou zárubní z Pz plechu, vč. kování a zámku, vel. 800x2100 mm, ozn. D30/05</t>
  </si>
  <si>
    <t>-357882254</t>
  </si>
  <si>
    <t>267</t>
  </si>
  <si>
    <t>76610010.19</t>
  </si>
  <si>
    <t>M+D vnitřních dveří, dřevěné s ocelovou zárubní z Pz plechu, vč. kování a zámku, vel. 800x2100 mm, ozn. D30/06</t>
  </si>
  <si>
    <t>491096161</t>
  </si>
  <si>
    <t>268</t>
  </si>
  <si>
    <t>76610010.20</t>
  </si>
  <si>
    <t>M+D vnitřních dveří, dřevěné s ocelovou zárubní z Pz plechu, vč. samozavírače, kování a zámku, vel. 800x2100 mm, protipožární EI-C15DP3, ozn. D30/07</t>
  </si>
  <si>
    <t>806914347</t>
  </si>
  <si>
    <t>269</t>
  </si>
  <si>
    <t>76610010.21</t>
  </si>
  <si>
    <t>M+D vnitřních dveří, dřevěné s ocelovou zárubní z Pz plechu, vč. samozavírače, kování a zámku, vel. 900x2100 mm, protipožární EI-C30DP3, ozn. D30/08</t>
  </si>
  <si>
    <t>617137677</t>
  </si>
  <si>
    <t>270</t>
  </si>
  <si>
    <t>76610010.22</t>
  </si>
  <si>
    <t>M+D vnitřních dveří, dřevěné s ocelovou zárubní z Pz plechu, vč. kování a zámku, vel. 700x2100 mm, ozn. D30/09</t>
  </si>
  <si>
    <t>342819229</t>
  </si>
  <si>
    <t>271</t>
  </si>
  <si>
    <t>76610010.23</t>
  </si>
  <si>
    <t>M+D vnitřních dveří, kovové s izol.výplní s Pz plechem, s ocelovou zárubní z Pz plechu, vč. samozavírače, kování a zámku, vel. 900x2100 mm, protipožární EW-C30DP3, ozn. D40/01</t>
  </si>
  <si>
    <t>-630730161</t>
  </si>
  <si>
    <t>272</t>
  </si>
  <si>
    <t>76610010.24</t>
  </si>
  <si>
    <t>M+D vnitřních dveří, kovové s izol.výplní s Pz plechem, s ocelovou zárubní z Pz plechu, vč. samozavírače, kování a zámku, vel. 800x2100 mm, protipožární EW-C30DP3, ozn. D40/02</t>
  </si>
  <si>
    <t>1690038294</t>
  </si>
  <si>
    <t>273</t>
  </si>
  <si>
    <t>76610010.25</t>
  </si>
  <si>
    <t>M+D vnitřních dveří, kovové s izol.výplní s Pz plechem, s ocelovou zárubní z Pz plechu, vč. samozavírače, kování a zámku, vel. 800x2100 mm, protipožární EI-C30DP3, ozn. D40/03</t>
  </si>
  <si>
    <t>-282094076</t>
  </si>
  <si>
    <t>274</t>
  </si>
  <si>
    <t>76610010.26</t>
  </si>
  <si>
    <t>M+D vnitřních dveří, kovové s izol.výplní s Pz plechem, s ocelovou zárubní z Pz plechu, vč. samozavírače, kování a zámku, vel. 900x2100 mm, protipožární EI-C15DP3, ozn. D40/04</t>
  </si>
  <si>
    <t>1575262691</t>
  </si>
  <si>
    <t>275</t>
  </si>
  <si>
    <t>76610010.27</t>
  </si>
  <si>
    <t>M+D vnitřních dveří, kovové s izol.výplní s Pz plechem, s ocelovou zárubní z Pz plechu, vč. samozavírače, kování a zámku, vel. 1800x2100 mm, protipožární EI-C15DP3, ozn. D40/05</t>
  </si>
  <si>
    <t>1974415901</t>
  </si>
  <si>
    <t>276</t>
  </si>
  <si>
    <t>766200500.1</t>
  </si>
  <si>
    <t>Systém generálního klíče</t>
  </si>
  <si>
    <t>soubor</t>
  </si>
  <si>
    <t>1073525764</t>
  </si>
  <si>
    <t>766.2</t>
  </si>
  <si>
    <t>Výplně otvorů - okna, vč. přesunu hmot (bližší specifikace viz PD)</t>
  </si>
  <si>
    <t>277</t>
  </si>
  <si>
    <t>76620010.01</t>
  </si>
  <si>
    <t>M+D hliníkového okna, izolační trojsklo, vč. těsnění, kování, sítě proti hmyzu a všech systémových prvků a lišt, vel. 3170x2140 mm, ozn. O/01</t>
  </si>
  <si>
    <t>-2026518192</t>
  </si>
  <si>
    <t>278</t>
  </si>
  <si>
    <t>76620010.02</t>
  </si>
  <si>
    <t>M+D hliníkového okna, izolační trojsklo, vč. těsnění, kování, sítě proti hmyzu a všech systémových prvků a lišt, vel. 2470x2040 mm, ozn. O/02</t>
  </si>
  <si>
    <t>-982258518</t>
  </si>
  <si>
    <t>279</t>
  </si>
  <si>
    <t>76620010.03</t>
  </si>
  <si>
    <t>M+D hliníkového okna, izolační trojsklo, vč. těsnění, kování, sítě proti hmyzu a všech systémových prvků a lišt, vel. 2470x2140 mm, ozn. O/03</t>
  </si>
  <si>
    <t>1776838292</t>
  </si>
  <si>
    <t>766.3</t>
  </si>
  <si>
    <t>Výplně otvorů - prosklené stěny, vč. přesunu hmot (bližší specifikace viz PD)</t>
  </si>
  <si>
    <t>280</t>
  </si>
  <si>
    <t>76630010.01</t>
  </si>
  <si>
    <t>M+D vnější prosklené Al stěny se vstupními dveřmi, izolační bezpečnostní trojsklo, vč. těsnění, kování a panikové kování, vel. 3370x3035 mm, ozn. L/01L</t>
  </si>
  <si>
    <t>-1180717173</t>
  </si>
  <si>
    <t>281</t>
  </si>
  <si>
    <t>76630010.02</t>
  </si>
  <si>
    <t>M+D vnější prosklené Al stěny se vstupními dveřmi, izolační bezpečnostní trojsklo, vč. těsnění, kování a panikové kování, vel. 3370x3035 mm, ozn. L/01P</t>
  </si>
  <si>
    <t>235429413</t>
  </si>
  <si>
    <t>282</t>
  </si>
  <si>
    <t>76630010.03</t>
  </si>
  <si>
    <t>M+D vnitřní prosklené Al stěny se vstupními dveřmi, izolační bezpečnostní trojsklo, vč. těsnění a kování, vel. 3470x3035 mm, ozn. L/02L</t>
  </si>
  <si>
    <t>-874881198</t>
  </si>
  <si>
    <t>283</t>
  </si>
  <si>
    <t>76630010.04</t>
  </si>
  <si>
    <t>M+D vnitřní prosklené Al stěny se vstupními dveřmi, izolační bezpečnostní trojsklo, vč. těsnění a kování, vel. 3470x3035 mm, ozn. L/02P</t>
  </si>
  <si>
    <t>1026711142</t>
  </si>
  <si>
    <t>284</t>
  </si>
  <si>
    <t>76630010.05</t>
  </si>
  <si>
    <t>M+D vnitřní prosklené Al stěny se vstupními dveřmi, jednoduché bezpečnostní sklo, vč. těsnění, kování, panikové kování, koordinátor zavírání a samozavírač, protipožární EI-C30DP3, vel. 3470x2185 mm, ozn. L/03L</t>
  </si>
  <si>
    <t>-127482410</t>
  </si>
  <si>
    <t>285</t>
  </si>
  <si>
    <t>76630010.06</t>
  </si>
  <si>
    <t>M+D vnitřní prosklené Al stěny se vstupními dveřmi, jednoduché bezpečnostní sklo, vč. těsnění, kování, panikové kování, koordinátor zavírání a samozavírač, protipožární EI-C30DP3, vel. 3470x2185 mm, ozn. L/03P</t>
  </si>
  <si>
    <t>-646885876</t>
  </si>
  <si>
    <t>286</t>
  </si>
  <si>
    <t>76630010.07</t>
  </si>
  <si>
    <t>M+D vnitřní prosklené Al stěny se vstupními dveřmi, izolační bezpečnostní dvojsklo, vč. těsnění a kování, vel. 4400x3035 mm, ozn. L/04</t>
  </si>
  <si>
    <t>422741200</t>
  </si>
  <si>
    <t>287</t>
  </si>
  <si>
    <t>76630010.08</t>
  </si>
  <si>
    <t>M+D vnitřní prosklené Al stěny, izolační bezpečnostní dvojsklo, vč. těsnění, vel. 4870x3035 mm, ozn. L/05</t>
  </si>
  <si>
    <t>1868305368</t>
  </si>
  <si>
    <t>288</t>
  </si>
  <si>
    <t>76630010.09</t>
  </si>
  <si>
    <t>M+D vnitřní prosklené Al stěny, izolační bezpečnostní dvojsklo, vč. těsnění, vel. 5075x3035 mm, ozn. L/06</t>
  </si>
  <si>
    <t>378752172</t>
  </si>
  <si>
    <t>289</t>
  </si>
  <si>
    <t>76630010.10</t>
  </si>
  <si>
    <t>M+D lehkého Al obvodového pláště vč. dvou prosklených dveří, izolační bezpečnostní trojsklo, vč. kování a těsnění, ozn. L/07</t>
  </si>
  <si>
    <t>1590549939</t>
  </si>
  <si>
    <t>290</t>
  </si>
  <si>
    <t>76630010.11</t>
  </si>
  <si>
    <t>M+D střešního sedlového Al světlíku s prosklenými štíty a fixním zasklením, izolační trojsklo (vnější kalené, vnitřní bezpečnostní), vč. těsnění, protipožární EI30DP1, vel. 10000x1925 mm, ozn. L/08</t>
  </si>
  <si>
    <t>-1709402736</t>
  </si>
  <si>
    <t>291</t>
  </si>
  <si>
    <t>76630010.12</t>
  </si>
  <si>
    <t>M+D vnitřní rohové prosklené Al sestavy se vstupními dveřmi, izolační bezpečnostní dvojsklo, vč. těsnění a kování, vel. 5510+4985x3035 mm, ozn. L/09</t>
  </si>
  <si>
    <t>2010428605</t>
  </si>
  <si>
    <t>292</t>
  </si>
  <si>
    <t>76630010.13</t>
  </si>
  <si>
    <t>M+D vnitřní prosklené Al stěny se vstupními dveřmi, jednoduché bezpečnostní sklo, vč. těsnění a kování, vel. 1510x3035 mm, ozn. L/10</t>
  </si>
  <si>
    <t>-1367555957</t>
  </si>
  <si>
    <t>767</t>
  </si>
  <si>
    <t>Konstrukce zámečnické, vč. povrchové úpravy (bližší specifikace viz PD)</t>
  </si>
  <si>
    <t>293</t>
  </si>
  <si>
    <t>767100100.1</t>
  </si>
  <si>
    <t>M+D vnitřního madla na zeď schodiště z ocelové pásoviny, držák z kulatiny pr.12 mm, dl. cca 2700 mm (14,49 kg), ozn. Z/01</t>
  </si>
  <si>
    <t>1498832864</t>
  </si>
  <si>
    <t>Dle tabulky zámečnických výrobků</t>
  </si>
  <si>
    <t>294</t>
  </si>
  <si>
    <t>767100100.2</t>
  </si>
  <si>
    <t>M+D vnitřního zábradlí schodiště z ocelové pásoviny, výplň z ocelové čtvercové kulatiny á 120 mm, v 0,9 m, dl. 1450 mm (56,08 kg), ozn. Z/02</t>
  </si>
  <si>
    <t>898288823</t>
  </si>
  <si>
    <t>295</t>
  </si>
  <si>
    <t>767100100.3</t>
  </si>
  <si>
    <t>M+D vnitřních dvířek do niky s hydrantem, svařený rám opláštěn plechem tl. 1,5 mm, vel. 850x850 mm (30,73 kg), ozn. Z/03</t>
  </si>
  <si>
    <t>-1605657083</t>
  </si>
  <si>
    <t>296</t>
  </si>
  <si>
    <t>767100100.4</t>
  </si>
  <si>
    <t>M+D vnějšího ocelového příčlového provozního žebříku se zábradlím a plošinou dl. 4,4 m (71,24 kg), ozn. Z/04</t>
  </si>
  <si>
    <t>19055204</t>
  </si>
  <si>
    <t>297</t>
  </si>
  <si>
    <t>767100100.5</t>
  </si>
  <si>
    <t>M+D vnějšího ocelového příčlového provozního žebříku se zábradlím a plošinou dl. 2,7 m (56,69 kg), ozn. Z/05</t>
  </si>
  <si>
    <t>566924384</t>
  </si>
  <si>
    <t>298</t>
  </si>
  <si>
    <t>767200100.1</t>
  </si>
  <si>
    <t>Montáž a dodávka čistící rohože z Al profilů spojeným nerez lankem, gumové a textilní pásky, tl. 20 mm</t>
  </si>
  <si>
    <t>-83643398</t>
  </si>
  <si>
    <t>Podlaha P01</t>
  </si>
  <si>
    <t>299</t>
  </si>
  <si>
    <t>767500100.1</t>
  </si>
  <si>
    <t>Montáž a dodávka ocelové konstrukce mezi vazníky pro zavěšení VZT a olemování prostupů z profilů IPE 100, 140 a kotvení</t>
  </si>
  <si>
    <t>826989854</t>
  </si>
  <si>
    <t>Dle výkazu materiálu</t>
  </si>
  <si>
    <t>963,81*0,001</t>
  </si>
  <si>
    <t>300</t>
  </si>
  <si>
    <t>767800100.1</t>
  </si>
  <si>
    <t>Montáž a dodávka drobných pomocných ocelových konstrukcí</t>
  </si>
  <si>
    <t>-66135385</t>
  </si>
  <si>
    <t>např.kotvy, konzole, trny, apod.</t>
  </si>
  <si>
    <t>předpoklad</t>
  </si>
  <si>
    <t>1,5</t>
  </si>
  <si>
    <t>301</t>
  </si>
  <si>
    <t>998767103</t>
  </si>
  <si>
    <t>Přesun hmot pro zámečnické konstrukce stanovený z hmotnosti přesunovaného materiálu vodorovná dopravní vzdálenost do 50 m v objektech výšky přes 12 do 24 m</t>
  </si>
  <si>
    <t>1369797539</t>
  </si>
  <si>
    <t>768</t>
  </si>
  <si>
    <t>Ostatní výrobky, vč. přesunu hmot (bližší specifikace viz PD)</t>
  </si>
  <si>
    <t>302</t>
  </si>
  <si>
    <t>76810010.01</t>
  </si>
  <si>
    <t>M+D záchytného střešního systému z jendotlivých lanových úchytů (kotevní body) pro připevnění lana, ozn. Os/01</t>
  </si>
  <si>
    <t>-82429795</t>
  </si>
  <si>
    <t>303</t>
  </si>
  <si>
    <t>76810010.02</t>
  </si>
  <si>
    <t>M+D protidešťové žaluzie vel. 200x400 mm s širokými lamelami, ocelový Pz plech, ozn. Os/02</t>
  </si>
  <si>
    <t>-1382586477</t>
  </si>
  <si>
    <t>304</t>
  </si>
  <si>
    <t>76810010.03</t>
  </si>
  <si>
    <t>M+D vnější čistící rohože vel. 1000x3300 mm, zapuštěná, rohož v 22 mm z Al profilů, ozn. Os/03</t>
  </si>
  <si>
    <t>-2127520501</t>
  </si>
  <si>
    <t>305</t>
  </si>
  <si>
    <t>76810010.04</t>
  </si>
  <si>
    <t>M+D světelného nápisu na fasádě "ARCHIV UNIVERZITY PALACKÉHO V OLOMOUCI", podsvícený LED diodovými moduly, výška písma 500 mm, délka nápisu 24 m, ozn. Os/04</t>
  </si>
  <si>
    <t>1929476668</t>
  </si>
  <si>
    <t>306</t>
  </si>
  <si>
    <t>76810010.05</t>
  </si>
  <si>
    <t>M+D venkovní Al horizontální žaluzie, lamely tvaru "C" - typ C60, s přiznaným systémovým boxem, vel. 2470x2140 mm, ozn. Os/05</t>
  </si>
  <si>
    <t>1078081635</t>
  </si>
  <si>
    <t>307</t>
  </si>
  <si>
    <t>76810010.06</t>
  </si>
  <si>
    <t>M+D venkovní Al horizontální žaluzie, lamely tvaru "C" - typ C60, s přiznaným systémovým boxem, vel. 2470x2040 mm, ozn. Os/06</t>
  </si>
  <si>
    <t>-1972912573</t>
  </si>
  <si>
    <t>308</t>
  </si>
  <si>
    <t>76810010.07</t>
  </si>
  <si>
    <t>M+D vnějšího skleněného samonosného zábradlí, tvrzené, vrstvené, bezpečnostní sklo, (tabule 15 mm + PVB fólie + tabule 15 mm), v 0,9 m, dl. 2,15 m, vč. trubkového nerez madla, ozn. Os/07</t>
  </si>
  <si>
    <t>973534679</t>
  </si>
  <si>
    <t>309</t>
  </si>
  <si>
    <t>76810010.08</t>
  </si>
  <si>
    <t>M+D sanitární sestavy pro bezbariérově řešenou WC kabinu (nerez nástěnné pevné madlo, sklopné madlo, splachovač WC, držák toaletního papíru, záchodový kartáč, zásobník na tekuté mýdlo, odkládací police, odpadkový koš, zásobník na papírové ručníky, 2x háček na oděvy, zrcadlo vel. 500x1000 mm), ozn. Os/08</t>
  </si>
  <si>
    <t>-1391775999</t>
  </si>
  <si>
    <t>310</t>
  </si>
  <si>
    <t>76810010.09</t>
  </si>
  <si>
    <t>M+D sanitární sestavy pro WC kabinu (nerez držák na toaletní papír a záchodový závěsný kartáč), ozn. Os/09</t>
  </si>
  <si>
    <t>-825843470</t>
  </si>
  <si>
    <t>311</t>
  </si>
  <si>
    <t>76810010.10</t>
  </si>
  <si>
    <t>M+D sanitární sestavy pro umyvadlo v hygienickém zázemí (zrcadlo vel. 500x1000 mm, nerez závěsný zásobník na tekuté mýdlo, zásobník na papírové ubrousky, odpadkový koš), ozn. Os/10</t>
  </si>
  <si>
    <t>1615390839</t>
  </si>
  <si>
    <t>312</t>
  </si>
  <si>
    <t>76810010.11</t>
  </si>
  <si>
    <t>M+D sanitární sestavy pro umývárnu (zrcadlo vel. 500x1000 mm, nerez háček na oděvy), ozn. Os/11</t>
  </si>
  <si>
    <t>-1588162506</t>
  </si>
  <si>
    <t>76810010.12</t>
  </si>
  <si>
    <t>M+D sanitární sestavy pro umyvadlo v administrativním zázemí (nerez závěsný zásobník na tekuté mýdlo, zásobník na papírové ubrousky, odpadkový koš, háček na ručník), ozn. Os/12</t>
  </si>
  <si>
    <t>917902509</t>
  </si>
  <si>
    <t>76810010.13</t>
  </si>
  <si>
    <t>M+D výstražných a bezpečnostních tabulek a značek dle požárně bezpečnostního řešení stavby z PVC (označení únikových východů, směru úniků, výtahových šachet, hadicové systémy, PHP, hlavní uzávěry energií, apod., ozn. Os/13</t>
  </si>
  <si>
    <t>879556614</t>
  </si>
  <si>
    <t>315</t>
  </si>
  <si>
    <t>76810010.14</t>
  </si>
  <si>
    <t>M+D přenosného hasícího přístroje s hasící schopností 5A, ozn. Os/14 - typ A</t>
  </si>
  <si>
    <t>1575235120</t>
  </si>
  <si>
    <t>76810010.15</t>
  </si>
  <si>
    <t>M+D přenosného hasícího přístroje s hasící schopností 8A, ozn. Os/14 - typ B</t>
  </si>
  <si>
    <t>-1873229792</t>
  </si>
  <si>
    <t>317</t>
  </si>
  <si>
    <t>76810010.16</t>
  </si>
  <si>
    <t>M+D přenosného hasícího přístroje s hasící schopností 13A, ozn. Os/14 - typ C</t>
  </si>
  <si>
    <t>-1794184074</t>
  </si>
  <si>
    <t>318</t>
  </si>
  <si>
    <t>76810010.17</t>
  </si>
  <si>
    <t>M+D přenosného hasícího přístroje s hasící schopností 21A, ozn. Os/14 - typ D</t>
  </si>
  <si>
    <t>-185447843</t>
  </si>
  <si>
    <t>319</t>
  </si>
  <si>
    <t>76810010.18</t>
  </si>
  <si>
    <t>M+D přenosného hasícího přístroje s hasící schopností 27A, ozn. Os/14 - typ E</t>
  </si>
  <si>
    <t>954745269</t>
  </si>
  <si>
    <t>320</t>
  </si>
  <si>
    <t>76810010.19</t>
  </si>
  <si>
    <t>M+D přenosného hasícího přístroje s hasící schopností 34A, ozn. Os/14 - typ F</t>
  </si>
  <si>
    <t>-1196910618</t>
  </si>
  <si>
    <t>321</t>
  </si>
  <si>
    <t>76810010.20</t>
  </si>
  <si>
    <t>M+D revizních dvířek s PO EW30DP1 do stavebního otvoru vel. 600x500 mm, Al rám, SDK křídlo, systém "klik", ozn. Os/15</t>
  </si>
  <si>
    <t>423165382</t>
  </si>
  <si>
    <t>771</t>
  </si>
  <si>
    <t>Podlahy z dlaždic, vč. přechodových a dilatačních lišt</t>
  </si>
  <si>
    <t>322</t>
  </si>
  <si>
    <t>771121011</t>
  </si>
  <si>
    <t>Příprava podkladu před provedením dlažby nátěr penetrační na podlahu</t>
  </si>
  <si>
    <t>1288634294</t>
  </si>
  <si>
    <t>Podlaha P06</t>
  </si>
  <si>
    <t>16,0</t>
  </si>
  <si>
    <t>Podlaha P11</t>
  </si>
  <si>
    <t>323</t>
  </si>
  <si>
    <t>771574153</t>
  </si>
  <si>
    <t>Montáž podlah z dlaždic keramických lepených flexibilním lepidlem velkoformátových hladkých přes 2 do 4 ks/m2</t>
  </si>
  <si>
    <t>1504796529</t>
  </si>
  <si>
    <t>P06+P11</t>
  </si>
  <si>
    <t>324</t>
  </si>
  <si>
    <t>59761008.1</t>
  </si>
  <si>
    <t>keramická dlažba vel. 600x600 mm</t>
  </si>
  <si>
    <t>-1511314634</t>
  </si>
  <si>
    <t>(P06+P11)*1,15</t>
  </si>
  <si>
    <t>325</t>
  </si>
  <si>
    <t>998771103</t>
  </si>
  <si>
    <t>Přesun hmot pro podlahy z dlaždic stanovený z hmotnosti přesunovaného materiálu vodorovná dopravní vzdálenost do 50 m v objektech výšky přes 12 do 24 m</t>
  </si>
  <si>
    <t>-1720104971</t>
  </si>
  <si>
    <t>777</t>
  </si>
  <si>
    <t>Podlahy lité, vč. přechodových a dilatačních lišt</t>
  </si>
  <si>
    <t>326</t>
  </si>
  <si>
    <t>777511105.1</t>
  </si>
  <si>
    <t>Dvoukomponentní systémová barevná podlahová stěrka na bázi epoxidové prykyřice + plnivo + křemičitý písek tl. 2 mm, vč. penetrace</t>
  </si>
  <si>
    <t>1426439127</t>
  </si>
  <si>
    <t>Podlaha P02</t>
  </si>
  <si>
    <t>99,0</t>
  </si>
  <si>
    <t>Podlaha P03.2</t>
  </si>
  <si>
    <t>Podlaha P05</t>
  </si>
  <si>
    <t>Podlaha P08</t>
  </si>
  <si>
    <t>Podlaha P10</t>
  </si>
  <si>
    <t>Podlaha P13</t>
  </si>
  <si>
    <t>Vytažení na stěny v 100 mm - dle přílohy P1</t>
  </si>
  <si>
    <t>941,5*0,100</t>
  </si>
  <si>
    <t>327</t>
  </si>
  <si>
    <t>777521105.1</t>
  </si>
  <si>
    <t>Dvoukomponentní systémová houževnatá, samonivelační, barevná stěrka na bázi polyuretanové prykyřice vč. penetrace a uzavíracího barevného nátěru tl. 2 mm</t>
  </si>
  <si>
    <t>1138539827</t>
  </si>
  <si>
    <t>Podlaha P04</t>
  </si>
  <si>
    <t>Podlaha P09</t>
  </si>
  <si>
    <t>302,6*0,100</t>
  </si>
  <si>
    <t>328</t>
  </si>
  <si>
    <t>777611101.1</t>
  </si>
  <si>
    <t>Dvoukomponentní systémový podlahový nátěr na bázi epoxidové pryskyřice prosypávaný s křemičitým pískem tl. 0,7-1,2 mm, vč. penetrace</t>
  </si>
  <si>
    <t>704540383</t>
  </si>
  <si>
    <t>Podlaha P03.1</t>
  </si>
  <si>
    <t>95,1</t>
  </si>
  <si>
    <t>P03_1</t>
  </si>
  <si>
    <t>Podlaha P07</t>
  </si>
  <si>
    <t>19,0</t>
  </si>
  <si>
    <t>Podlaha P12</t>
  </si>
  <si>
    <t>Podlaha P14</t>
  </si>
  <si>
    <t>204,5*0,100</t>
  </si>
  <si>
    <t>329</t>
  </si>
  <si>
    <t>998777103</t>
  </si>
  <si>
    <t>Přesun hmot pro podlahy lité stanovený z hmotnosti přesunovaného materiálu vodorovná dopravní vzdálenost do 50 m v objektech výšky přes 12 do 24 m</t>
  </si>
  <si>
    <t>541680196</t>
  </si>
  <si>
    <t>781</t>
  </si>
  <si>
    <t>Dokončovací práce - obklady</t>
  </si>
  <si>
    <t>330</t>
  </si>
  <si>
    <t>781121011</t>
  </si>
  <si>
    <t>Příprava podkladu před provedením obkladu nátěr penetrační na stěnu</t>
  </si>
  <si>
    <t>672952196</t>
  </si>
  <si>
    <t>UP03_D</t>
  </si>
  <si>
    <t>331</t>
  </si>
  <si>
    <t>781474154</t>
  </si>
  <si>
    <t>Montáž obkladů vnitřních stěn z dlaždic keramických lepených flexibilním lepidlem velkoformátových hladkých přes 4 do 6 ks/m2</t>
  </si>
  <si>
    <t>-1770659833</t>
  </si>
  <si>
    <t>332</t>
  </si>
  <si>
    <t>59761001.1</t>
  </si>
  <si>
    <t>obklad velkoformátový keramický vel. 300x600 mm</t>
  </si>
  <si>
    <t>-606814451</t>
  </si>
  <si>
    <t>UP03_d*1,15</t>
  </si>
  <si>
    <t>333</t>
  </si>
  <si>
    <t>781494111.1</t>
  </si>
  <si>
    <t>Obklad - dokončující práce profily ukončovací a rohové lepené flexibilním lepidlem</t>
  </si>
  <si>
    <t>-901469819</t>
  </si>
  <si>
    <t>předpoklad: 0,9bm/m2</t>
  </si>
  <si>
    <t>139,8*0,9</t>
  </si>
  <si>
    <t>334</t>
  </si>
  <si>
    <t>998781103</t>
  </si>
  <si>
    <t>Přesun hmot pro obklady keramické stanovený z hmotnosti přesunovaného materiálu vodorovná dopravní vzdálenost do 50 m v objektech výšky přes 12 do 24 m</t>
  </si>
  <si>
    <t>2043052888</t>
  </si>
  <si>
    <t>783</t>
  </si>
  <si>
    <t>Dokončovací práce - nátěry</t>
  </si>
  <si>
    <t>335</t>
  </si>
  <si>
    <t>783500100.1</t>
  </si>
  <si>
    <t>Hydrofobizační bezbarvý nátěr na bázi siloxanu pro závěrečné ošetření pohledového betonu aplikovaný ve dvou vrstvách, ozn. UP 08</t>
  </si>
  <si>
    <t>-246607433</t>
  </si>
  <si>
    <t>Zdi</t>
  </si>
  <si>
    <t>Sloupy</t>
  </si>
  <si>
    <t>Stropy</t>
  </si>
  <si>
    <t>784</t>
  </si>
  <si>
    <t>Dokončovací práce - malby a tapety</t>
  </si>
  <si>
    <t>336</t>
  </si>
  <si>
    <t>784181101</t>
  </si>
  <si>
    <t>Penetrace podkladu jednonásobná základní akrylátová v místnostech výšky do 3,80 m</t>
  </si>
  <si>
    <t>-1339858693</t>
  </si>
  <si>
    <t>UP02_p+UP02_po+UP02_d</t>
  </si>
  <si>
    <t>337</t>
  </si>
  <si>
    <t>784181121</t>
  </si>
  <si>
    <t>Penetrace podkladu jednonásobná hloubková v místnostech výšky do 3,80 m</t>
  </si>
  <si>
    <t>-1320341022</t>
  </si>
  <si>
    <t>stropy</t>
  </si>
  <si>
    <t>UP01_p+UP04_p+UP06</t>
  </si>
  <si>
    <t>UP01_d+UP04_d+UP05_d</t>
  </si>
  <si>
    <t>přípočet odečtených otvorů z přílohy P1</t>
  </si>
  <si>
    <t>+573,2</t>
  </si>
  <si>
    <t>přípočet SDK nadpraží nad Al sestavou ve 3.np</t>
  </si>
  <si>
    <t>(5,5+5,0)*1,8*2</t>
  </si>
  <si>
    <t>338</t>
  </si>
  <si>
    <t>784211101</t>
  </si>
  <si>
    <t>Malby z malířských směsí otěruvzdorných za mokra dvojnásobné, bílé za mokra otěruvzdorné výborně v místnostech výšky do 3,80 m</t>
  </si>
  <si>
    <t>1346713864</t>
  </si>
  <si>
    <t>Stěny</t>
  </si>
  <si>
    <t>339</t>
  </si>
  <si>
    <t>784211000.1</t>
  </si>
  <si>
    <t>Vnitřní, vodou ředitelný, otěruvzdorný nátěr na bázi akrylátové disperze pro betonové a zděné povrchy, omyvatelný povrch, odolný proti CO2 a SO2, ozn. UP 02</t>
  </si>
  <si>
    <t>1492787703</t>
  </si>
  <si>
    <t>Podlahy</t>
  </si>
  <si>
    <t>Práce a dodávky M</t>
  </si>
  <si>
    <t>33-M</t>
  </si>
  <si>
    <t>Montáže dopr.zaříz.,sklad. zař. a váh</t>
  </si>
  <si>
    <t>340</t>
  </si>
  <si>
    <t>330500100.1</t>
  </si>
  <si>
    <t>Montáž a dodávka osobo-nákladního výtahu s nosností 1250 kg pro cca 13 lidí, rychlost 1,0 m/s, 4 stanice</t>
  </si>
  <si>
    <t>1122929858</t>
  </si>
  <si>
    <t>ÚT - ZAŘÍZENÍ PRO VYTÁPĚNÍ STAVEB</t>
  </si>
  <si>
    <t xml:space="preserve"> </t>
  </si>
  <si>
    <t xml:space="preserve">PSV - Práce a dodávky PSV   </t>
  </si>
  <si>
    <t xml:space="preserve">    713 - Izolace tepelné   </t>
  </si>
  <si>
    <t xml:space="preserve">    731 - Ústřední vytápění - kotelny   </t>
  </si>
  <si>
    <t xml:space="preserve">    732 - Ústřední vytápění - strojovny   </t>
  </si>
  <si>
    <t xml:space="preserve">    733 - Ústřední vytápění - rozvodné potrubí   </t>
  </si>
  <si>
    <t xml:space="preserve">    734 - Ústřední vytápění - armatury   </t>
  </si>
  <si>
    <t xml:space="preserve">    735 - Ústřední vytápění - otopná tělesa   </t>
  </si>
  <si>
    <t xml:space="preserve">    767 - Konstrukce zámečnické   </t>
  </si>
  <si>
    <t xml:space="preserve">    783 - Dokončovací práce - nátěry   </t>
  </si>
  <si>
    <t xml:space="preserve">    900 - Prvotní napuštění systému   </t>
  </si>
  <si>
    <t xml:space="preserve">    901 - Požární prostupy   </t>
  </si>
  <si>
    <t xml:space="preserve">    902 - Podlahové vytápění elektrické   </t>
  </si>
  <si>
    <t xml:space="preserve">    903 - Podlahové vytápění teplovodní   </t>
  </si>
  <si>
    <t xml:space="preserve">    904 - Topná zkouška   </t>
  </si>
  <si>
    <t xml:space="preserve">    905 - Koordinace   </t>
  </si>
  <si>
    <t xml:space="preserve">Práce a dodávky PSV   </t>
  </si>
  <si>
    <t xml:space="preserve">Izolace tepelné   </t>
  </si>
  <si>
    <t>713463131</t>
  </si>
  <si>
    <t>Montáž izolace tepelné potrubí potrubními pouzdry bez úpravy slepenými 1x tl izolace do 25 mm</t>
  </si>
  <si>
    <t>R71300001</t>
  </si>
  <si>
    <t>Potrubní izolační pouzdro 22/9</t>
  </si>
  <si>
    <t>Poznámka k položce:_x000D_
vnitřní průměr/tloušťka stěny izolace, lambda = 0,037 W/mK při 0 °C</t>
  </si>
  <si>
    <t xml:space="preserve">543*1,15   </t>
  </si>
  <si>
    <t>R71300002</t>
  </si>
  <si>
    <t>Potrubní izolační pouzdro 28/9</t>
  </si>
  <si>
    <t xml:space="preserve">19*1,15   </t>
  </si>
  <si>
    <t>R71300003</t>
  </si>
  <si>
    <t>Potrubní izolační pouzdro 35/9</t>
  </si>
  <si>
    <t xml:space="preserve">36*1,15   </t>
  </si>
  <si>
    <t>713463211</t>
  </si>
  <si>
    <t>Montáž izolace tepelné potrubí potrubními pouzdry s Al fólií staženými Al páskou 1x D do 50 mm</t>
  </si>
  <si>
    <t>R71300004</t>
  </si>
  <si>
    <t>Potrubní izolační pouzdro s povrchovou úpravou 22/20</t>
  </si>
  <si>
    <t>Poznámka k položce:_x000D_
vnitřní průměr/tloušťka stěny izolace, lambda = 0,033 W/mK při 10 °C</t>
  </si>
  <si>
    <t>R71300005</t>
  </si>
  <si>
    <t>Potrubní izolační pouzdro s povrchovou úpravou 28/30</t>
  </si>
  <si>
    <t xml:space="preserve">84*1,15   </t>
  </si>
  <si>
    <t>R71300006</t>
  </si>
  <si>
    <t>Potrubní izolační pouzdro s povrchovou úpravou 35/30</t>
  </si>
  <si>
    <t xml:space="preserve">(71+7+6)*1,15   </t>
  </si>
  <si>
    <t>R71300007</t>
  </si>
  <si>
    <t>Potrubní izolační pouzdro s povrchovou úpravou 42/30</t>
  </si>
  <si>
    <t xml:space="preserve">12*1,15   </t>
  </si>
  <si>
    <t>R71300008</t>
  </si>
  <si>
    <t>Potrubní izolační pouzdro s povrchovou úpravou 60/40</t>
  </si>
  <si>
    <t xml:space="preserve">(15+4)*1,15   </t>
  </si>
  <si>
    <t>998713102</t>
  </si>
  <si>
    <t>Přesun hmot tonážní pro izolace tepelné v objektech v do 12 m</t>
  </si>
  <si>
    <t>998713193</t>
  </si>
  <si>
    <t>Příplatek k přesunu hmot tonážní 713 za zvětšený přesun do 500 m</t>
  </si>
  <si>
    <t>731</t>
  </si>
  <si>
    <t xml:space="preserve">Ústřední vytápění - kotelny   </t>
  </si>
  <si>
    <t>731244494</t>
  </si>
  <si>
    <t>Montáž kotle ocelového závěsného na plyn kondenzačního</t>
  </si>
  <si>
    <t>R73100002</t>
  </si>
  <si>
    <t>Oživení kotle</t>
  </si>
  <si>
    <t>h</t>
  </si>
  <si>
    <t>Poznámka k položce:_x000D_
specialistou dané firmy, včetně jeho dopravy na místo</t>
  </si>
  <si>
    <t>R73100001</t>
  </si>
  <si>
    <t>Plynový kondenzační závěsyný kotel, pol.1.1a</t>
  </si>
  <si>
    <t>ks</t>
  </si>
  <si>
    <t>Poznámka k položce:_x000D_
pol.1.1a - PLYNOVÝ KONDENZAČNÍ ZÁVĚSNÝ KOTEL, TOPNÝ VÝKON 49,9 PŘI 50/30°C A PROVOZU NA ZEMNÍ PLYN, PŘIPOJOVACÍ TLAK PLYNU 2kPa, JMENOVITÁ SPOTŘEBA PLYNU 6,04m3//h, KRYTÍ IP X4D, ELEKTRICKÝ PŘÍKON 156W/230V/50Hz, 51kg/OBJEM VÝMĚNÍKU TEPLA 1,51l, ROZMĚRY h425/š520/v735mm, KOTLE ZAPOJENY DO KASKÁDY, SOUČÁSTÍ DODÁVKY KOTLŮ JE SADA SIFONU A SADA PŘIPOJOVACÍCH KOHOUTŮ</t>
  </si>
  <si>
    <t>R73100008</t>
  </si>
  <si>
    <t>Plynový kondenzační závěsyný kotel, pol.1.1b</t>
  </si>
  <si>
    <t>Poznámka k položce:_x000D_
pol.1.1b - PLYNOVÝ KONDENZAČNÍ ZÁVĚSNÝ KOTEL, TOPNÝ VÝKON 35kW PŘI 50/30°C A PROVOZU NA ZEMNÍ PLYN, PŘIPOJOVACÍ TLAK PLYNU 2kPa, JMENOVITÁ SPOTŘEBA PLYNU 4,25m3//h, KRYTÍ IP X4D, ELEKTRICKÝ PŘÍKON 97W/230V/50Hz, 51kg/OBJEM VÝMĚNÍKU TEPLA 1,37l, ROZMĚRY h425/š520/v735mm, KOTLE ZAPOJENY DO KASKÁDY, SOUČÁSTÍ DODÁVKY KOTLŮ JE SADA SIFONU A SADA PŘIPOJOVACÍCH KOHOUTŮ</t>
  </si>
  <si>
    <t>R73100005</t>
  </si>
  <si>
    <t>Konstrukce pro uchycení kotle_1.kotel v řadě</t>
  </si>
  <si>
    <t>Poznámka k položce:_x000D_
pol.1.7 - KONSTRUKCE PRO UCHYCENÍ KOTLE NA STOJÁNKY K PODLAZE - PROSTOROVÁ MONTÁŽ, DODÁVKA S KOTLI</t>
  </si>
  <si>
    <t>R73200006</t>
  </si>
  <si>
    <t>Konstrukce pro uchycení kotle_2.kotel v řadě</t>
  </si>
  <si>
    <t>R73100007</t>
  </si>
  <si>
    <t>Regulace kotlů</t>
  </si>
  <si>
    <t>Poznámka k položce:_x000D_
pol.1.3 - REGULACE KASKÁDY DVOU PLYNOVÝCH KOTLŮ, ŘÍZENÍ DVOU EKVITERMNĚ SMĚŠOVANÝCH TOPNÝCH OKRUHŮ PRO DESKOVÁ TĚLESA, REGULACE EKVITERMNĚ SMĚŠOVANÉHO TOPNÉHO OKRUHU PRO PODLAHOVÉ VYTÁPĚNÍ, REGULACE NEREGULOVANÉHO TOPNÉHO OKRUHU PRO VZT, KABELÁŽ DODÁ MaR, MaR DOSTÁVÁ OD KOTLŮ INFORMACI O SUMÁRNÍ PORUŠE   REGULACE OBSAHUJE 1XPROSTOROVÝ MODULAČNÍ REGULÁTOR PRO SBĚRNICI EMS PLUS A EMS – POUŽITÍ JAKO OVLÁDACÍ JEDNOTKA TEPLOTY ZDROJE, 1XKASKÁDOVÝ MODUL S EMS-PLUS A 4X SMĚŠOVACÍ MODUL PRO POUŽITÍ S EMS PLUS. SOUČÁSTÍ REGULACE KOTLE JSOU ČIDLA ZAPOJENÁ DO REGULAČNÍCH JEDNOTEK KOTLE, VČETNĚ VENKOVNÍHO EKVITERMNÍHO ČIDLA.</t>
  </si>
  <si>
    <t>R73100003</t>
  </si>
  <si>
    <t>Montáž odkouření</t>
  </si>
  <si>
    <t>R73100004</t>
  </si>
  <si>
    <t>Odkouření plynových kondenzačních kotlů</t>
  </si>
  <si>
    <t>Poznámka k položce:_x000D_
pol.1.2 - KOAXIÁLNÍ ODKOUŘENÍ PLYNOVÝCH KONDENZAČNÍCH KOTLŮ 125/80 - DODÁVKA DODAVATELE KOTLŮ, DIMENZE MUSÍ RESPEKTOVAT POŽADAVKY VÝROBCE KOTLE, VČETNĚ POŽADOVANÝCH REVIZNÍCH KUSŮ, IZOLOVAT 50mm IZOLACE ODOLNÉ VYSOKÝM TEPLOTÁM, V EXTERIÉRU OPLECHOVAT - BAREVNÉ PROVEDENÍ URČÍ ARCHITEKT NEBO STAVBA, UKONČENÍ KONCOVOU HLAVICÍ, VÝŠKA ODKOUŘENÍ min.1m NAD ATIKU. PŘED INSTALACÍ NUTNO ODSOUHLASIT S REVIZNÍM TECHNIKEM</t>
  </si>
  <si>
    <t>998731102</t>
  </si>
  <si>
    <t>Přesun hmot tonážní pro kotelny v objektech v do 12 m</t>
  </si>
  <si>
    <t>998731193</t>
  </si>
  <si>
    <t>Příplatek k přesunu hmot tonážní 731 za zvětšený přesun do 500 m</t>
  </si>
  <si>
    <t>732</t>
  </si>
  <si>
    <t xml:space="preserve">Ústřední vytápění - strojovny   </t>
  </si>
  <si>
    <t>R73200001</t>
  </si>
  <si>
    <t>Montáž demineralizační sady</t>
  </si>
  <si>
    <t>R73200002</t>
  </si>
  <si>
    <t>Demineralizační sada</t>
  </si>
  <si>
    <t>Poznámka k položce:_x000D_
pol.1.6 - DEMINERALIZAČNÍ SADA, OBSAHUJE PATRONU S KAPACITOU 16000lx°dH, NÁHRADNÍ NÁPLŇ 14l, PŘIPOJOVACÍ SESTAVA S DIGITÁLNÍM MĚŘIČEM VODIVOSTI A ELEKTRONICKÝM VODOMĚREM, MADLO, VÝDRŽ NÁPLNĚ PŘI 20°dH VSTUPNÍ VODY:800l UPRAVENÉ VODY, max. PRŮTOK 5-8,3l/min, NESLOUŽÍ K PRVOTNÍMU NAPUŠTĚNÍ OTOPNÉ SOUSTAVY JEN PRO DOPOUŠTĚNÍ, DODÁVKA S KOTLI, MUSÍ SPLŇOVAT POŽADAVKY VÝROBCE KOTLE</t>
  </si>
  <si>
    <t>R73200007</t>
  </si>
  <si>
    <t>Montáž kombinovaného rozdělovače a sběrače</t>
  </si>
  <si>
    <t>R73200008</t>
  </si>
  <si>
    <t>Kombinovaný rozdělovač a sběrač</t>
  </si>
  <si>
    <t>Poznámka k položce:_x000D_
pol.4 - KOMBINOVANÝ ROZDĚLOVAČ SBĚRAČ ,VČETNĚ IZOLACE, MODUL 120, 3xSTAVITELNÝ STOJAN, DÉLKA 1850mm/60kg, VČETNĚ VYPOUŠTĚNÍ Z OBOU KOMOR A NÁVARKU PRO TEPLOMĚR A MANOMETR V HORNÍ I DOLNÍ KOMOŘE, VČETNĚ TEPELNÉ IZOLACE, PRO 4 OKRUHY (VÝKRES VIZ PŘÍLOHA TZ)</t>
  </si>
  <si>
    <t>R73200017</t>
  </si>
  <si>
    <t>Montáž hydraulického vyrovnávače dynamických tlaků</t>
  </si>
  <si>
    <t>R73200018</t>
  </si>
  <si>
    <t>Hydraulický vyrovnávač dynamických tlaků</t>
  </si>
  <si>
    <t>Poznámka k položce:_x000D_
pol.1.4 - TERMOHYDRAULICKÝ ROZDĚLOVAČ 120/80, max.5m3/h, VČETNĚ TEPLENÉ ITOLACE, ODVZDUŠNĚNÍ A VYPOUŠTĚNÍ, KONZOLE PRO UCHYCENÍ NA ZEĎ, DODÁVKA S KOTLI</t>
  </si>
  <si>
    <t>R73200010</t>
  </si>
  <si>
    <t>Montáž expanzních nádob</t>
  </si>
  <si>
    <t>R73200019</t>
  </si>
  <si>
    <t>Expanzní nádoba 80l</t>
  </si>
  <si>
    <t>Poznámka k položce:_x000D_
pol.3 - TLAKOVÁ EXPANZNÍ NÁDOBA OBJEM 80l, MAXIMÁLNÍ PROVOZNÍ TLAK 6bar, PRŮMĚR 480mm/VÝŠKA 565mm, PŘIPOJENÍ R1</t>
  </si>
  <si>
    <t>R73200011</t>
  </si>
  <si>
    <t>Expanzní nádoba 2l</t>
  </si>
  <si>
    <t>Poznámka k položce:_x000D_
pol.2 - TLAKOVÁ EXPANZNÍ NÁDOBA OBJEM 2l PRO JIŠTĚNÍ ZDROJŮ TEPLA, MAXIMÁLNÍ PROVOZNÍ TLAK 10bar, PRŮMĚR 132mm/VÝŠKA 260mm, PŘIPOJENÍ R3/4, UCHYCENÍ NA ZEĎ</t>
  </si>
  <si>
    <t>R73200012</t>
  </si>
  <si>
    <t>Montáž neutralizačního boxu</t>
  </si>
  <si>
    <t>R73200013</t>
  </si>
  <si>
    <t>Neutralizační zařízení</t>
  </si>
  <si>
    <t>Poznámka k položce:_x000D_
pol.1.5 - NEUTRALIZAČNÍ ZAŘÍZENÍ VČETNĚ GRANULÁTU, DODÁVKA S KOTLI, PROPOJOVACÍ POTRUBÍ DODÁVKA ZTI</t>
  </si>
  <si>
    <t>R73200015</t>
  </si>
  <si>
    <t>Montáž označení toku teplonosných látek</t>
  </si>
  <si>
    <t>R73200014</t>
  </si>
  <si>
    <t>Označení toku teplonosných látek</t>
  </si>
  <si>
    <t>Poznámka k položce:_x000D_
např.nálepkou</t>
  </si>
  <si>
    <t>732199100</t>
  </si>
  <si>
    <t>Montáž orientačních štítků</t>
  </si>
  <si>
    <t>R73200016</t>
  </si>
  <si>
    <t>Orientační štítky</t>
  </si>
  <si>
    <t>Poznámka k položce:_x000D_
označení zařízení v kotelně, jednotlivých okruhů, dveří do technické místnosti</t>
  </si>
  <si>
    <t>732429212</t>
  </si>
  <si>
    <t>Montáž čerpadla oběhového mokroběžného závitového DN 25</t>
  </si>
  <si>
    <t>R73200021</t>
  </si>
  <si>
    <t>Oběhové čerpadlo pol.III.1</t>
  </si>
  <si>
    <t>Poznámka k položce:_x000D_
pol.III.1 - OBĚHOVÉ ČERPADLO TOPNÉ VODY PRO VYTÁPĚNÍ PŘÍSLUŠENSTVÍ;119W/230V/0,96A; DN25, PŘI 1,549m3/h DÁVÁ 32,13kPa, včetně izolační skořepiny</t>
  </si>
  <si>
    <t>R73000022</t>
  </si>
  <si>
    <t>Oběhové čerpadlo pol.IV.1</t>
  </si>
  <si>
    <t>Poznámka k položce:_x000D_
pol.IV.1 - OBĚHOVÉ ČERPADLO TOPNÉ VODY PRO VYTÁPĚNÍ KANCELÁŘÍ;87W/230V/0,70A; DN25, PŘI 0,881m3/h DÁVÁ 24,79kPa, včetně izolační skořepiny</t>
  </si>
  <si>
    <t>R73200023</t>
  </si>
  <si>
    <t>Oběhové čerpadlo pol.V.1</t>
  </si>
  <si>
    <t>Poznámka k položce:_x000D_
pol.V.1 - OBĚHOVÉ ČERPADLO TOPNÉ VODY PRO PODLAHOVÉ VYTÁPĚNÍ;92W/230V/0,74A; DN25, PŘI 0,752m3/h DÁVÁ 21,19kPa, včetně izolační skořepiny</t>
  </si>
  <si>
    <t>998732102</t>
  </si>
  <si>
    <t>Přesun hmot tonážní pro strojovny v objektech v do 12 m</t>
  </si>
  <si>
    <t>998732193</t>
  </si>
  <si>
    <t>Příplatek k přesunu hmot tonážní 732 za zvětšený přesun do 500 m</t>
  </si>
  <si>
    <t>733</t>
  </si>
  <si>
    <t xml:space="preserve">Ústřední vytápění - rozvodné potrubí   </t>
  </si>
  <si>
    <t>733000004</t>
  </si>
  <si>
    <t>Montáž tlakové hadice</t>
  </si>
  <si>
    <t>Poznámka k položce:_x000D_
pro připojení VZT výměníků</t>
  </si>
  <si>
    <t>733000005</t>
  </si>
  <si>
    <t>Tlaková hadice DN25, délky 500mm</t>
  </si>
  <si>
    <t>Poznámka k položce:_x000D_
pro připojení RZ1</t>
  </si>
  <si>
    <t>733111123</t>
  </si>
  <si>
    <t>Potrubí ocelové závitové bezešvé běžné nízkotlaké nebo středotlaké DN 15</t>
  </si>
  <si>
    <t xml:space="preserve">579*1,15   </t>
  </si>
  <si>
    <t>733111124</t>
  </si>
  <si>
    <t>Potrubí ocelové závitové bezešvé běžné nízkotlaké nebo středotlaké DN 20</t>
  </si>
  <si>
    <t xml:space="preserve">103*1,15   </t>
  </si>
  <si>
    <t>733111125</t>
  </si>
  <si>
    <t>Potrubí ocelové závitové bezešvé běžné nízkotlaké nebo středotlaké DN 25</t>
  </si>
  <si>
    <t xml:space="preserve">107*1,15   </t>
  </si>
  <si>
    <t>733111126</t>
  </si>
  <si>
    <t>Potrubí ocelové závitové bezešvé běžné nízkotlaké nebo středotlaké DN 32</t>
  </si>
  <si>
    <t>733111127</t>
  </si>
  <si>
    <t>Potrubí ocelové závitové bezešvé běžné nízkotlaké nebo středotlaké DN 40</t>
  </si>
  <si>
    <t>Poznámka k položce:_x000D_
ochranná trubka</t>
  </si>
  <si>
    <t xml:space="preserve">8*1,15   </t>
  </si>
  <si>
    <t>733111114</t>
  </si>
  <si>
    <t>Potrubí ocelové závitové bezešvé běžné v kotelnách nebo strojovnách DN 20</t>
  </si>
  <si>
    <t xml:space="preserve">3*1,5   </t>
  </si>
  <si>
    <t>733111115</t>
  </si>
  <si>
    <t>Potrubí ocelové závitové bezešvé běžné v kotelnách nebo strojovnách DN 25</t>
  </si>
  <si>
    <t xml:space="preserve">(6+7+4)*1,15   </t>
  </si>
  <si>
    <t>733111118</t>
  </si>
  <si>
    <t>Potrubí ocelové závitové bezešvé běžné v kotelnách nebo strojovnách DN 50</t>
  </si>
  <si>
    <t>733113113</t>
  </si>
  <si>
    <t>Příplatek k porubí z trubek ocelových závitových za zhotovení závitové ocelové přípojky DN 15</t>
  </si>
  <si>
    <t>Poznámka k položce:_x000D_
připojení deskových těles</t>
  </si>
  <si>
    <t>733190107</t>
  </si>
  <si>
    <t>Zkouška těsnosti potrubí ocelové závitové do DN 40</t>
  </si>
  <si>
    <t>733190108</t>
  </si>
  <si>
    <t>Zkouška těsnosti potrubí ocelové závitové do DN 50</t>
  </si>
  <si>
    <t>998733102</t>
  </si>
  <si>
    <t>Přesun hmot tonážní pro rozvody potrubí v objektech v do 12 m</t>
  </si>
  <si>
    <t>998733193</t>
  </si>
  <si>
    <t>Příplatek k přesunu hmot tonážní 733 za zvětšený přesun do 500 m</t>
  </si>
  <si>
    <t>734</t>
  </si>
  <si>
    <t xml:space="preserve">Ústřední vytápění - armatury   </t>
  </si>
  <si>
    <t>R73400001</t>
  </si>
  <si>
    <t>Montáž termostatické hlavice</t>
  </si>
  <si>
    <t>734221682</t>
  </si>
  <si>
    <t>Termostatická hlavice kapalinová PN 10 do 110°C otopných těles VK</t>
  </si>
  <si>
    <t>Poznámka k položce:_x000D_
se zajištěním v poloze</t>
  </si>
  <si>
    <t>734209114</t>
  </si>
  <si>
    <t>Montáž armatury závitové s dvěma závity G 3/4</t>
  </si>
  <si>
    <t>R73400012</t>
  </si>
  <si>
    <t>Kohout se zajištěním v otevřené poloze DN20</t>
  </si>
  <si>
    <t>Poznámka k položce:_x000D_
pol.MK20, připojení expanzní nádoby, s integrovaným vypouštěním</t>
  </si>
  <si>
    <t>734209115</t>
  </si>
  <si>
    <t>Montáž armatury závitové s dvěma závity G 1</t>
  </si>
  <si>
    <t>R73400009</t>
  </si>
  <si>
    <t>Dvojcestný uzavírací ventil s pohonem DN25</t>
  </si>
  <si>
    <t>Poznámka k položce:_x000D_
pol.6.1 - KULOVÝ UZAVÍRACÍ VENTIL S POHONEM , DN25, kvs=60m3//h, VČETNĚ POHONU KOMPATIBILNÍHO S MaR - 230V BEZ PROUDU ZAVŘENO, TLAKOVÝ SPÍNAČ NA TOPENÍ DODÁVKOU MaR</t>
  </si>
  <si>
    <t>R73400010</t>
  </si>
  <si>
    <t>Kohout pro odběr vzorků DN25</t>
  </si>
  <si>
    <t>R73400011</t>
  </si>
  <si>
    <t>Kohout se zajištěním v otevřené poloze DN25</t>
  </si>
  <si>
    <t>Poznámka k položce:_x000D_
pol.MK25, připojení expanzní nádoby, s integrovaným vypouštěním</t>
  </si>
  <si>
    <t>R73400013</t>
  </si>
  <si>
    <t>Magnetický filtr DN25</t>
  </si>
  <si>
    <t>R73400016</t>
  </si>
  <si>
    <t>Ruční vyvažovací a uzavírací ventil DN25</t>
  </si>
  <si>
    <t>Poznámka k položce:_x000D_
pol.III.3 - RUČNÍ VYVAŽOVACÍ A UZAVÍRACÍ VENTIL S MĚŘÍCÍMI VSUVKAMI A VYPOUŠTĚNÍM, DN25, kvs=12,100m3//h;kv=12,132m3//h; NASTAVENÍ 9,90  včetně izolační skořepiny</t>
  </si>
  <si>
    <t>R73400017</t>
  </si>
  <si>
    <t>Poznámka k položce:_x000D_
pol.IV.3 - RUČNÍ VYVAŽOVACÍ A UZAVÍRACÍ VENTIL S MĚŘÍCÍMI VSUVKAMI A VYPOUŠTĚNÍM, DN25, kvs=7,528m3//h;kv=7,527m3//h; NASTAVENÍ 9,89 pol.V.3 - RUČNÍ VYVAŽOVACÍ A UZAVÍRACÍ VENTIL S MĚŘÍCÍMI VSUVKAMI A VYPOUŠTĚNÍM, DN25, kvs=7,528m3//h;kv=7,528m3//h; NASTAVENÍ 9,90  včetně izolačních skořepin</t>
  </si>
  <si>
    <t xml:space="preserve">"pol.IV.3"   </t>
  </si>
  <si>
    <t xml:space="preserve">1   </t>
  </si>
  <si>
    <t xml:space="preserve">"pol.V.3"   </t>
  </si>
  <si>
    <t xml:space="preserve">Součet   </t>
  </si>
  <si>
    <t>734209118</t>
  </si>
  <si>
    <t>Montáž armatury závitové s dvěma závity G 2</t>
  </si>
  <si>
    <t>R73400014</t>
  </si>
  <si>
    <t>Odlučovač mikrobublin</t>
  </si>
  <si>
    <t>Poznámka k položce:_x000D_
pol.5 - ODLUČOVAČ MIKROBUBLIN, R2</t>
  </si>
  <si>
    <t>734209124</t>
  </si>
  <si>
    <t>Montáž armatury závitové s třemi závity G 3/4</t>
  </si>
  <si>
    <t>R73400006</t>
  </si>
  <si>
    <t>Třícestný směšovací ventil s pohonem DN20</t>
  </si>
  <si>
    <t>Poznámka k položce:_x000D_
pol.IV.2 - TROJCESTNÝ SMĚŠOVACÍ VENTIL S POHONEM, DN20; kvs=6,300m3//h pol.V.2 - TROJCESTNÝ SMĚŠOVACÍ VENTIL S POHONEM, DN20; kvs=6,300m3//h  pohon 230V, tříbodový včetně izolační skořepiny</t>
  </si>
  <si>
    <t xml:space="preserve">"pol.IV.2"   </t>
  </si>
  <si>
    <t xml:space="preserve">"pol.V.2"   </t>
  </si>
  <si>
    <t>734209125</t>
  </si>
  <si>
    <t>Montáž armatury závitové s třemi závity G 1</t>
  </si>
  <si>
    <t>R73400007</t>
  </si>
  <si>
    <t>Třícestný směšovací ventil s pohonem DN25</t>
  </si>
  <si>
    <t>Poznámka k položce:_x000D_
pol.III.2 - TROJCESTNÝ SMĚŠOVACÍ VENTIL S POHONEM, DN25; kvs=10,000m3/h  pohon 230V, tříbodový včetně izolační skořepiny</t>
  </si>
  <si>
    <t>734261402</t>
  </si>
  <si>
    <t>Armatura připojovací rohová G 1/2x18 PN 10 do 110°C radiátorů typu VK</t>
  </si>
  <si>
    <t>Poznámka k položce:_x000D_
PŘIPOJOVACÍ H-ŠROUBENÍ, ROHOVÉ, kvs=1,4m3/h, DN15</t>
  </si>
  <si>
    <t>734292715</t>
  </si>
  <si>
    <t>Kohout kulový přímý G 1 PN 42 do 185°C vnitřní závit</t>
  </si>
  <si>
    <t>734292716</t>
  </si>
  <si>
    <t>Kohout kulový přímý G 1 1/4 PN 42 do 185°C vnitřní závit</t>
  </si>
  <si>
    <t>734292718</t>
  </si>
  <si>
    <t>Kohout kulový přímý G 2 PN 42 do 185°C vnitřní závit</t>
  </si>
  <si>
    <t>734242414</t>
  </si>
  <si>
    <t>Ventil závitový zpětný přímý G 1 PN 16 do 110°C</t>
  </si>
  <si>
    <t>734242415</t>
  </si>
  <si>
    <t>Ventil závitový zpětný přímý G 5/4 PN 16 do 110°C</t>
  </si>
  <si>
    <t>734291244</t>
  </si>
  <si>
    <t>Filtr závitový přímý G 1 PN 16 do 130°C s vnitřními závity</t>
  </si>
  <si>
    <t>734291245</t>
  </si>
  <si>
    <t>Filtr závitový přímý G 1 1/4 PN 16 do 130°C s vnitřními závity</t>
  </si>
  <si>
    <t>734291123</t>
  </si>
  <si>
    <t>Kohout plnící a vypouštěcí G 1/2 PN 10 do 110°C závitový</t>
  </si>
  <si>
    <t>734211120</t>
  </si>
  <si>
    <t>Ventil závitový odvzdušňovací G 1/2 PN 14 do 120°C automatický</t>
  </si>
  <si>
    <t>734411129</t>
  </si>
  <si>
    <t>Teploměr technický s pevným stonkem a jímkou zadní připojení průměr 100 mm délky 200 mm</t>
  </si>
  <si>
    <t>734421112</t>
  </si>
  <si>
    <t>Tlakoměr s pevným stonkem a zpětnou klapkou tlak 0-16 bar průměr 63 mm zadní připojení</t>
  </si>
  <si>
    <t>734494213</t>
  </si>
  <si>
    <t>Návarek s trubkovým závitem G 1/2</t>
  </si>
  <si>
    <t>998734102</t>
  </si>
  <si>
    <t>Přesun hmot tonážní pro armatury v objektech v do 12 m</t>
  </si>
  <si>
    <t>998734193</t>
  </si>
  <si>
    <t>Příplatek k přesunu hmot tonážní 734 za zvětšený přesun do 500 m</t>
  </si>
  <si>
    <t>735</t>
  </si>
  <si>
    <t xml:space="preserve">Ústřední vytápění - otopná tělesa   </t>
  </si>
  <si>
    <t>735000912</t>
  </si>
  <si>
    <t>Vyregulování ventilu nebo kohoutu dvojregulačního s termostatickým ovládáním</t>
  </si>
  <si>
    <t>735159110</t>
  </si>
  <si>
    <t>Montáž otopných těles panelových jednořadých délky do 1500 mm</t>
  </si>
  <si>
    <t>R73500003</t>
  </si>
  <si>
    <t>Deskové těleso s integrovaným termostatickým ventilem  11-060040-60</t>
  </si>
  <si>
    <t>Poznámka k položce:_x000D_
(typ/výška/délka), s integrovaným ventilem, nominální výkon 292W při 70/50°C a teplotě v místnosti 20°C, pravé spodní připojení včetně uchycení na zeď</t>
  </si>
  <si>
    <t>R73500004</t>
  </si>
  <si>
    <t>Deskové těleso s integrovaným termostatickým ventilem  11-060050-60</t>
  </si>
  <si>
    <t>Poznámka k položce:_x000D_
(typ/výška/délka), s integrovaným ventilem, nominální výkon 365W při 70/50°C a teplotě v místnosti 20°C, pravé spodní připojení včetně uchycení na zeď</t>
  </si>
  <si>
    <t>R73500005</t>
  </si>
  <si>
    <t>Deskové těleso s integrovaným termostatickým ventilem  11-060100-60</t>
  </si>
  <si>
    <t>Poznámka k položce:_x000D_
(typ/výška/délka), s integrovaným ventilem, nominální výkon 730W při 70/50°C a teplotě v místnosti 20°C, pravé spodní připojení včetně uchycení na zeď</t>
  </si>
  <si>
    <t>R73500006</t>
  </si>
  <si>
    <t>Deskové těleso s integrovaným termostatickým ventilem  11-060140-60</t>
  </si>
  <si>
    <t>Poznámka k položce:_x000D_
(typ/výška/délka), s integrovaným ventilem, nominální výkon 1023W při 70/50°C a teplotě v místnosti 20°C, pravé spodní připojení včetně uchycení na zeď</t>
  </si>
  <si>
    <t>735159220</t>
  </si>
  <si>
    <t>Montáž otopných těles panelových dvouřadých délky do 1500 mm</t>
  </si>
  <si>
    <t>R73500001</t>
  </si>
  <si>
    <t>Deskové těleso s integrovaným termostatickým ventilem s hladkou čelní deskou s jemnými horizontálními prolisy 22-060110-60L</t>
  </si>
  <si>
    <t>Poznámka k položce:_x000D_
(typ/výška/délka), s integrovaným ventilem, nominální výkon 1304W při 70/50°C a teplotě v místnosti 20°C, pravé spodní připojení včetně uchycení na zeď</t>
  </si>
  <si>
    <t>R73500002</t>
  </si>
  <si>
    <t>Deskové těleso s integrovaným termostatickým ventilem s hladkou čelní deskou s jemnými horizontálními prolisy 22-060120-60L.1</t>
  </si>
  <si>
    <t>Poznámka k položce:_x000D_
(typ/výška/délka), s integrovaným ventilem, nominální výkon 1422W při 70/50°C a teplotě v místnosti 20°C, levé spodní připojení včetně uchycení na zeď</t>
  </si>
  <si>
    <t>R73500007</t>
  </si>
  <si>
    <t>Deskové těleso s integrovaným termostatickým ventilem  21-060040-60</t>
  </si>
  <si>
    <t>Poznámka k položce:_x000D_
(typ/výška/délka), s integrovaným ventilem, nominální výkon 374W při 70/50°C a teplotě v místnosti 20°C, pravé spodní připojení včetně uchycení na zeď</t>
  </si>
  <si>
    <t>R73500008</t>
  </si>
  <si>
    <t>Deskové těleso s integrovaným termostatickým ventilem  21-060050-60</t>
  </si>
  <si>
    <t>Poznámka k položce:_x000D_
(typ/výška/délka), s integrovaným ventilem, nominální výkon 467W při 70/50°C a teplotě v místnosti 20°C, pravé spodní připojení včetně uchycení na zeď</t>
  </si>
  <si>
    <t>R73500009</t>
  </si>
  <si>
    <t>Deskové těleso s integrovaným termostatickým ventilem  21-060060-60.1</t>
  </si>
  <si>
    <t>Poznámka k položce:_x000D_
(typ/výška/délka), s integrovaným ventilem, nominální výkon 561W při 70/50°C a teplotě v místnosti 20°C, levé spodní připojení včetně uchycení na zeď</t>
  </si>
  <si>
    <t>R73500010</t>
  </si>
  <si>
    <t>Deskové těleso s integrovaným termostatickým ventilem  21-060120-60</t>
  </si>
  <si>
    <t>Poznámka k položce:_x000D_
(typ/výška/délka), s integrovaným ventilem, nominální výkon 1121W při 70/50°C a teplotě v místnosti 20°C, pravé spodní připojení včetně uchycení na zeď</t>
  </si>
  <si>
    <t>R73500014</t>
  </si>
  <si>
    <t>Deskové těleso s integrovaným termostatickým ventilem  22-060050-60</t>
  </si>
  <si>
    <t>Poznámka k položce:_x000D_
(typ/výška/délka), s integrovaným ventilem, nominální výkon 609W při 70/50°C a teplotě v místnosti 20°C, pravé spodní připojení včetně uchycení na zeď</t>
  </si>
  <si>
    <t>R73500015</t>
  </si>
  <si>
    <t>Deskové těleso s integrovaným termostatickým ventilem  22-060070-60</t>
  </si>
  <si>
    <t>Poznámka k položce:_x000D_
(typ/výška/délka), s integrovaným ventilem, nominální výkon 852W při 70/50°C a teplotě v místnosti 20°C, pravé spodní připojení včetně uchycení na zeď</t>
  </si>
  <si>
    <t>R73500016</t>
  </si>
  <si>
    <t>Deskové těleso s integrovaným termostatickým ventilem  22-060090-60</t>
  </si>
  <si>
    <t>Poznámka k položce:_x000D_
(typ/výška/délka), s integrovaným ventilem, nominální výkon 1095W při 70/50°C a teplotě v místnosti 20°C, pravé spodní připojení včetně uchycení na zeď</t>
  </si>
  <si>
    <t>R37500017</t>
  </si>
  <si>
    <t>Deskové těleso s integrovaným termostatickým ventilem  22-060100-60</t>
  </si>
  <si>
    <t>Poznámka k položce:_x000D_
(typ/výška/délka), s integrovaným ventilem, nominální výkon 1217W při 70/50°C a teplotě v místnosti 20°C, pravé spodní připojení včetně uchycení na zeď</t>
  </si>
  <si>
    <t>R73500018</t>
  </si>
  <si>
    <t>Deskové těleso s integrovaným termostatickým ventilem  22-060110-60</t>
  </si>
  <si>
    <t>Poznámka k položce:_x000D_
(typ/výška/délka), s integrovaným ventilem, nominální výkon 1338W při 70/50°C a teplotě v místnosti 20°C, pravé spodní připojení včetně uchycení na zeď</t>
  </si>
  <si>
    <t>R73500019</t>
  </si>
  <si>
    <t>Deskové těleso s integrovaným termostatickým ventilem  22-060120-60</t>
  </si>
  <si>
    <t>Poznámka k položce:_x000D_
(typ/výška/délka), s integrovaným ventilem, nominální výkon 1460W při 70/50°C a teplotě v místnosti 20°C, pravé spodní připojení včetně uchycení na zeď</t>
  </si>
  <si>
    <t>R73500020</t>
  </si>
  <si>
    <t>Deskové těleso s integrovaným termostatickým ventilem  22-070140-60</t>
  </si>
  <si>
    <t>Poznámka k položce:_x000D_
(typ/výška/délka), s integrovaným ventilem, nominální výkon 1921W při 70/50°C a teplotě v místnosti 20°C, pravé spodní připojení včetně uchycení na zeď</t>
  </si>
  <si>
    <t>R73500022</t>
  </si>
  <si>
    <t>Deskové těleso s integrovaným termostatickým ventilem pozinkované  22-090080-60Z</t>
  </si>
  <si>
    <t>Poznámka k položce:_x000D_
(typ/výška/délka), s integrovaným ventilem, nominální výkon 1334W při 70/50°C a teplotě v místnosti 20°C, pravé spodní připojení, pozinkované včetně uchycení na zeď</t>
  </si>
  <si>
    <t>735159230</t>
  </si>
  <si>
    <t>Montáž otopných těles panelových dvouřadých délky do 1980 mm</t>
  </si>
  <si>
    <t>R73500011</t>
  </si>
  <si>
    <t>Deskové těleso s integrovaným termostatickým ventilem  21-060180-60</t>
  </si>
  <si>
    <t>Poznámka k položce:_x000D_
(typ/výška/délka), s integrovaným ventilem, nominální výkon 1681W při 70/50°C a teplotě v místnosti 20°C, pravé spodní připojení včetně uchycení na zeď</t>
  </si>
  <si>
    <t>R73500021</t>
  </si>
  <si>
    <t>Deskové těleso s integrovaným termostatickým ventilem  22-070160-60</t>
  </si>
  <si>
    <t>Poznámka k položce:_x000D_
(typ/výška/délka), s integrovaným ventilem, nominální výkon 2195W při 70/50°C a teplotě v místnosti 20°C, pravé spodní připojení včetně uchycení na zeď</t>
  </si>
  <si>
    <t>735159240</t>
  </si>
  <si>
    <t>Montáž otopných těles panelových dvouřadých do 2820 mm</t>
  </si>
  <si>
    <t>R73500012</t>
  </si>
  <si>
    <t>Deskové těleso s integrovaným termostatickým ventilem  21-060200-60</t>
  </si>
  <si>
    <t>Poznámka k položce:_x000D_
(typ/výška/délka), s integrovaným ventilem, nominální výkon 1868W při 70/50°C a teplotě v místnosti 20°C, pravé spodní připojení včetně uchycení na zeď</t>
  </si>
  <si>
    <t>R73500013</t>
  </si>
  <si>
    <t>Deskové těleso s integrovaným termostatickým ventilem  21-060260-60</t>
  </si>
  <si>
    <t>Poznámka k položce:_x000D_
(typ/výška/délka), s integrovaným ventilem, nominální výkon 2429W při 70/50°C a teplotě v místnosti 20°C, pravé spodní připojení včetně uchycení na zeď</t>
  </si>
  <si>
    <t>998735102</t>
  </si>
  <si>
    <t>Přesun hmot tonážní pro otopná tělesa v objektech v do 12 m</t>
  </si>
  <si>
    <t>998735193</t>
  </si>
  <si>
    <t>Příplatek k přesunu hmot tonážní 735 za zvětšený přesun do 500 m</t>
  </si>
  <si>
    <t xml:space="preserve">Konstrukce zámečnické   </t>
  </si>
  <si>
    <t>R76700003</t>
  </si>
  <si>
    <t>Montáž závěsů potrubí</t>
  </si>
  <si>
    <t>kg</t>
  </si>
  <si>
    <t>R76700004</t>
  </si>
  <si>
    <t>Závěsy potrubí</t>
  </si>
  <si>
    <t>Poznámka k položce:_x000D_
konzoly, pevné body a podobně</t>
  </si>
  <si>
    <t xml:space="preserve">"pro potrubí do DN50"   </t>
  </si>
  <si>
    <t xml:space="preserve">235*1,1   </t>
  </si>
  <si>
    <t xml:space="preserve">Dokončovací práce - nátěry   </t>
  </si>
  <si>
    <t>783614653</t>
  </si>
  <si>
    <t>Základní antikorozní jednonásobný syntetický samozákladující potrubí DN do 50 mm</t>
  </si>
  <si>
    <t xml:space="preserve">982*1,15   </t>
  </si>
  <si>
    <t>783615551</t>
  </si>
  <si>
    <t>Mezinátěr jednonásobný syntetický nátěr potrubí DN do 50 mm</t>
  </si>
  <si>
    <t>783617601</t>
  </si>
  <si>
    <t>Krycí jednonásobný syntetický nátěr potrubí DN do 50 mm</t>
  </si>
  <si>
    <t>900</t>
  </si>
  <si>
    <t xml:space="preserve">Prvotní napuštění systému   </t>
  </si>
  <si>
    <t>R90000001</t>
  </si>
  <si>
    <t>Proplach systému</t>
  </si>
  <si>
    <t>Poznámka k položce:_x000D_
před uvedením do provozu</t>
  </si>
  <si>
    <t>R90000002</t>
  </si>
  <si>
    <t>Zapůjčení deminaralizační patrony</t>
  </si>
  <si>
    <t>Poznámka k položce:_x000D_
Zapůjčení demineralizační patrony  pro první napuštění</t>
  </si>
  <si>
    <t>901</t>
  </si>
  <si>
    <t xml:space="preserve">Požární prostupy   </t>
  </si>
  <si>
    <t>R90100001</t>
  </si>
  <si>
    <t>Montáž požárního prostupu do D150</t>
  </si>
  <si>
    <t>R90100002</t>
  </si>
  <si>
    <t>Požární prostup D65, EI30</t>
  </si>
  <si>
    <t>Poznámka k položce:_x000D_
certifikovaný systém např.Hilti, včetně revizního štítku</t>
  </si>
  <si>
    <t>R90100003</t>
  </si>
  <si>
    <t>Požární prostup D95, EI30</t>
  </si>
  <si>
    <t>R90100004</t>
  </si>
  <si>
    <t>Montáž požární manžety do D150</t>
  </si>
  <si>
    <t>R90100005</t>
  </si>
  <si>
    <t>Požární manžeta D95, EI30</t>
  </si>
  <si>
    <t>902</t>
  </si>
  <si>
    <t xml:space="preserve">Podlahové vytápění elektrické   </t>
  </si>
  <si>
    <t>R90200001</t>
  </si>
  <si>
    <t>Montáž elektrického podlahového vytápění</t>
  </si>
  <si>
    <t>R90200004</t>
  </si>
  <si>
    <t>Elektrické topné kabely 15W/m, délka 59m</t>
  </si>
  <si>
    <t>R90200015</t>
  </si>
  <si>
    <t>Elektrické topné kabely 15W/m, délka 84m</t>
  </si>
  <si>
    <t>R90200003</t>
  </si>
  <si>
    <t>Elektrické topné kabely 15W/m, délka 105m</t>
  </si>
  <si>
    <t>R90200002</t>
  </si>
  <si>
    <t>Elektrické topné kabely 15W/m, délka 129m</t>
  </si>
  <si>
    <t>R90200013</t>
  </si>
  <si>
    <t>Elektrické topné kabely 10W/m, délka 46m</t>
  </si>
  <si>
    <t>R90200005</t>
  </si>
  <si>
    <t>Elektrické topné kabely 10W/m, délka 65m</t>
  </si>
  <si>
    <t>R90200012</t>
  </si>
  <si>
    <t>Elektrické topné kabely 10W/m, délka 79m</t>
  </si>
  <si>
    <t>R90200005.1</t>
  </si>
  <si>
    <t>Elektrické topné kabely 10W/m, délka 100m</t>
  </si>
  <si>
    <t>R90200011</t>
  </si>
  <si>
    <t>Elektrické topné kabely 10W/m, délka 107m</t>
  </si>
  <si>
    <t>R90200010</t>
  </si>
  <si>
    <t>Elektrické topné kabely 10W/m, délka 158m</t>
  </si>
  <si>
    <t>R90200014</t>
  </si>
  <si>
    <t>Elektrické topné kabely 10W/m, délka 190m</t>
  </si>
  <si>
    <t>R90200007</t>
  </si>
  <si>
    <t>Elektrické topné kabely 10W/m, délka 235m</t>
  </si>
  <si>
    <t>R90200008</t>
  </si>
  <si>
    <t>Elektrické topné kabely 10W/m, délka 278m</t>
  </si>
  <si>
    <t>R90200015.1</t>
  </si>
  <si>
    <t>Úchytný pásek pro topné kabely</t>
  </si>
  <si>
    <t xml:space="preserve">605*1,1   </t>
  </si>
  <si>
    <t>R90200019</t>
  </si>
  <si>
    <t>Ohebná ochranná trubka</t>
  </si>
  <si>
    <t>Poznámka k položce:_x000D_
pro podlahovou sondu, ostatní dodávka EI</t>
  </si>
  <si>
    <t xml:space="preserve">9*1,1   </t>
  </si>
  <si>
    <t>R90200020</t>
  </si>
  <si>
    <t>Dilatační obvodový pás samolepící</t>
  </si>
  <si>
    <t>Poznámka k položce:_x000D_
se samolepící fólií</t>
  </si>
  <si>
    <t xml:space="preserve">607*1,1   </t>
  </si>
  <si>
    <t>R90200021</t>
  </si>
  <si>
    <t>Dilatační pás/lišta</t>
  </si>
  <si>
    <t xml:space="preserve">112*1,1   </t>
  </si>
  <si>
    <t>R90200022</t>
  </si>
  <si>
    <t>Folie reflexní rastrová</t>
  </si>
  <si>
    <t xml:space="preserve">583*1,1   </t>
  </si>
  <si>
    <t>903</t>
  </si>
  <si>
    <t xml:space="preserve">Podlahové vytápění teplovodní   </t>
  </si>
  <si>
    <t>R90000001.1</t>
  </si>
  <si>
    <t>Montáž podlahového vytápění</t>
  </si>
  <si>
    <t>R90300002</t>
  </si>
  <si>
    <t>Plastové potrubí PE-Xa 16x2,0 UAXTM TECH</t>
  </si>
  <si>
    <t xml:space="preserve">1032*1,1   </t>
  </si>
  <si>
    <t>R90300004</t>
  </si>
  <si>
    <t>Systémová nopová deska bez izolace s hydroizolační funkcí</t>
  </si>
  <si>
    <t>Poznámka k položce:_x000D_
S HYDROIZOLAČNÍ FUNKCÍ, BEZ PŘÍDAVNÉ TEPELNÉ IZOLACE, PRO POTRUBÍ 16mm, ROZTEČ PO 50mm</t>
  </si>
  <si>
    <t xml:space="preserve">179*1,15   </t>
  </si>
  <si>
    <t>R90300005</t>
  </si>
  <si>
    <t>Patrový plastový rozdělovač a sběrač 10-cestný</t>
  </si>
  <si>
    <t>Poznámka k položce:_x000D_
po.RZ1 - PLASTOVÝ MODULÁRNÍ ROZDĚLOVAČ/SBĚRAČ PODLAHOVÉHO VYTÁPĚNÍ S PRŮTOKOMĚREM A NASTAVITELNÝMI A UZAVÍRATELNÝMI ŠROUBENÍMI, 10 OKRUHŮ (UMÍSTĚNÍ DO SKŘÍNĚ PŘÍSLUŠNÉ VELIKOSTI POD OMÍTKU, SKŘÍŇ Z POZINKOVANÉHO PLECHU S ODNÍMATELNÝMI DVIŘKY, BÍLÁ BARVA, VÝŠKA SKŘÍNĚ 820-910mm/HLOUBKA 120-180mm/DÉLKA 950mm)</t>
  </si>
  <si>
    <t>R90300007</t>
  </si>
  <si>
    <t>Obvodový dilatační pás</t>
  </si>
  <si>
    <t>Poznámka k položce:_x000D_
samolepící spára 10mm</t>
  </si>
  <si>
    <t xml:space="preserve">82*1,15   </t>
  </si>
  <si>
    <t>R90300020</t>
  </si>
  <si>
    <t>Spárový profil</t>
  </si>
  <si>
    <t xml:space="preserve">21*1,15   </t>
  </si>
  <si>
    <t>R90300009</t>
  </si>
  <si>
    <t>Svěrné šroubení</t>
  </si>
  <si>
    <t>Poznámka k položce:_x000D_
PE-Xa16x2,0-G3/4 Eurokonus</t>
  </si>
  <si>
    <t>R90300011</t>
  </si>
  <si>
    <t>Plastový vodící oblouk</t>
  </si>
  <si>
    <t>Poznámka k položce:_x000D_
PLASTOVÝ VODÍCÍ OBLOUK PRO POTRUBÍ 14-17</t>
  </si>
  <si>
    <t>R90300012</t>
  </si>
  <si>
    <t>Skříň rozdělovače pro 10 okruhů</t>
  </si>
  <si>
    <t>Poznámka k položce:_x000D_
SKŘÍŇ ROZDĚLOVAČE, POD OMÍTKU, ŠÍŘKA 950mm, BÍLÁ</t>
  </si>
  <si>
    <t>R90300014</t>
  </si>
  <si>
    <t>Elektrotermický pohon</t>
  </si>
  <si>
    <t>Poznámka k položce:_x000D_
TERMOPOHON, 24V, PRO PLASTOVÉ ROZDĚLOVAČE</t>
  </si>
  <si>
    <t>R90300017</t>
  </si>
  <si>
    <t>Ochranná trubka</t>
  </si>
  <si>
    <t>Poznámka k položce:_x000D_
CHRÁNIČKA "SUCHÝ ZIP" NA POTRUBÍ DO 20mm, PŘECHOD PŘES DILATAČNÍ PÁS</t>
  </si>
  <si>
    <t xml:space="preserve">52*1,15   </t>
  </si>
  <si>
    <t>R90300022</t>
  </si>
  <si>
    <t>Základní sada pro modulární plastový rozdělovač</t>
  </si>
  <si>
    <t>Poznámka k položce:_x000D_
obsahuje konzoly, teploměr, odvzdušnění, uzávěry, vypouštění, obtokový ventil</t>
  </si>
  <si>
    <t>R90300023</t>
  </si>
  <si>
    <t>Set připojovacích kolen pro plastový rozdělovač</t>
  </si>
  <si>
    <t>904</t>
  </si>
  <si>
    <t xml:space="preserve">Topná zkouška   </t>
  </si>
  <si>
    <t>R90100001.1</t>
  </si>
  <si>
    <t>První stupeň topné zkoušky</t>
  </si>
  <si>
    <t>Poznámka k položce:_x000D_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t>
  </si>
  <si>
    <t>R90400002</t>
  </si>
  <si>
    <t>Druhý stupeň topné zkoušky</t>
  </si>
  <si>
    <t>Poznámka k položce:_x000D_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t>
  </si>
  <si>
    <t>905</t>
  </si>
  <si>
    <t xml:space="preserve">Koordinace   </t>
  </si>
  <si>
    <t>R90500001</t>
  </si>
  <si>
    <t>Obhlídka staveniště před objednávkou materiálu</t>
  </si>
  <si>
    <t>905000002</t>
  </si>
  <si>
    <t>Koordinace s ostatními profesemi</t>
  </si>
  <si>
    <t>905000003</t>
  </si>
  <si>
    <t>Základní proškolení uživatele</t>
  </si>
  <si>
    <t>902000004</t>
  </si>
  <si>
    <t>Vyregulování systému</t>
  </si>
  <si>
    <t>ZTI - ZDRAVOTECHNIKA</t>
  </si>
  <si>
    <t xml:space="preserve">HSV - Práce a dodávky HSV   </t>
  </si>
  <si>
    <t xml:space="preserve">    1 - Zemní práce   </t>
  </si>
  <si>
    <t xml:space="preserve">    8 - Trubní vedení   </t>
  </si>
  <si>
    <t xml:space="preserve">    9 - Ostatní konstrukce a práce, bourání   </t>
  </si>
  <si>
    <t xml:space="preserve">    721 - Zdravotechnika - vnitřní kanalizace   </t>
  </si>
  <si>
    <t xml:space="preserve">    722 - Zdravotechnika - vnitřní vodovod   </t>
  </si>
  <si>
    <t xml:space="preserve">    724 - Zdravotechnika - strojní vybavení   </t>
  </si>
  <si>
    <t xml:space="preserve">    725 - Zdravotechnika - zařizovací předměty   </t>
  </si>
  <si>
    <t xml:space="preserve">    726 - Zdravotechnika - předstěnové instalace   </t>
  </si>
  <si>
    <t xml:space="preserve">    727 - Zdravotechnika - požární ochrana   </t>
  </si>
  <si>
    <t xml:space="preserve">Práce a dodávky HSV   </t>
  </si>
  <si>
    <t xml:space="preserve">Zemní práce   </t>
  </si>
  <si>
    <t>132201201</t>
  </si>
  <si>
    <t>Hloubení zapažených i nezapažených rýh šířky přes 600 do 2 000 mm s urovnáním dna do předepsaného profilu a spádu v hornině tř. 3 do 100 m3</t>
  </si>
  <si>
    <t xml:space="preserve">Výkopy dešťové kanalizace   </t>
  </si>
  <si>
    <t xml:space="preserve">-větev D1   </t>
  </si>
  <si>
    <t xml:space="preserve">0,8*0,9*(25+11+4+4,6)   </t>
  </si>
  <si>
    <t xml:space="preserve">-větev D2   </t>
  </si>
  <si>
    <t xml:space="preserve">0,8*0,9*(25+6+5,5)   </t>
  </si>
  <si>
    <t xml:space="preserve">Výkopy splaškové kanalizace   </t>
  </si>
  <si>
    <t xml:space="preserve">0,8*1,3*(27+42+4+1,5+4+5,5+5,5+4,9+4,2)   </t>
  </si>
  <si>
    <t>162201102</t>
  </si>
  <si>
    <t>Vodorovné přemístění výkopku nebo sypaniny po suchu na obvyklém dopravním prostředku, bez naložení výkopku, avšak se složením bez rozhrnutí z horniny tř. 1 až 4 na vzdálenost přes 20 do 50 m</t>
  </si>
  <si>
    <t xml:space="preserve">Dešťová kanalizace   </t>
  </si>
  <si>
    <t xml:space="preserve">0,8*(0,9-(0,2+0,3))*((25+11+4+4,6)+(25+6+5,5))   </t>
  </si>
  <si>
    <t xml:space="preserve">Splašková kanalizace   </t>
  </si>
  <si>
    <t xml:space="preserve">0,8*(0,9-(0,16+0,3))*(27+42+4+1,5+4+5,5+5,5+4,9+4,2)   </t>
  </si>
  <si>
    <t>175151101</t>
  </si>
  <si>
    <t>Obsypání potrubí strojně sypaninou z vhodných hornin tř. 1 až 4 nebo materiálem připraveným podél výkopu ve vzdálenosti do 3 m od jeho kraje, pro jakoukoliv hloubku výkopu a míru zhutnění bez prohození sypaniny</t>
  </si>
  <si>
    <t xml:space="preserve">0,8*(0,2+0,3)*((25+11+4+4,6)+(25+6+5,5))   </t>
  </si>
  <si>
    <t xml:space="preserve">0,8*(0,16+0,3)*(27+42+4+1,5+4+5,5+5,5+4,9+4,2)   </t>
  </si>
  <si>
    <t>58337302</t>
  </si>
  <si>
    <t>štěrkopísek frakce 0/16</t>
  </si>
  <si>
    <t xml:space="preserve">68,725 * 2   </t>
  </si>
  <si>
    <t xml:space="preserve">Trubní vedení   </t>
  </si>
  <si>
    <t>871315231</t>
  </si>
  <si>
    <t>Kanalizační potrubí z tvrdého PVC v otevřeném výkopu ve sklonu do 20 %, hladkého plnostěnného jednovrstvého, tuhost třídy SN 10 DN 160</t>
  </si>
  <si>
    <t xml:space="preserve">- Splašková kanalizace za vyústěním z objektu   </t>
  </si>
  <si>
    <t xml:space="preserve">4,1*1,15   </t>
  </si>
  <si>
    <t>871355231</t>
  </si>
  <si>
    <t>Kanalizační potrubí z tvrdého PVC v otevřeném výkopu ve sklonu do 20 %, hladkého plnostěnného jednovrstvého, tuhost třídy SN 10 DN 200</t>
  </si>
  <si>
    <t xml:space="preserve">- Dešťová kanalizace za vyústěním z objektu   </t>
  </si>
  <si>
    <t xml:space="preserve">(4,1*2)*1,15   </t>
  </si>
  <si>
    <t>894812201</t>
  </si>
  <si>
    <t>Revizní a čistící šachta z polypropylenu PP pro hladké trouby DN 425 šachtové dno (DN šachty / DN trubního vedení) DN 425/150 průtočné</t>
  </si>
  <si>
    <t>894812205</t>
  </si>
  <si>
    <t>Revizní a čistící šachta z polypropylenu PP pro hladké trouby DN 425 šachtové dno (DN šachty / DN trubního vedení) DN 425/200 průtočné</t>
  </si>
  <si>
    <t>894812231</t>
  </si>
  <si>
    <t>Revizní a čistící šachta z polypropylenu PP pro hladké trouby DN 425 roura šachtová korugovaná bez hrdla, světlé hloubky 1500 mm</t>
  </si>
  <si>
    <t>894812232</t>
  </si>
  <si>
    <t>Revizní a čistící šachta z polypropylenu PP pro hladké trouby DN 425 roura šachtová korugovaná bez hrdla, světlé hloubky 2000 mm</t>
  </si>
  <si>
    <t>894812241</t>
  </si>
  <si>
    <t>Revizní a čistící šachta z polypropylenu PP pro hladké trouby DN 425 roura šachtová korugovaná teleskopická (včetně těsnění) 375 mm</t>
  </si>
  <si>
    <t>894812249</t>
  </si>
  <si>
    <t>Revizní a čistící šachta z polypropylenu PP pro hladké trouby DN 425 roura šachtová korugovaná Příplatek k cenám 2231 - 2242 za uříznutí šachtové roury</t>
  </si>
  <si>
    <t>894812262</t>
  </si>
  <si>
    <t>Revizní a čistící šachta z polypropylenu PP pro hladké trouby DN 425 poklop litinový (pro třídu zatížení) plný do teleskopické trubky (D400)</t>
  </si>
  <si>
    <t xml:space="preserve">Ostatní konstrukce a práce, bourání   </t>
  </si>
  <si>
    <t>974032132</t>
  </si>
  <si>
    <t>Vysekání rýh ve stěnách nebo příčkách z dutých cihel, tvárnic, desek z dutých cihel nebo tvárnic do hl. 50 mm a šířky do 70 mm</t>
  </si>
  <si>
    <t>974032153</t>
  </si>
  <si>
    <t>Vysekání rýh ve stěnách nebo příčkách z dutých cihel, tvárnic, desek z dutých cihel nebo tvárnic do hl. 100 mm a šířky do 100 mm</t>
  </si>
  <si>
    <t>721</t>
  </si>
  <si>
    <t xml:space="preserve">Zdravotechnika - vnitřní kanalizace   </t>
  </si>
  <si>
    <t>721173401</t>
  </si>
  <si>
    <t>Potrubí z plastových trub PVC SN4 svodné (ležaté) DN 110</t>
  </si>
  <si>
    <t xml:space="preserve">- Splašková kanalizace   </t>
  </si>
  <si>
    <t xml:space="preserve">(1+3,5+1,5+1,9+3,1+2+1,9+1,3+1,3+0,8+0,7+6)*1,15   </t>
  </si>
  <si>
    <t>721173402</t>
  </si>
  <si>
    <t>Potrubí z plastových trub PVC SN4 svodné (ležaté) DN 125</t>
  </si>
  <si>
    <t xml:space="preserve">-Splašková kanalizace   </t>
  </si>
  <si>
    <t xml:space="preserve">(1,5+2+0,6+7,3+2+3,1+2+3,1+3)*1,15   </t>
  </si>
  <si>
    <t xml:space="preserve">-Dešťová kanalizace   </t>
  </si>
  <si>
    <t xml:space="preserve">(2,5+1,8+1,4+3,4+3,7)*1,15   </t>
  </si>
  <si>
    <t>721173606</t>
  </si>
  <si>
    <t>Potrubí z plastových trub polyetylenové svařované svodné (ležaté) DN 100</t>
  </si>
  <si>
    <t xml:space="preserve">-Dešťová kanalizace nad prostory archivu   </t>
  </si>
  <si>
    <t xml:space="preserve">(0,5+0,6+1,8+4,7+8,5)*1,15   </t>
  </si>
  <si>
    <t>721173607</t>
  </si>
  <si>
    <t>Potrubí z plastových trub polyetylenové svařované svodné (ležaté) DN 125</t>
  </si>
  <si>
    <t xml:space="preserve">(13,3*2+1*2)*1,15   </t>
  </si>
  <si>
    <t>721173706</t>
  </si>
  <si>
    <t>Potrubí z plastových trub polyetylenové svařované odpadní (svislé) DN 100</t>
  </si>
  <si>
    <t xml:space="preserve">-Dešťová kanalizace nad prostory archivu odpadní   </t>
  </si>
  <si>
    <t xml:space="preserve">(4,5)*1,15   </t>
  </si>
  <si>
    <t>721174004</t>
  </si>
  <si>
    <t>Potrubí z plastových trub polypropylenové svodné (ležaté) DN 75</t>
  </si>
  <si>
    <t xml:space="preserve">-Splašková pod stropem   </t>
  </si>
  <si>
    <t xml:space="preserve">(1,5+5+2+3,5+2,9+3,7+4,8+2,5+2+3,6+1,7+1,6+5,2+4,5+0,7+4+5+5,2+0,7*2)*1,15   </t>
  </si>
  <si>
    <t>721174005</t>
  </si>
  <si>
    <t>Potrubí z plastových trub polypropylenové svodné (ležaté) DN 110</t>
  </si>
  <si>
    <t xml:space="preserve">(2,8+2+1,8+1,2+1+1)*1,15   </t>
  </si>
  <si>
    <t>721174024</t>
  </si>
  <si>
    <t>Potrubí z plastových trub polypropylenové odpadní (svislé) DN 75</t>
  </si>
  <si>
    <t xml:space="preserve">(11,5+7+5+3,6)*1,15   </t>
  </si>
  <si>
    <t>721174025</t>
  </si>
  <si>
    <t>Potrubí z plastových trub polypropylenové odpadní (svislé) DN 110</t>
  </si>
  <si>
    <t xml:space="preserve">(15*4)*1,15   </t>
  </si>
  <si>
    <t>721174042</t>
  </si>
  <si>
    <t>Potrubí z plastových trub polypropylenové připojovací DN 40</t>
  </si>
  <si>
    <t xml:space="preserve">-Odvod kondenzátu   </t>
  </si>
  <si>
    <t xml:space="preserve">(5,2+3,3+2,5+1,5+2+1,5+2.8+2+2,4+4,5*5+3,5+5,9*2+4,8+8+5)*1,15   </t>
  </si>
  <si>
    <t>721174043</t>
  </si>
  <si>
    <t>Potrubí z plastových trub polypropylenové připojovací DN 50</t>
  </si>
  <si>
    <t xml:space="preserve">-Odvod kondenzátu v č.m. 40-01   </t>
  </si>
  <si>
    <t xml:space="preserve">(2*6+0,5*20)   </t>
  </si>
  <si>
    <t xml:space="preserve">-Odvod kondenzátu z jednotek nad  prostorem archivu   </t>
  </si>
  <si>
    <t xml:space="preserve">(5,9*7+3,2+2,6+5,4)*1,15   </t>
  </si>
  <si>
    <t xml:space="preserve">(2,4+0,9+1+0,8+2,1+0,7+4+2+1,2+1,3+1,9+4,8)*1,15   </t>
  </si>
  <si>
    <t>721174045</t>
  </si>
  <si>
    <t>Potrubí z plastových trub polypropylenové připojovací DN 110</t>
  </si>
  <si>
    <t xml:space="preserve">(3,5+2,3+2,8)*1,15   </t>
  </si>
  <si>
    <t>721174054</t>
  </si>
  <si>
    <t>Potrubí z plastových trub polypropylenové dešťové DN 75</t>
  </si>
  <si>
    <t xml:space="preserve">-Dešťové potrubí z terasových vpustí vedené v T.I.   </t>
  </si>
  <si>
    <t xml:space="preserve">(7,7*2)*1,15   </t>
  </si>
  <si>
    <t>721175021</t>
  </si>
  <si>
    <t>Potrubí z plastových trub polypropylenové tlumící zvuk dvouvrstvé svodné (ležaté) DN 100</t>
  </si>
  <si>
    <t xml:space="preserve">-Dešťová kanalizace pod stropem   </t>
  </si>
  <si>
    <t xml:space="preserve">(5+2,8+1,6+5+2,8+5,5)*1,15   </t>
  </si>
  <si>
    <t>721175022</t>
  </si>
  <si>
    <t>Potrubí z plastových trub polypropylenové tlumící zvuk dvouvrstvé svodné (ležaté) DN 125</t>
  </si>
  <si>
    <t xml:space="preserve">(9+7,8+3+4+5,8+9)*1,15   </t>
  </si>
  <si>
    <t>721175023</t>
  </si>
  <si>
    <t>Potrubí z plastových trub polypropylenové tlumící zvuk dvouvrstvé svodné (ležaté) DN 150</t>
  </si>
  <si>
    <t xml:space="preserve">(5,5+2+3,3+4+3,9+2,3+2)*1,15   </t>
  </si>
  <si>
    <t>721175033</t>
  </si>
  <si>
    <t>Potrubí z plastových trub polypropylenové tlumící zvuk dvouvrstvé dešťové DN 125</t>
  </si>
  <si>
    <t xml:space="preserve">(14,1*2)*1,15   </t>
  </si>
  <si>
    <t>721175034</t>
  </si>
  <si>
    <t>Potrubí z plastových trub polypropylenové tlumící zvuk dvouvrstvé dešťové DN 150</t>
  </si>
  <si>
    <t xml:space="preserve">(11*2)*1,15   </t>
  </si>
  <si>
    <t>721194104</t>
  </si>
  <si>
    <t>Vyměření přípojek na potrubí vyvedení a upevnění odpadních výpustek DN 40</t>
  </si>
  <si>
    <t xml:space="preserve">-Kondenzáty   </t>
  </si>
  <si>
    <t xml:space="preserve">44   </t>
  </si>
  <si>
    <t>721194105</t>
  </si>
  <si>
    <t>Vyměření přípojek na potrubí vyvedení a upevnění odpadních výpustek DN 50</t>
  </si>
  <si>
    <t xml:space="preserve">-Přípojky zařizovacích předmětů   </t>
  </si>
  <si>
    <t xml:space="preserve">25   </t>
  </si>
  <si>
    <t xml:space="preserve">-Napojení kondenzátů VZT jednotek v č.m. 40.01   </t>
  </si>
  <si>
    <t xml:space="preserve">20   </t>
  </si>
  <si>
    <t>721194107</t>
  </si>
  <si>
    <t>Vyměření přípojek na potrubí vyvedení a upevnění odpadních výpustek DN 70</t>
  </si>
  <si>
    <t>721194109</t>
  </si>
  <si>
    <t>Vyměření přípojek na potrubí vyvedení a upevnění odpadních výpustek DN 100</t>
  </si>
  <si>
    <t>721211911</t>
  </si>
  <si>
    <t>Podlahové vpusti montáž podlahových vpustí DN 40/50</t>
  </si>
  <si>
    <t>R721001</t>
  </si>
  <si>
    <t>Vpusť podlahová se bočním odtokem DN50, se zápachovou uzávěrkou zajišťující pachotěsnost i bez vody v zápachové uzávěrce</t>
  </si>
  <si>
    <t>Poznámka k položce:_x000D_
- Pro nášlapnou vrstvu podlahový nátěr na bázi epoxidové pryskyřice naneseném na samonivelačním potěru (anhydritu)</t>
  </si>
  <si>
    <t>721211912</t>
  </si>
  <si>
    <t>Podlahové vpusti montáž podlahových vpustí DN 50/75</t>
  </si>
  <si>
    <t>R721002</t>
  </si>
  <si>
    <t>Vpusť podlahová se svislým odtokem DN75, se zápachovou uzávěrkou zajišťující pachotěsnost i bez vody v zápachové uzávěrce</t>
  </si>
  <si>
    <t>721211913</t>
  </si>
  <si>
    <t>Podlahové vpusti montáž podlahových vpustí DN 110</t>
  </si>
  <si>
    <t>R721003</t>
  </si>
  <si>
    <t>Vpusť podlahová se svislým odtokem DN110, se zápachovou uzávěrkou zajišťující pachotěsnost i bez vody v zápachové uzávěrce</t>
  </si>
  <si>
    <t>R721004</t>
  </si>
  <si>
    <t>Balkonový a terasový vtok s nezámrznou zápachovou uzávěrkou, se svislým odtokem DN75, vyhřívaný</t>
  </si>
  <si>
    <t>Poznámka k položce:_x000D_
- Na konstrukci spodní parotěsnící vrstva SBS alfaltový pás, horní hydroizolační vrstva na bázi PVC-P + izolační souprava pro napojení asfaltové HI + nástavec s pevnou iolační přirubou včetně O-kroužku + izolační souprava pro PVC fóliové hydroizolace + plochý záchytný koš pro použití u dlažeb kladených na rektifikačních terčích + vyhřívací sada proti zamrznutí</t>
  </si>
  <si>
    <t>721212122</t>
  </si>
  <si>
    <t>Odtokové sprchové žlaby se zápachovou uzávěrkou a krycím roštem délky 750 mm</t>
  </si>
  <si>
    <t>R721005</t>
  </si>
  <si>
    <t>Střešní vtok se svislým odtokem DN125, pro nepochůzí střechy, s aslfatovou manžetou, s elektrickým ohřevem</t>
  </si>
  <si>
    <t>Poznámka k položce:_x000D_
- Pro střechy s asfaltovou HI - Střešní vtok se svislým odtokem DN125 s asfaltovou manžetou + nástavec s asfaltovou manžetou + záchytný košík hrubých nečistot</t>
  </si>
  <si>
    <t xml:space="preserve">- Střešní vtoky ozn. "VS1"   </t>
  </si>
  <si>
    <t xml:space="preserve">3+4   </t>
  </si>
  <si>
    <t>R721008</t>
  </si>
  <si>
    <t>Střešní vtok se svislým odtokem DN110, pro nepochůzí střechy, s aslfatovou manžetou, s elektrickým ohřevem</t>
  </si>
  <si>
    <t>Poznámka k položce:_x000D_
- Pro střechy s asfaltovou HI - Střešní vtok se svislým odtokem DN110 s asfaltovou manžetou + nástavec s asfaltovou manžetou + záchytný košík hrubých nečistot</t>
  </si>
  <si>
    <t xml:space="preserve">- Střešní vtoky ozn. "VS2"   </t>
  </si>
  <si>
    <t xml:space="preserve">4   </t>
  </si>
  <si>
    <t>R721006</t>
  </si>
  <si>
    <t>Střešní vtok s nástavcem pro nouzové odvodnění střechy s dolním odtokem DN110, s asfaltovou mažetou, s elektrickým ohřevem</t>
  </si>
  <si>
    <t xml:space="preserve">- Střešní vtoky ozn. "VN"   </t>
  </si>
  <si>
    <t xml:space="preserve">2   </t>
  </si>
  <si>
    <t>R721007</t>
  </si>
  <si>
    <t>Vodní zápachová uzávěrka pro odvod kondenzátu DN40-transparentní s připojením DN32, s přídavnou mechanickou uzávěrkou, s otáčivým ramenem odtoku</t>
  </si>
  <si>
    <t xml:space="preserve">3+5+4+28   </t>
  </si>
  <si>
    <t>721242116</t>
  </si>
  <si>
    <t>Lapače střešních splavenin polypropylenové (PP) s kulovým kloubem na odtoku DN 125</t>
  </si>
  <si>
    <t>Poznámka k položce:_x000D_
- Lapač střešních splavenin s bočním přítokem pro napojení odpadního potrubí vedeného v T.I. obvodového pláště</t>
  </si>
  <si>
    <t>721290111</t>
  </si>
  <si>
    <t>Zkouška těsnosti kanalizace v objektech vodou do DN 125</t>
  </si>
  <si>
    <t xml:space="preserve">- Svodného potrubí v zemí   </t>
  </si>
  <si>
    <t xml:space="preserve">28,75+43,10   </t>
  </si>
  <si>
    <t>721290112</t>
  </si>
  <si>
    <t>Zkouška těsnosti kanalizace v objektech vodou DN 150 nebo DN 200</t>
  </si>
  <si>
    <t xml:space="preserve">87,285+41,17   </t>
  </si>
  <si>
    <t>998721202</t>
  </si>
  <si>
    <t>Přesun hmot pro vnitřní kanalizace stanovený procentní sazbou (%) z ceny vodorovná dopravní vzdálenost do 50 m v objektech výšky přes 6 do 12 m</t>
  </si>
  <si>
    <t>%</t>
  </si>
  <si>
    <t>722</t>
  </si>
  <si>
    <t xml:space="preserve">Zdravotechnika - vnitřní vodovod   </t>
  </si>
  <si>
    <t>722130234</t>
  </si>
  <si>
    <t>Potrubí z ocelových trubek pozinkovaných závitových svařovaných běžných DN 32</t>
  </si>
  <si>
    <t xml:space="preserve">10,5*1,15   </t>
  </si>
  <si>
    <t>722130235</t>
  </si>
  <si>
    <t>Potrubí z ocelových trubek pozinkovaných závitových svařovaných běžných DN 40</t>
  </si>
  <si>
    <t xml:space="preserve">47,4*1,15   </t>
  </si>
  <si>
    <t>722130236</t>
  </si>
  <si>
    <t>Potrubí z ocelových trubek pozinkovaných závitových svařovaných běžných DN 50</t>
  </si>
  <si>
    <t xml:space="preserve">4*1,15   </t>
  </si>
  <si>
    <t>722176111</t>
  </si>
  <si>
    <t>Montáž potrubí z plastových trub svařovaných polyfuzně D do 16 mm</t>
  </si>
  <si>
    <t xml:space="preserve">- Studená voda   </t>
  </si>
  <si>
    <t xml:space="preserve">10*1,15   </t>
  </si>
  <si>
    <t xml:space="preserve">- Teplá voda   </t>
  </si>
  <si>
    <t>28614100</t>
  </si>
  <si>
    <t>trubka vícevrstvá pro vodu a topení PP-RCT S 3,2 D 16mm</t>
  </si>
  <si>
    <t>722176112</t>
  </si>
  <si>
    <t>Montáž potrubí z plastových trub svařovaných polyfuzně D přes 16 do 20 mm</t>
  </si>
  <si>
    <t xml:space="preserve">60*1,15   </t>
  </si>
  <si>
    <t xml:space="preserve">32,5*1,15   </t>
  </si>
  <si>
    <t>28614101</t>
  </si>
  <si>
    <t>trubka vícevrstvá pro vodu a topení PP-RCT S 3,2 D 20mm</t>
  </si>
  <si>
    <t>722176113</t>
  </si>
  <si>
    <t>Montáž potrubí z plastových trub svařovaných polyfuzně D přes 20 do 25 mm</t>
  </si>
  <si>
    <t xml:space="preserve">64,5*1,15   </t>
  </si>
  <si>
    <t>28614102</t>
  </si>
  <si>
    <t>trubka vícevrstvá pro vodu a topení PP-RCT S 3,2 D 25mm</t>
  </si>
  <si>
    <t>722176114</t>
  </si>
  <si>
    <t>Montáž potrubí z plastových trub svařovaných polyfuzně D přes 25 do 32 mm</t>
  </si>
  <si>
    <t xml:space="preserve">(16,5+10,6)*1,15   </t>
  </si>
  <si>
    <t>28614103</t>
  </si>
  <si>
    <t>trubka vícevrstvá pro vodu a topení PP-RCT S 3,2 D 32mm</t>
  </si>
  <si>
    <t>722176115</t>
  </si>
  <si>
    <t>Montáž potrubí z plastových trub svařovaných polyfuzně D přes 32 do 40 mm</t>
  </si>
  <si>
    <t xml:space="preserve">56*1,15   </t>
  </si>
  <si>
    <t>28614104</t>
  </si>
  <si>
    <t>trubka vícevrstvá pro vodu a topení PP-RCT S 3,2 D 40mm</t>
  </si>
  <si>
    <t>722176116</t>
  </si>
  <si>
    <t>Montáž potrubí z plastových trub svařovaných polyfuzně D přes 40 do 50 mm</t>
  </si>
  <si>
    <t xml:space="preserve">6,5*1,15   </t>
  </si>
  <si>
    <t>28614105</t>
  </si>
  <si>
    <t>trubka vícevrstvá pro vodu a topení PP-RCT S 3,2 D 50mm</t>
  </si>
  <si>
    <t>722181221</t>
  </si>
  <si>
    <t>Ochrana potrubí termoizolačními trubicemi z pěnového polyetylenu PE přilepenými v příčných a podélných spojích, tloušťky izolace přes 6 do 9 mm, vnitřního průměru izolace DN do 22 mm</t>
  </si>
  <si>
    <t xml:space="preserve">- Připojovací potrubí studené vody   </t>
  </si>
  <si>
    <t xml:space="preserve">- Připojovací potrubí teplé vody   </t>
  </si>
  <si>
    <t>722181241</t>
  </si>
  <si>
    <t>Ochrana potrubí termoizolačními trubicemi z pěnového polyetylenu PE přilepenými v příčných a podélných spojích, tloušťky izolace přes 13 do 20 mm, vnitřního průměru izolace DN do 22 mm</t>
  </si>
  <si>
    <t xml:space="preserve">53*1,15   </t>
  </si>
  <si>
    <t>722181242</t>
  </si>
  <si>
    <t>Ochrana potrubí termoizolačními trubicemi z pěnového polyetylenu PE přilepenými v příčných a podélných spojích, tloušťky izolace přes 13 do 20 mm, vnitřního průměru izolace DN přes 22 do 45 mm</t>
  </si>
  <si>
    <t>722181246</t>
  </si>
  <si>
    <t>Ochrana potrubí termoizolačními trubicemi z pěnového polyetylenu PE přilepenými v příčných a podélných spojích, tloušťky izolace přes 13 do 20 mm, vnitřního průměru izolace DN přes 110 mm</t>
  </si>
  <si>
    <t xml:space="preserve">- Izolace potrubí dešťové kanalizace, tl. izol 20 mm   </t>
  </si>
  <si>
    <t xml:space="preserve">--vedené nad prostory archivu   </t>
  </si>
  <si>
    <t xml:space="preserve">18,15+32,89+5,17   </t>
  </si>
  <si>
    <t xml:space="preserve">--ostatní potrubí dešťové kanalizace mimo vedené v podhledu na chodbě CHÚC, tj. mimo 3NP   </t>
  </si>
  <si>
    <t xml:space="preserve">69,5*1,15   </t>
  </si>
  <si>
    <t>722181251</t>
  </si>
  <si>
    <t>Ochrana potrubí termoizolačními trubicemi z pěnového polyetylenu PE přilepenými v příčných a podélných spojích, tloušťky izolace přes 20 do 25 mm, vnitřního průměru izolace DN do 22 mm</t>
  </si>
  <si>
    <t>Poznámka k položce:_x000D_
Požární izolace s třídou reakce na oheň A1 nebo A2.</t>
  </si>
  <si>
    <t xml:space="preserve">- Izolace potrubí studené vody d25 vedené na chodbě v CHÚC, tl. izol 25 mm   </t>
  </si>
  <si>
    <t>722181252</t>
  </si>
  <si>
    <t>Ochrana potrubí termoizolačními trubicemi z pěnového polyetylenu PE přilepenými v příčných a podélných spojích, tloušťky izolace přes 20 do 25 mm, vnitřního průměru izolace DN přes 22 do 45 mm</t>
  </si>
  <si>
    <t xml:space="preserve">- Izolace potrubí studené vody d32 vedené na chodbě v CHÚC, tl. izol 25 mm   </t>
  </si>
  <si>
    <t xml:space="preserve">9*1,15   </t>
  </si>
  <si>
    <t xml:space="preserve">- Izolace potrubí studené vody d40 vedené na chodbě v CHÚC, tl. izol 25 mm   </t>
  </si>
  <si>
    <t xml:space="preserve">34*1,15   </t>
  </si>
  <si>
    <t>722181253</t>
  </si>
  <si>
    <t>Ochrana potrubí termoizolačními trubicemi z pěnového polyetylenu PE přilepenými v příčných a podélných spojích, tloušťky izolace přes 20 do 25 mm, vnitřního průměru izolace DN přes 45 do 63 mm</t>
  </si>
  <si>
    <t xml:space="preserve">- Izolace potrubí požárního vodovodu vedeného na chodbě v CHÚC, tl. izol 25 mm   </t>
  </si>
  <si>
    <t>722181256</t>
  </si>
  <si>
    <t>Ochrana potrubí termoizolačními trubicemi z pěnového polyetylenu PE přilepenými v příčných a podélných spojích, tloušťky izolace přes 20 do 25 mm, vnitřního průměru izolace DN přes 110 mm</t>
  </si>
  <si>
    <t xml:space="preserve">- Izolace potrubí dešťové kanalizace vedené na chodbě v CHÚC ve 3NP, tl. izol 25 mm   </t>
  </si>
  <si>
    <t xml:space="preserve">32*1,15   </t>
  </si>
  <si>
    <t>722190401</t>
  </si>
  <si>
    <t>Zřízení přípojek na potrubí vyvedení a upevnění výpustek do DN 25</t>
  </si>
  <si>
    <t>722220151</t>
  </si>
  <si>
    <t>Armatury s jedním závitem plastové (PPR) PN 20 (SDR 6) DN 16 x G 1/2</t>
  </si>
  <si>
    <t>722231077</t>
  </si>
  <si>
    <t>Armatury se dvěma závity ventily zpětné mosazné PN 10 do 110°C G 2</t>
  </si>
  <si>
    <t xml:space="preserve">- za vodoměrem a před ATS   </t>
  </si>
  <si>
    <t>722231087</t>
  </si>
  <si>
    <t>Armatury se dvěma závity ventily zpětné mosazné PN 16 do 90°C vnitřní závit G 2</t>
  </si>
  <si>
    <t xml:space="preserve">Ochranná jednotka pro oddělení pitné a požární vody - pro třídu tekutiny 2, typ EA   </t>
  </si>
  <si>
    <t>722232042</t>
  </si>
  <si>
    <t>Armatury se dvěma závity kulové kohouty PN 42 do 185 °C přímé vnitřní závit G 3/8</t>
  </si>
  <si>
    <t>722232043</t>
  </si>
  <si>
    <t>Armatury se dvěma závity kulové kohouty PN 42 do 185 °C přímé vnitřní závit G 1/2</t>
  </si>
  <si>
    <t xml:space="preserve">- Uzávěry (kulové kohouty) na studené vodě   </t>
  </si>
  <si>
    <t xml:space="preserve">7   </t>
  </si>
  <si>
    <t>722232044</t>
  </si>
  <si>
    <t>Armatury se dvěma závity kulové kohouty PN 42 do 185 °C přímé vnitřní závit G 3/4</t>
  </si>
  <si>
    <t xml:space="preserve">- Uzávěry (kulové kohouty) na teplé vodě   </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</si>
  <si>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</si>
  <si>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</si>
  <si>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</si>
  <si>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</si>
  <si>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</si>
  <si>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</si>
  <si>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</si>
  <si>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</si>
  <si>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722232062</t>
  </si>
  <si>
    <t>Armatury se dvěma závity kulové kohouty PN 42 do 185 °C přímé vnitřní závit s vypouštěním G 3/4</t>
  </si>
  <si>
    <t xml:space="preserve">- Uzávěry (kulové kohouty) s vypouštěním na studené vodě   </t>
  </si>
  <si>
    <t>722232064</t>
  </si>
  <si>
    <t>Armatury se dvěma závity kulové kohouty PN 42 do 185 °C přímé vnitřní závit s vypouštěním G 5/4</t>
  </si>
  <si>
    <t>722232066</t>
  </si>
  <si>
    <t>Armatury se dvěma závity kulové kohouty PN 42 do 185 °C přímé vnitřní závit s vypouštěním G 2</t>
  </si>
  <si>
    <t>722232503</t>
  </si>
  <si>
    <t>Armatury se dvěma závity potrubní oddělovače vnější závit PN 10 do 65 °C G 1</t>
  </si>
  <si>
    <t xml:space="preserve">Ochranná jednotka před dopouštěním do systému UT (ve 4np) - pro třídu tekutiny 4, typ BA   </t>
  </si>
  <si>
    <t>722250143</t>
  </si>
  <si>
    <t>Požární příslušenství a armatury hydrantový systém s tvarově stálou hadicí prosklený D 25 x 30 m</t>
  </si>
  <si>
    <t>722262302</t>
  </si>
  <si>
    <t>Vodoměry pro vodu do 40°C závitové vertikální vícevtokové mokroběžné G 5/4 x 150 mm Qn 6</t>
  </si>
  <si>
    <t>722270105</t>
  </si>
  <si>
    <t>Vodoměrové sestavy závitové G 2</t>
  </si>
  <si>
    <t>722290226</t>
  </si>
  <si>
    <t>Zkoušky, proplach a desinfekce vodovodního potrubí zkoušky těsnosti vodovodního potrubí závitového do DN 50</t>
  </si>
  <si>
    <t xml:space="preserve">(20,70+106,375+74,175+18,975+64,4+7,475)+(12,075+54,51+4,60)   </t>
  </si>
  <si>
    <t>722290234</t>
  </si>
  <si>
    <t>Zkoušky, proplach a desinfekce vodovodního potrubí proplach a desinfekce vodovodního potrubí do DN 80</t>
  </si>
  <si>
    <t xml:space="preserve">20,70+106,375+74,175+18,975+64,4+7,475   </t>
  </si>
  <si>
    <t>998722202</t>
  </si>
  <si>
    <t>Přesun hmot pro vnitřní vodovod stanovený procentní sazbou (%) z ceny vodorovná dopravní vzdálenost do 50 m v objektech výšky přes 6 do 12 m</t>
  </si>
  <si>
    <t>724</t>
  </si>
  <si>
    <t xml:space="preserve">Zdravotechnika - strojní vybavení   </t>
  </si>
  <si>
    <t>724232134</t>
  </si>
  <si>
    <t>Příslušenství domovních vodáren ovládací plovákové spínací zařízení do 10 A napětí 230V</t>
  </si>
  <si>
    <t>Poznámka k položce:_x000D_
Plovákový snímač hladiny v přerušovací nádži</t>
  </si>
  <si>
    <t>724242213</t>
  </si>
  <si>
    <t>Zařízení pro úpravu vody filtry domácí na studenou vodu se zpětným proplachem G 5/4"</t>
  </si>
  <si>
    <t>R724003</t>
  </si>
  <si>
    <t>Montáž čerpadel kondenzátů jednotek VZT</t>
  </si>
  <si>
    <t xml:space="preserve">4*0,5   </t>
  </si>
  <si>
    <t>R724004</t>
  </si>
  <si>
    <t>Čerpadlo kondenzátu</t>
  </si>
  <si>
    <t>Poznámka k položce:_x000D_
- průtok: 10 l/h - výtlačná výška: 1 m - 230V</t>
  </si>
  <si>
    <t>998724202</t>
  </si>
  <si>
    <t>Přesun hmot pro strojní vybavení stanovený procentní sazbou (%) z ceny vodorovná dopravní vzdálenost do 50 m v objektech výšky přes 6 do 12 m</t>
  </si>
  <si>
    <t>725</t>
  </si>
  <si>
    <t xml:space="preserve">Zdravotechnika - zařizovací předměty   </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</si>
  <si>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</si>
  <si>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</si>
  <si>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</si>
  <si>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</si>
  <si>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</si>
  <si>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 600 mm</t>
  </si>
  <si>
    <t>725211703</t>
  </si>
  <si>
    <t>Umyvadla keramická bílá bez výtokových armatur připevněná na stěnu šrouby malá (umývátka) stěnová 450 mm</t>
  </si>
  <si>
    <t>725244313</t>
  </si>
  <si>
    <t>Sprchové dveře a zástěny zástěny sprchové do niky rámové se skleněnou výplní tl. 4 a 5 mm dveře posuvné jednodílné, na vaničku šířky 1200 mm</t>
  </si>
  <si>
    <t>725311121</t>
  </si>
  <si>
    <t>Dřezy bez výtokových armatur jednoduché se zápachovou uzávěrkou nerezové s odkapávací plochou 560x480 mm a miskou</t>
  </si>
  <si>
    <t>725331111</t>
  </si>
  <si>
    <t>Výlevky bez výtokových armatur a splachovací nádrže keramické se sklopnou plastovou mřížkou 425 mm</t>
  </si>
  <si>
    <t>725531101</t>
  </si>
  <si>
    <t>Elektrické ohřívače zásobníkové beztlakové přepadové objem nádrže (příkon) 5 l (2,0 kW)</t>
  </si>
  <si>
    <t>725532101</t>
  </si>
  <si>
    <t>Elektrické ohřívače zásobníkové beztlakové přepadové akumulační s pojistným ventilem závěsné svislé objem nádrže (příkon) 10 l (2,0 kW)</t>
  </si>
  <si>
    <t>725532116</t>
  </si>
  <si>
    <t>Elektrické ohřívače zásobníkové beztlakové přepadové akumulační s pojistným ventilem závěsné svislé objem nádrže (příkon) 100 l (2,0 kW)</t>
  </si>
  <si>
    <t>725821315</t>
  </si>
  <si>
    <t>Baterie dřezové nástěnné pákové s otáčivým plochým ústím a délkou ramínka 200 mm</t>
  </si>
  <si>
    <t xml:space="preserve">- Baterie pro výlevku   </t>
  </si>
  <si>
    <t xml:space="preserve">3   </t>
  </si>
  <si>
    <t>725821316</t>
  </si>
  <si>
    <t>Baterie dřezové nástěnné pákové s otáčivým plochým ústím a délkou ramínka 300 mm</t>
  </si>
  <si>
    <t>725822652</t>
  </si>
  <si>
    <t>Baterie umyvadlové stojánkové automatické senzorové směšovací teplota a množství vody na baterii</t>
  </si>
  <si>
    <t>725841331</t>
  </si>
  <si>
    <t>Baterie sprchové podomítkové (zápustné) kompletní</t>
  </si>
  <si>
    <t>725862113</t>
  </si>
  <si>
    <t>Zápachové uzávěrky zařizovacích předmětů pro dřezy s přípojkou pro pračku nebo myčku DN 40/50</t>
  </si>
  <si>
    <t xml:space="preserve">- ZU pro dřez ve 3NP  a napojení úkapu z pojstného ventilu elektrického ohřívače   </t>
  </si>
  <si>
    <t>998725202</t>
  </si>
  <si>
    <t>Přesun hmot pro zařizovací předměty stanovený procentní sazbou (%) z ceny vodorovná dopravní vzdálenost do 50 m v objektech výšky přes 6 do 12 m</t>
  </si>
  <si>
    <t>726</t>
  </si>
  <si>
    <t xml:space="preserve">Zdravotechnika - předstěnové instalace   </t>
  </si>
  <si>
    <t>726111031</t>
  </si>
  <si>
    <t>Předstěnové instalační systémy pro zazdění do masivních zděných konstrukcí pro závěsné klozety ovládání zepředu, stavební výška 1080 mm</t>
  </si>
  <si>
    <t>998726212</t>
  </si>
  <si>
    <t>Přesun hmot pro instalační prefabrikáty stanovený procentní sazbou (%) z ceny vodorovná dopravní vzdálenost do 50 m v objektech výšky přes 6 do 12 m</t>
  </si>
  <si>
    <t>727</t>
  </si>
  <si>
    <t xml:space="preserve">Zdravotechnika - požární ochrana   </t>
  </si>
  <si>
    <t>727111302</t>
  </si>
  <si>
    <t>Protipožární trubní ucpávky kovové potrubí včetně dodatečné izolace prostup stěnou tloušťky 100 mm požární odolnost EI 60 D 25</t>
  </si>
  <si>
    <t xml:space="preserve">- 1NP   </t>
  </si>
  <si>
    <t xml:space="preserve">- 2NP   </t>
  </si>
  <si>
    <t>727111303</t>
  </si>
  <si>
    <t>Protipožární trubní ucpávky kovové potrubí včetně dodatečné izolace prostup stěnou tloušťky 100 mm požární odolnost EI 60 D 33</t>
  </si>
  <si>
    <t xml:space="preserve">- 3NP   </t>
  </si>
  <si>
    <t xml:space="preserve">- 4NP   </t>
  </si>
  <si>
    <t>727111304</t>
  </si>
  <si>
    <t>Protipožární trubní ucpávky kovové potrubí včetně dodatečné izolace prostup stěnou tloušťky 100 mm požární odolnost EI 60 D 50</t>
  </si>
  <si>
    <t>727111405</t>
  </si>
  <si>
    <t>Protipožární trubní ucpávky kovové potrubí včetně dodatečné izolace prostup stropem tloušťky 150 mm požární odolnost EI 60-120 D 35</t>
  </si>
  <si>
    <t>727111406</t>
  </si>
  <si>
    <t>Protipožární trubní ucpávky kovové potrubí včetně dodatečné izolace prostup stropem tloušťky 150 mm požární odolnost EI 60-120 D 54</t>
  </si>
  <si>
    <t>727121105</t>
  </si>
  <si>
    <t>Protipožární ochranné manžety z jedné strany dělící konstrukce požární odolnost EI 90 D 75</t>
  </si>
  <si>
    <t xml:space="preserve">STROP:   </t>
  </si>
  <si>
    <t xml:space="preserve">STĚNA:   </t>
  </si>
  <si>
    <t>727121107</t>
  </si>
  <si>
    <t>Protipožární ochranné manžety z jedné strany dělící konstrukce požární odolnost EI 90 D 110</t>
  </si>
  <si>
    <t xml:space="preserve">8   </t>
  </si>
  <si>
    <t xml:space="preserve">6   </t>
  </si>
  <si>
    <t>727121108</t>
  </si>
  <si>
    <t>Protipožární ochranné manžety z jedné strany dělící konstrukce požární odolnost EI 90 D 125</t>
  </si>
  <si>
    <t>727121109</t>
  </si>
  <si>
    <t>Protipožární ochranné manžety z jedné strany dělící konstrukce požární odolnost EI 90 D 160</t>
  </si>
  <si>
    <t>VZT - ZAŘÍZENÍ VZDUCHOTECHNIKY</t>
  </si>
  <si>
    <t>Úroveň 3:</t>
  </si>
  <si>
    <t>01 - Kanceláře jih</t>
  </si>
  <si>
    <t>Olomouc</t>
  </si>
  <si>
    <t>-</t>
  </si>
  <si>
    <t>Alfaprojekt Olomouc a.s.</t>
  </si>
  <si>
    <t xml:space="preserve">    751 - Vzduchotechnika</t>
  </si>
  <si>
    <t xml:space="preserve">    759 - Vzduchotechnika - vzduchové zkoušky, koordinace</t>
  </si>
  <si>
    <t>713411131</t>
  </si>
  <si>
    <t>Montáž izolace tepelné potrubí a ohybů pásy nebo rohožemi s povrchovou úpravou hliníkovou fólií připevněnými ocelovým drátem do konstrukce z ocelových pásů potrubí jednovrstvá</t>
  </si>
  <si>
    <t>CS ÚRS 2020 01</t>
  </si>
  <si>
    <t>-1888578532</t>
  </si>
  <si>
    <t>63150980</t>
  </si>
  <si>
    <t>rohož izolační z minerální vlny lamelová s Al fólií 25kg/m3 tl 20mm</t>
  </si>
  <si>
    <t>1133932433</t>
  </si>
  <si>
    <t>41+33+4+2</t>
  </si>
  <si>
    <t>63150982</t>
  </si>
  <si>
    <t>rohož izolační z minerální vlny lamelová s Al fólií 25kg/m3 tl 40mm</t>
  </si>
  <si>
    <t>534167702</t>
  </si>
  <si>
    <t>6,5+1,5+5+1,5+2+0,5+2,5</t>
  </si>
  <si>
    <t>63142666</t>
  </si>
  <si>
    <t>rohož izolační z minerální vlny prošívaná na pletivu 80kg/m3 tl 40mm</t>
  </si>
  <si>
    <t>2087225527</t>
  </si>
  <si>
    <t>Poznámka k položce:_x000D_
- protipožární izolace</t>
  </si>
  <si>
    <t>47+53,5+2+2</t>
  </si>
  <si>
    <t>63142668</t>
  </si>
  <si>
    <t>rohož izolační z minerální vlny prošívaná na pletivu 80kg/m3 tl 50mm</t>
  </si>
  <si>
    <t>1211718068</t>
  </si>
  <si>
    <t>0,5+0,5</t>
  </si>
  <si>
    <t>713491111</t>
  </si>
  <si>
    <t>Montáž izolace tepelné potrubí a ohybů - doplňky a konstrukční součástí oplechování pevného vnějšího obvodu do 500 mm potrubí</t>
  </si>
  <si>
    <t>-38586631</t>
  </si>
  <si>
    <t>R713000001</t>
  </si>
  <si>
    <t>Oplechování, pozinkovaný plech tl. 0,7 mm</t>
  </si>
  <si>
    <t>414593720</t>
  </si>
  <si>
    <t>(1,5+2,5)*1,3</t>
  </si>
  <si>
    <t>998713203</t>
  </si>
  <si>
    <t>Přesun hmot pro izolace tepelné stanovený procentní sazbou (%) z ceny vodorovná dopravní vzdálenost do 50 m v objektech výšky přes 12 do 24 m</t>
  </si>
  <si>
    <t>-1505252967</t>
  </si>
  <si>
    <t>998713293</t>
  </si>
  <si>
    <t>Přesun hmot pro izolace tepelné stanovený procentní sazbou (%) z ceny Příplatek k cenám za zvětšený přesun přes vymezenou největší dopravní vzdálenost do 500 m</t>
  </si>
  <si>
    <t>-1956106265</t>
  </si>
  <si>
    <t>751</t>
  </si>
  <si>
    <t>Vzduchotechnika</t>
  </si>
  <si>
    <t>751322011</t>
  </si>
  <si>
    <t>Montáž talířových ventilů, anemostatů, dýz talířového ventilu, průměru do 100 mm</t>
  </si>
  <si>
    <t>177006825</t>
  </si>
  <si>
    <t>R751000009</t>
  </si>
  <si>
    <t>Přívodní ventil, kovový, D100, regulovatelný</t>
  </si>
  <si>
    <t>soub</t>
  </si>
  <si>
    <t>281989889</t>
  </si>
  <si>
    <t>Poznámka k položce:_x000D_
- pol. 04</t>
  </si>
  <si>
    <t>R751000010</t>
  </si>
  <si>
    <t>Odvodní ventil, kovový, D100, regulovatelný</t>
  </si>
  <si>
    <t>-864747895</t>
  </si>
  <si>
    <t>751322111</t>
  </si>
  <si>
    <t>Montáž talířových ventilů, anemostatů, dýz anemostatu kruhového bez skříně, průměru do 300 mm</t>
  </si>
  <si>
    <t>-2102845350</t>
  </si>
  <si>
    <t>R751000011</t>
  </si>
  <si>
    <t>Přívodní stropní difuzor, kovový, D100, regulovatelný</t>
  </si>
  <si>
    <t>-298791496</t>
  </si>
  <si>
    <t>Poznámka k položce:_x000D_
- pol. 02_x000D_
- vč. mont. rámečku</t>
  </si>
  <si>
    <t>R751000012</t>
  </si>
  <si>
    <t>Odvodní stropní difuzor, kovový, D100, regulovatelný</t>
  </si>
  <si>
    <t>-1028798960</t>
  </si>
  <si>
    <t>R751000013</t>
  </si>
  <si>
    <t>Přívodní stropní difuzor, kovový, D125, regulovatelný</t>
  </si>
  <si>
    <t>-1213776018</t>
  </si>
  <si>
    <t>Poznámka k položce:_x000D_
- pol. 03_x000D_
- vč. mont. rámečku</t>
  </si>
  <si>
    <t>R751000014</t>
  </si>
  <si>
    <t>Odvodní stropní difuzor, kovový, D125, regulovatelný</t>
  </si>
  <si>
    <t>-1518850270</t>
  </si>
  <si>
    <t>751344113</t>
  </si>
  <si>
    <t>Montáž tlumičů hluku pro kruhové potrubí, průměru přes 200 do 300 mm</t>
  </si>
  <si>
    <t>-530441974</t>
  </si>
  <si>
    <t>R751000008</t>
  </si>
  <si>
    <t>Tlumič hluku do kruhového potrubí D250/600</t>
  </si>
  <si>
    <t>2136844548</t>
  </si>
  <si>
    <t>Poznámka k položce:_x000D_
- pol. 40_x000D_
- potrubí D250_x000D_
- specifikace viz výpočet v TZ</t>
  </si>
  <si>
    <t>751344121</t>
  </si>
  <si>
    <t>Montáž tlumičů hluku pro čtyřhranné potrubí, průřezu do 0,150 m2</t>
  </si>
  <si>
    <t>-833043489</t>
  </si>
  <si>
    <t>R751000007</t>
  </si>
  <si>
    <t>Tlumič hluku do čtyřhranného potrubí 500x200x1000</t>
  </si>
  <si>
    <t>673381786</t>
  </si>
  <si>
    <t>Poznámka k položce:_x000D_
- pol. 36_x000D_
- potrubí 500x200_x000D_
- vložka 200 mm, mezera mezi vložkami 50 mm_x000D_
- specifikace viz výpočet v TZ</t>
  </si>
  <si>
    <t>751510011</t>
  </si>
  <si>
    <t>Vzduchotechnické potrubí z pozinkovaného plechu čtyřhranné s přírubou, průřezu přes 0,01 do 0,03 m2</t>
  </si>
  <si>
    <t>1988725780</t>
  </si>
  <si>
    <t>Poznámka k položce:_x000D_
-vč. 30% na průřezy, tvarovky_x000D_
-vč. spojovacího materiálu</t>
  </si>
  <si>
    <t>"140x140</t>
  </si>
  <si>
    <t>1,3*(26+27)</t>
  </si>
  <si>
    <t>"140x200</t>
  </si>
  <si>
    <t>1,3*(2,5+2+2,5+2,5)</t>
  </si>
  <si>
    <t>"160x100</t>
  </si>
  <si>
    <t>1,3*(10+7,5)</t>
  </si>
  <si>
    <t>"160x140</t>
  </si>
  <si>
    <t>1,3*(2+4,5)</t>
  </si>
  <si>
    <t>"200x100</t>
  </si>
  <si>
    <t>"250x100</t>
  </si>
  <si>
    <t>1,3*(1+1,5)</t>
  </si>
  <si>
    <t>751510012</t>
  </si>
  <si>
    <t>Vzduchotechnické potrubí z pozinkovaného plechu čtyřhranné s přírubou, průřezu přes 0,03 do 0,07 m2</t>
  </si>
  <si>
    <t>1847464544</t>
  </si>
  <si>
    <t>"200x250</t>
  </si>
  <si>
    <t>1,3*(6+5,5)</t>
  </si>
  <si>
    <t>"250x140</t>
  </si>
  <si>
    <t>1,3*(1+1)</t>
  </si>
  <si>
    <t>"250x200</t>
  </si>
  <si>
    <t>1,3*(0,5+4,5+1)</t>
  </si>
  <si>
    <t>751510013</t>
  </si>
  <si>
    <t>Vzduchotechnické potrubí z pozinkovaného plechu čtyřhranné s přírubou, průřezu přes 0,07 do 0,13 m2</t>
  </si>
  <si>
    <t>-1146202123</t>
  </si>
  <si>
    <t>"500x200</t>
  </si>
  <si>
    <t>1,3*(1,5)</t>
  </si>
  <si>
    <t>751510042</t>
  </si>
  <si>
    <t>Vzduchotechnické potrubí z pozinkovaného plechu kruhové, trouba spirálně vinutá bez příruby, průměru přes 100 do 200 mm</t>
  </si>
  <si>
    <t>842726439</t>
  </si>
  <si>
    <t>"D100</t>
  </si>
  <si>
    <t>1,3*(47,5+43)</t>
  </si>
  <si>
    <t>"D125</t>
  </si>
  <si>
    <t>1,3*(27+20,5)</t>
  </si>
  <si>
    <t>"D160</t>
  </si>
  <si>
    <t>1,3*(5,5+4)</t>
  </si>
  <si>
    <t>751510043</t>
  </si>
  <si>
    <t>Vzduchotechnické potrubí z pozinkovaného plechu kruhové, trouba spirálně vinutá bez příruby, průměru přes 200 do 300 mm</t>
  </si>
  <si>
    <t>1128428080</t>
  </si>
  <si>
    <t>"D250</t>
  </si>
  <si>
    <t>1,3*(6)</t>
  </si>
  <si>
    <t>751514711</t>
  </si>
  <si>
    <t>Montáž protidešťové stříšky nebo výfukové hlavice do plechového potrubí čtyřhranné s přírubou, průřezu do 0,035 m2</t>
  </si>
  <si>
    <t>-1853929752</t>
  </si>
  <si>
    <t>R751000016</t>
  </si>
  <si>
    <t>Šikmý nástavec, 250x200, vč. síťky proti hmyzu a drobnému ptactvu</t>
  </si>
  <si>
    <t>227268923</t>
  </si>
  <si>
    <t>Poznámka k položce:_x000D_
- pol. 31</t>
  </si>
  <si>
    <t>751514777</t>
  </si>
  <si>
    <t>Montáž protidešťové stříšky nebo výfukové hlavice do plechového potrubí kruhové bez příruby, průměru přes 200 do 300 mm</t>
  </si>
  <si>
    <t>-405641350</t>
  </si>
  <si>
    <t>R751000015</t>
  </si>
  <si>
    <t>Šikmý nástavec, D250, vč. síťky proti hmyzu a drobnému ptactvu</t>
  </si>
  <si>
    <t>-1782145652</t>
  </si>
  <si>
    <t>Poznámka k položce:_x000D_
- pol. 34</t>
  </si>
  <si>
    <t>751537132</t>
  </si>
  <si>
    <t>Montáž kruhového potrubí ohebného izolovaného minerální vatou z Al folie, průměru přes 100 do 200 mm</t>
  </si>
  <si>
    <t>55685633</t>
  </si>
  <si>
    <t>R751000005</t>
  </si>
  <si>
    <t>Zvukově izolovaná hadice z Al folie, D100</t>
  </si>
  <si>
    <t>1987877575</t>
  </si>
  <si>
    <t>Poznámka k položce:_x000D_
Polotuhá ohebná hadice z Al fólie, falcování mimořádně pevným vícenásobným zámkem „Tripllock“._x000D_
- vč. 30% na tvarovky_x000D_
- vč. spojovacího materiálu_x000D_
• pro mechanická větrací a klimatická vedení_x000D_
• pro odtahy kouře a prachu_x000D_
• silně mechanicky odolná_x000D_
• dodává se v nataženém stavu v délce 1 m nebo dle dohody_x000D_
• hadice nejsou vhodné pro vložkování komínů a pro odtah spalin_x000D_
• provozní teplota -25 °C až +200 °C_x000D_
• max. rychlost vzduchu v potrubí 25 m/s_x000D_
• max. provozní tlak 2000 Pa</t>
  </si>
  <si>
    <t>1,3*(8,5+8)</t>
  </si>
  <si>
    <t>R751000006</t>
  </si>
  <si>
    <t>Zvukově izolovaná hadice z Al folie, D125</t>
  </si>
  <si>
    <t>-879651824</t>
  </si>
  <si>
    <t>1,3*(0,5+0,5)</t>
  </si>
  <si>
    <t>751571032</t>
  </si>
  <si>
    <t>Závěs čtyřhranného potrubí na montovanou konstrukci z nosníku, kotvenou do betonu, průřezu potrubí přes 0,01 do 0,03 m2</t>
  </si>
  <si>
    <t>248251604</t>
  </si>
  <si>
    <t>751571033</t>
  </si>
  <si>
    <t>Závěs čtyřhranného potrubí na montovanou konstrukci z nosníku, kotvenou do betonu, průřezu potrubí přes 0,003 do 0,07 m2</t>
  </si>
  <si>
    <t>-1281842695</t>
  </si>
  <si>
    <t>751571034</t>
  </si>
  <si>
    <t>Závěs čtyřhranného potrubí na montovanou konstrukci z nosníku, kotvenou do betonu, průřezu potrubí přes 0,07 do 0,13 m2</t>
  </si>
  <si>
    <t>2108892516</t>
  </si>
  <si>
    <t>751572032</t>
  </si>
  <si>
    <t>Závěs kruhového potrubí na montovanou konstrukci z nosníku, kotvenou do betonu průměru potrubí přes 100 do 200 mm</t>
  </si>
  <si>
    <t>346100134</t>
  </si>
  <si>
    <t>751572033</t>
  </si>
  <si>
    <t>Závěs kruhového potrubí na montovanou konstrukci z nosníku, kotvenou do betonu průměru potrubí přes 200 do 300 mm</t>
  </si>
  <si>
    <t>145268585</t>
  </si>
  <si>
    <t>751581312</t>
  </si>
  <si>
    <t>Protipožární ochrana vzduchotechnického potrubí prostup čtyřhranného potrubí stěnou, průřezu potrubí přes 0,01 do 0,03 m2</t>
  </si>
  <si>
    <t>-990455772</t>
  </si>
  <si>
    <t>"200x140*250 - pol. 9.902</t>
  </si>
  <si>
    <t>1+1</t>
  </si>
  <si>
    <t>"250x100*115 - pol. 9.904</t>
  </si>
  <si>
    <t>"250x100*250 - pol. 9.905</t>
  </si>
  <si>
    <t>"250x140*115 - pol. 9.906</t>
  </si>
  <si>
    <t>"250x140*250 - pol. 9.908</t>
  </si>
  <si>
    <t>751581332</t>
  </si>
  <si>
    <t>Protipožární ochrana vzduchotechnického potrubí prostup čtyřhranného potrubí stropem, průřezu potrubí přes 0,01 do 0,03 m2</t>
  </si>
  <si>
    <t>1724725620</t>
  </si>
  <si>
    <t>"140x200*390 - pol. 9.901</t>
  </si>
  <si>
    <t>"250x140*250 - Pol. 9.907</t>
  </si>
  <si>
    <t>751581333</t>
  </si>
  <si>
    <t>Protipožární ochrana vzduchotechnického potrubí prostup čtyřhranného potrubí stropem, průřezu potrubí přes 0,03 do 0,07 m2</t>
  </si>
  <si>
    <t>-823279616</t>
  </si>
  <si>
    <t>"250x250*390 - pol. 9.903</t>
  </si>
  <si>
    <t>751581352</t>
  </si>
  <si>
    <t>Protipožární ochrana vzduchotechnického potrubí prostup kruhového potrubí stěnou, průměru potrubí přes 100 do 200 mm</t>
  </si>
  <si>
    <t>1275118323</t>
  </si>
  <si>
    <t>"D100*250 - pol. 9.912</t>
  </si>
  <si>
    <t>"D125*250 - pol. 9.914</t>
  </si>
  <si>
    <t>7+7</t>
  </si>
  <si>
    <t>"D160*250 - pol. 9.919</t>
  </si>
  <si>
    <t>2+2</t>
  </si>
  <si>
    <t>751611116</t>
  </si>
  <si>
    <t>Montáž vzduchotechnické jednotky s rekuperací tepla stojaté s výměnou vzduchu do 5 000 m3/h</t>
  </si>
  <si>
    <t>-725826168</t>
  </si>
  <si>
    <t>R751000001</t>
  </si>
  <si>
    <t>Rekuperační jednotka VZT - Z01, vzduchový výkon 950 m3/h při 300 Pa</t>
  </si>
  <si>
    <t>-1740103260</t>
  </si>
  <si>
    <t>Poznámka k položce:_x000D_
- Vzduchový výkon jednotky 950 m3/h při 300 Pa. Jednotka bude osazena protiproudým rekuperátorem s účinností 87% (-15/15°C), elektrickým ohřívačem o výkonu 3,0 kW (18/20°C - 0,3 kW), Pro letní provoz bude jednotka vybavena přímým chladičem (R32) o výkonu 2,76 kW (27-rekuperátor /17°C), před jednotkou bude osazen elektrický předehřev 9 kW - pol. 1-4_x000D_
- vč. el. předehřevu 1.04 (9 kW)</t>
  </si>
  <si>
    <t>998751202</t>
  </si>
  <si>
    <t>Přesun hmot pro vzduchotechniku stanovený procentní sazbou (%) z ceny vodorovná dopravní vzdálenost do 50 m v objektech výšky přes 12 do 60 m</t>
  </si>
  <si>
    <t>16870916</t>
  </si>
  <si>
    <t>998751291</t>
  </si>
  <si>
    <t>Přesun hmot pro vzduchotechniku stanovený procentní sazbou (%) z ceny Příplatek k cenám za zvětšený přesun přes vymezenou největší dopravní vzdálenost do 500 m</t>
  </si>
  <si>
    <t>1585242635</t>
  </si>
  <si>
    <t>R751000002</t>
  </si>
  <si>
    <t>Mont. smartboxu</t>
  </si>
  <si>
    <t>-2121293735</t>
  </si>
  <si>
    <t>9*6</t>
  </si>
  <si>
    <t>R751000003</t>
  </si>
  <si>
    <t>Smart box 125/125</t>
  </si>
  <si>
    <t>-1175822938</t>
  </si>
  <si>
    <t>Poznámka k položce:_x000D_
- pol. 200_x000D_
-VAV prvky na přívodu/odvodu, vč. regulačníl elektroniky spolupracující s centrální jednotkou VZT_x000D_
- ovládání přes čidlo CO2 - dodávka MaR_x000D_
- rychlost 0,2-6 m/s, průtok max. 100 m3/h, D125</t>
  </si>
  <si>
    <t>R751000004</t>
  </si>
  <si>
    <t>Smart box 160/160</t>
  </si>
  <si>
    <t>-1498797392</t>
  </si>
  <si>
    <t>Poznámka k položce:_x000D_
- pol. 201_x000D_
-VAV prvky na přívodu/odvodu, vč. regulačníl elektroniky spolupracující s centrální jednotkou VZT_x000D_
- ovládání přes čidlo CO2 - dodávka MaR_x000D_
- rychlost 0,2-6 m/s, průtok max. 200 m3/h, D160</t>
  </si>
  <si>
    <t>759</t>
  </si>
  <si>
    <t>Vzduchotechnika - vzduchové zkoušky, koordinace</t>
  </si>
  <si>
    <t>R759000001</t>
  </si>
  <si>
    <t>Koordinace mezi profesemi a stavbou</t>
  </si>
  <si>
    <t>-2126411357</t>
  </si>
  <si>
    <t>8*5</t>
  </si>
  <si>
    <t>R759000002</t>
  </si>
  <si>
    <t>1575580873</t>
  </si>
  <si>
    <t>R759000003</t>
  </si>
  <si>
    <t>Vzduchová zkouška</t>
  </si>
  <si>
    <t>-570925739</t>
  </si>
  <si>
    <t>R759000004</t>
  </si>
  <si>
    <t>Proškolení obsluhy</t>
  </si>
  <si>
    <t>-1738991744</t>
  </si>
  <si>
    <t>02 - Badatelna a kancelář</t>
  </si>
  <si>
    <t xml:space="preserve">    767 - Konstrukce zámečnické</t>
  </si>
  <si>
    <t>884075657</t>
  </si>
  <si>
    <t>1202396414</t>
  </si>
  <si>
    <t>64+63+3,5+3,5</t>
  </si>
  <si>
    <t>115868262</t>
  </si>
  <si>
    <t>1,5+2,5+1+2,5+3,5+3,5</t>
  </si>
  <si>
    <t>1547590459</t>
  </si>
  <si>
    <t>-731312753</t>
  </si>
  <si>
    <t>(2,5+2,5)*1,3</t>
  </si>
  <si>
    <t>1066565454</t>
  </si>
  <si>
    <t>1002334955</t>
  </si>
  <si>
    <t>751322134</t>
  </si>
  <si>
    <t>Montáž talířových ventilů, anemostatů, dýz anemostatu čtvercového vířivého se skříní, průřezu přes 0,350 do 0,500 m2</t>
  </si>
  <si>
    <t>-674644726</t>
  </si>
  <si>
    <t>R751000017</t>
  </si>
  <si>
    <t>Anemostat s nastavitelnými lamelami, deska 600x600, počet lamel 8, černé lamely, vč. plenum boxu přívodního D200</t>
  </si>
  <si>
    <t>354545080</t>
  </si>
  <si>
    <t>Poznámka k položce:_x000D_
pol. 16</t>
  </si>
  <si>
    <t>R751000018</t>
  </si>
  <si>
    <t>Anemostat s nastavitelnými lamelami, deska 600x600, počet lamel 8, černé lamely, vč. plenum boxu odvodního D200</t>
  </si>
  <si>
    <t>-1520591116</t>
  </si>
  <si>
    <t>Poznámka k položce:_x000D_
- pol. 17</t>
  </si>
  <si>
    <t>1514061386</t>
  </si>
  <si>
    <t>Tlumič hluku do kruhového potrubí D315/900</t>
  </si>
  <si>
    <t>447485113</t>
  </si>
  <si>
    <t>Poznámka k položce:_x000D_
- pol. 42_x000D_
- potrubí D315_x000D_
- specifikace viz výpočet v TZ</t>
  </si>
  <si>
    <t>-1389050734</t>
  </si>
  <si>
    <t>Tlumič hluku do čtyřhranného potrubí 500x300x1850</t>
  </si>
  <si>
    <t>1148670807</t>
  </si>
  <si>
    <t>Poznámka k položce:_x000D_
- pol. 37_x000D_
- potrubí 500x300_x000D_
- vložka 200 mm, mezera mezi vložkami 50 mm_x000D_
- specifikace viz výpočet v TZ</t>
  </si>
  <si>
    <t>1559683224</t>
  </si>
  <si>
    <t>"D200</t>
  </si>
  <si>
    <t>1,3*(39,5+39)</t>
  </si>
  <si>
    <t>"D280</t>
  </si>
  <si>
    <t>1,3*(30+29,5)</t>
  </si>
  <si>
    <t>751510044</t>
  </si>
  <si>
    <t>Vzduchotechnické potrubí z pozinkovaného plechu kruhové, trouba spirálně vinutá bez příruby, průměru přes 300 do 400 mm</t>
  </si>
  <si>
    <t>1544008504</t>
  </si>
  <si>
    <t>"D315</t>
  </si>
  <si>
    <t>1,3*(3+2,5+0,5)</t>
  </si>
  <si>
    <t>-1717446243</t>
  </si>
  <si>
    <t>-81419600</t>
  </si>
  <si>
    <t>751514778</t>
  </si>
  <si>
    <t>Montáž protidešťové stříšky nebo výfukové hlavice do plechového potrubí kruhové bez příruby, průměru přes 300 do 400 mm</t>
  </si>
  <si>
    <t>-530269574</t>
  </si>
  <si>
    <t>Šikmý nástavec, D315, vč. síťky proti hmyzu a drobnému ptactvu</t>
  </si>
  <si>
    <t>-721610910</t>
  </si>
  <si>
    <t>Poznámka k položce:_x000D_
- pol. 32</t>
  </si>
  <si>
    <t>1170678674</t>
  </si>
  <si>
    <t>R751000019</t>
  </si>
  <si>
    <t>Zvukově izolovaná hadice z Al folie, D200</t>
  </si>
  <si>
    <t>-277297880</t>
  </si>
  <si>
    <t>1,3*(5,0+5,5)</t>
  </si>
  <si>
    <t>-338121117</t>
  </si>
  <si>
    <t>751572034</t>
  </si>
  <si>
    <t>Závěs kruhového potrubí na montovanou konstrukci z nosníku, kotvenou do betonu průměru potrubí přes 300 do 400 mm</t>
  </si>
  <si>
    <t>-815381910</t>
  </si>
  <si>
    <t>751611122</t>
  </si>
  <si>
    <t>Montáž vzduchotechnické jednotky s rekuperací tepla podstropní s výměnou vzduchu do 4 500 m3/h</t>
  </si>
  <si>
    <t>1449232845</t>
  </si>
  <si>
    <t>Rekuperační jednotka VZT - Z02, vzduchový výkon 1440 m3/h při 300 Pa</t>
  </si>
  <si>
    <t>583415749</t>
  </si>
  <si>
    <t>Poznámka k položce:_x000D_
- Vzduchový výkon jednotky 1440 m3/h při 300 Pa. Jednotka bude osazena protiproudým rekuperátorem s účinností 93% (-15/16,3°C), el. ohřívačem o výkonu 1,7 kW (ins.4,2 kW) (16,3/20°C), uzavíracími armaturami. Před jednotkou bude osazen el. Předehřev 3,7 kW (ins. 12 kW). Pro letní provoz bude jednotka vybavena přímým chladičem (R410A) o výkonu 7,27 kW (27-rekuperátor /17°C)_x000D_
- vč. el. předehřevu 2.04 (12 kW)</t>
  </si>
  <si>
    <t>1135255035</t>
  </si>
  <si>
    <t>1022917378</t>
  </si>
  <si>
    <t>1849961716</t>
  </si>
  <si>
    <t>197374085</t>
  </si>
  <si>
    <t>1394427326</t>
  </si>
  <si>
    <t>1535931475</t>
  </si>
  <si>
    <t>Konstrukce zámečnické</t>
  </si>
  <si>
    <t>R767000001</t>
  </si>
  <si>
    <t>Uchycení jednotky VZT pod stropem, D+M</t>
  </si>
  <si>
    <t>766558545</t>
  </si>
  <si>
    <t>4*10</t>
  </si>
  <si>
    <t>03 - Konferenční sál</t>
  </si>
  <si>
    <t>1058171101</t>
  </si>
  <si>
    <t>2058901391</t>
  </si>
  <si>
    <t>33+37+3,5+3,5</t>
  </si>
  <si>
    <t>727118159</t>
  </si>
  <si>
    <t>1,5+3,5+2+2</t>
  </si>
  <si>
    <t>983399260</t>
  </si>
  <si>
    <t>-492640701</t>
  </si>
  <si>
    <t>(3+2,5)*1,3</t>
  </si>
  <si>
    <t>1841142871</t>
  </si>
  <si>
    <t>-2032444515</t>
  </si>
  <si>
    <t>-158471122</t>
  </si>
  <si>
    <t>2006371569</t>
  </si>
  <si>
    <t>Poznámka k položce:_x000D_
pol. 18</t>
  </si>
  <si>
    <t>-5373354</t>
  </si>
  <si>
    <t>Poznámka k položce:_x000D_
- pol. 19</t>
  </si>
  <si>
    <t>2077604653</t>
  </si>
  <si>
    <t>1114435988</t>
  </si>
  <si>
    <t>-1640686494</t>
  </si>
  <si>
    <t>590314628</t>
  </si>
  <si>
    <t>-1391170999</t>
  </si>
  <si>
    <t>1,3*(25+27)</t>
  </si>
  <si>
    <t>1,3*(11,5+14)</t>
  </si>
  <si>
    <t>-272867463</t>
  </si>
  <si>
    <t>1,3*(3,5+3+0,5)</t>
  </si>
  <si>
    <t>-600728051</t>
  </si>
  <si>
    <t>955262697</t>
  </si>
  <si>
    <t>2067989295</t>
  </si>
  <si>
    <t>-1387535180</t>
  </si>
  <si>
    <t>1804545109</t>
  </si>
  <si>
    <t>612167226</t>
  </si>
  <si>
    <t>1,3*(3,5+4)</t>
  </si>
  <si>
    <t>-883754619</t>
  </si>
  <si>
    <t>-1722997682</t>
  </si>
  <si>
    <t>489089277</t>
  </si>
  <si>
    <t>Rekuperační jednotka VZT - Z03, vzduchový výkon 1500 m3/h při 300 Pa</t>
  </si>
  <si>
    <t>1521380576</t>
  </si>
  <si>
    <t>Poznámka k položce:_x000D_
- Vzduchový výkon jednotky 1500 m3/h při 300 Pa. Jednotka bude osazena protiproudým rekuperátorem s účinností 93% (-15/18°C), el. ohřívačem o výkonu 1,8 kW (ins.2,1 kW) (18/20°C), uzavíracími armaturami. Před jednotkou bude osazen el. Předehřev 3,9 kW (ins. 12 kW). Pro letní provoz bude jednotka vybavena přímým chladičem (32) o výkonu 5,51 kW (27-rekuperátor /17°C)_x000D_
- vč. el. předehřevu 12 kW - pol. 3.04</t>
  </si>
  <si>
    <t>-1223249961</t>
  </si>
  <si>
    <t>-757828865</t>
  </si>
  <si>
    <t>1033886072</t>
  </si>
  <si>
    <t>2036588628</t>
  </si>
  <si>
    <t>1806868726</t>
  </si>
  <si>
    <t>-1173828765</t>
  </si>
  <si>
    <t>-1246006765</t>
  </si>
  <si>
    <t>04 - Kanceláře východ a příruční sklad</t>
  </si>
  <si>
    <t>1548033169</t>
  </si>
  <si>
    <t>-214449115</t>
  </si>
  <si>
    <t>31+3+28</t>
  </si>
  <si>
    <t>1492558338</t>
  </si>
  <si>
    <t>2,5+3,0+4</t>
  </si>
  <si>
    <t>-1520309072</t>
  </si>
  <si>
    <t>1927828944</t>
  </si>
  <si>
    <t>(2,5+3,0)*1,3</t>
  </si>
  <si>
    <t>-2027528093</t>
  </si>
  <si>
    <t>1078055239</t>
  </si>
  <si>
    <t>-1137756418</t>
  </si>
  <si>
    <t>63776151</t>
  </si>
  <si>
    <t>-1072897450</t>
  </si>
  <si>
    <t>1405168169</t>
  </si>
  <si>
    <t>Anemostat s nastavitelnými lamelami, deska 600x600, počet lamel 8, černé lamely, vč. plenum boxu přívodního D160</t>
  </si>
  <si>
    <t>1076145802</t>
  </si>
  <si>
    <t>Poznámka k položce:_x000D_
pol. 12</t>
  </si>
  <si>
    <t>Anemostat s nastavitelnými lamelami, deska 600x600, počet lamel 8, černé lamely, vč. plenum boxu odvodního D160</t>
  </si>
  <si>
    <t>-810185527</t>
  </si>
  <si>
    <t>Poznámka k položce:_x000D_
- pol. 13</t>
  </si>
  <si>
    <t>-502241992</t>
  </si>
  <si>
    <t>R751000020</t>
  </si>
  <si>
    <t>561760809</t>
  </si>
  <si>
    <t>248562974</t>
  </si>
  <si>
    <t>-1048714222</t>
  </si>
  <si>
    <t>-608735851</t>
  </si>
  <si>
    <t>1,3*(3,5+7,5)</t>
  </si>
  <si>
    <t>1,3*(11+2)</t>
  </si>
  <si>
    <t>1,3*(8,5+12)</t>
  </si>
  <si>
    <t>1873480646</t>
  </si>
  <si>
    <t>1,3*(16,5+15,5)</t>
  </si>
  <si>
    <t>1,3*(4,5+3,5+3)</t>
  </si>
  <si>
    <t>622734172</t>
  </si>
  <si>
    <t>-1730089463</t>
  </si>
  <si>
    <t>-1116701641</t>
  </si>
  <si>
    <t>1619270256</t>
  </si>
  <si>
    <t>1,3*(1+0,5)</t>
  </si>
  <si>
    <t>R751000021</t>
  </si>
  <si>
    <t>Zvukově izolovaná hadice z Al folie, D160</t>
  </si>
  <si>
    <t>703609692</t>
  </si>
  <si>
    <t>1,3*(2+2)</t>
  </si>
  <si>
    <t>262251608</t>
  </si>
  <si>
    <t>1747080443</t>
  </si>
  <si>
    <t>751611121</t>
  </si>
  <si>
    <t>Montáž vzduchotechnické jednotky s rekuperací tepla podstropní s výměnou vzduchu do 1 000 m3/h</t>
  </si>
  <si>
    <t>290052424</t>
  </si>
  <si>
    <t>Rekuperační jednotka VZT - Z04, vzduchový výkon 760 m3/h při 300 Pa</t>
  </si>
  <si>
    <t>2129415246</t>
  </si>
  <si>
    <t>Poznámka k položce:_x000D_
Vzduchový výkon jednotky 760 m3/h při 300 Pa. Jednotka bude osazena protiproudým rekuperátorem s účinností 88% (-15/16°C), el. ohřívačem o výkonu 1,4 kW (ins.1,8 kW) (16/20°C), uzavíracími armaturami. Před jednotkou bude _x000D_
osazen el. Předehřev 1,6 kW (ins. 3,0 kW). Pro letní provoz bude jednotka vybavena přímým chladičem (R32) o výkonu 2,76 kW (27-rekuperátor /17°C)_x000D_
- vč. el. předehřevu o výkonu 3,0 kW - pol. 4.04</t>
  </si>
  <si>
    <t>-526940192</t>
  </si>
  <si>
    <t>2*6</t>
  </si>
  <si>
    <t>-670885655</t>
  </si>
  <si>
    <t>Poznámka k položce:_x000D_
- pol. 200_x000D_
-VAV prvky na přívodu/odvodu, vč. regulačníl elektroniky spolupracující s centrální jednotkou VZT_x000D_
- ovládání přes čidlo CO2 - dodávka MaR_x000D_
- rychlost 0,2-6 m/s, průtok max. 120 m3/h, D125</t>
  </si>
  <si>
    <t>Smart box 200/200</t>
  </si>
  <si>
    <t>-2027600502</t>
  </si>
  <si>
    <t>Poznámka k položce:_x000D_
- pol. 202_x000D_
-VAV prvky na přívodu/odvodu, vč. regulačníl elektroniky spolupracující s centrální jednotkou VZT_x000D_
- ovládání přes čidlo CO2 - dodávka MaR_x000D_
- rychlost 0,2-6 m/s, průtok max. 240 m3/h, D200</t>
  </si>
  <si>
    <t>-8156631</t>
  </si>
  <si>
    <t>1927525908</t>
  </si>
  <si>
    <t>1496316109</t>
  </si>
  <si>
    <t>-12583067</t>
  </si>
  <si>
    <t>-19446254</t>
  </si>
  <si>
    <t>713335507</t>
  </si>
  <si>
    <t>-796518024</t>
  </si>
  <si>
    <t>06 - Hala 3.NP</t>
  </si>
  <si>
    <t>427761084</t>
  </si>
  <si>
    <t>208168302</t>
  </si>
  <si>
    <t>27,5+31+0,5+0,5+1,5</t>
  </si>
  <si>
    <t>-22673963</t>
  </si>
  <si>
    <t>2,5+1,5+4+0,5+0,5</t>
  </si>
  <si>
    <t>-1096891587</t>
  </si>
  <si>
    <t>750623257</t>
  </si>
  <si>
    <t>564697938</t>
  </si>
  <si>
    <t>(1,5+0,5)*1,3</t>
  </si>
  <si>
    <t>1384218396</t>
  </si>
  <si>
    <t>-1905016860</t>
  </si>
  <si>
    <t>-1891364422</t>
  </si>
  <si>
    <t>985584100</t>
  </si>
  <si>
    <t>Poznámka k položce:_x000D_
pol. 14</t>
  </si>
  <si>
    <t>1816380158</t>
  </si>
  <si>
    <t>Poznámka k položce:_x000D_
- pol. 15</t>
  </si>
  <si>
    <t>1418170689</t>
  </si>
  <si>
    <t>91584037</t>
  </si>
  <si>
    <t>-971727975</t>
  </si>
  <si>
    <t>129389464</t>
  </si>
  <si>
    <t>-632204684</t>
  </si>
  <si>
    <t>"200x350</t>
  </si>
  <si>
    <t>1,3*(3)</t>
  </si>
  <si>
    <t>1548256871</t>
  </si>
  <si>
    <t>1,3*(2+1,5)</t>
  </si>
  <si>
    <t>-117069337</t>
  </si>
  <si>
    <t>1,3*(35+40)</t>
  </si>
  <si>
    <t>1,3*(3+0,5)</t>
  </si>
  <si>
    <t>-551132173</t>
  </si>
  <si>
    <t>Šikmý nástavec, 200x350, vč. síťky proti hmyzu a drobnému ptactvu</t>
  </si>
  <si>
    <t>-916536165</t>
  </si>
  <si>
    <t>Poznámka k položce:_x000D_
- pol. 30</t>
  </si>
  <si>
    <t>-928488412</t>
  </si>
  <si>
    <t>201196705</t>
  </si>
  <si>
    <t>1390852255</t>
  </si>
  <si>
    <t>-396460425</t>
  </si>
  <si>
    <t>1,3*(1,5+1)</t>
  </si>
  <si>
    <t>1435234028</t>
  </si>
  <si>
    <t>-185767747</t>
  </si>
  <si>
    <t>1608216776</t>
  </si>
  <si>
    <t>751581353</t>
  </si>
  <si>
    <t>Protipožární ochrana vzduchotechnického potrubí prostup kruhového potrubí stěnou, průměru potrubí přes 200 do 300 mm</t>
  </si>
  <si>
    <t>1468176569</t>
  </si>
  <si>
    <t>"D200*250 - pol. 9.922</t>
  </si>
  <si>
    <t>751581357</t>
  </si>
  <si>
    <t>Protipožární ochrana vzduchotechnického potrubí prostup kruhového potrubí stropem, průměru potrubí přes 200 do 300 mm</t>
  </si>
  <si>
    <t>-1018931164</t>
  </si>
  <si>
    <t>"D200*390 - pol. 9.923</t>
  </si>
  <si>
    <t>751611115</t>
  </si>
  <si>
    <t>Montáž vzduchotechnické jednotky s rekuperací tepla stojaté s výměnou vzduchu do 1 000 m3/h</t>
  </si>
  <si>
    <t>1277373248</t>
  </si>
  <si>
    <t>Rekuperační jednotka VZT - Z06, vzduchový výkon 700 m3/h při 250 Pa</t>
  </si>
  <si>
    <t>2084818049</t>
  </si>
  <si>
    <t>Poznámka k položce:_x000D_
Vzduchový výkon jednotky 700 m3/h při 250 Pa. Jednotka bude osazena protiproudým rekuperátorem s účinností 88% (-15/16°C), elektrickým ohřívačem o výkonu 1,8 kW (16/20°C-0,8 kW), Pro letní provoz bude jednotka vybavena přímým 	chladičem (R32) o výkonu 2,34 kW (27-rekuperátor /15°C), před jednotkou bude osazen elektrický předehřev 6 kW - pol. 6-4_x000D_
- vč. el. předehřevu 6 kW - pol. 6.4</t>
  </si>
  <si>
    <t>1788440426</t>
  </si>
  <si>
    <t>383342362</t>
  </si>
  <si>
    <t>377326258</t>
  </si>
  <si>
    <t>-1160143288</t>
  </si>
  <si>
    <t>383409101</t>
  </si>
  <si>
    <t>-1135930377</t>
  </si>
  <si>
    <t>07 - Větrání depozitářů</t>
  </si>
  <si>
    <t>608775131</t>
  </si>
  <si>
    <t>1103428102</t>
  </si>
  <si>
    <t>57+7,5+40+16,5+18+7+3,5+11+11+8,5+5,5</t>
  </si>
  <si>
    <t>-80041031</t>
  </si>
  <si>
    <t>92+10+10+9+8</t>
  </si>
  <si>
    <t>-644286861</t>
  </si>
  <si>
    <t>5122870</t>
  </si>
  <si>
    <t>(7,5+16,5)*1,3</t>
  </si>
  <si>
    <t>752364785</t>
  </si>
  <si>
    <t>1719645574</t>
  </si>
  <si>
    <t>R713000100</t>
  </si>
  <si>
    <t>Chlorkaučuková izolace, tl. 20 mm, samolepící, D+M</t>
  </si>
  <si>
    <t>1417733380</t>
  </si>
  <si>
    <t>283+124+1,5+1,5+1,5+1,5+7,5+5,5</t>
  </si>
  <si>
    <t>751311091</t>
  </si>
  <si>
    <t>Montáž vyústí čtyřhranné do čtyřhranného potrubí, průřezu do 0,040 m2</t>
  </si>
  <si>
    <t>-1502754102</t>
  </si>
  <si>
    <t>R751000023</t>
  </si>
  <si>
    <t>Vyústka průmyslová VPE 200x100-R1, vč. regulace R1</t>
  </si>
  <si>
    <t>-105628990</t>
  </si>
  <si>
    <t>Poznámka k položce:_x000D_
- pol. 24</t>
  </si>
  <si>
    <t>64+32</t>
  </si>
  <si>
    <t>2006535752</t>
  </si>
  <si>
    <t>1134000671</t>
  </si>
  <si>
    <t>4+3</t>
  </si>
  <si>
    <t>R751000008.1</t>
  </si>
  <si>
    <t>Tlumič hluku do kruhového potrubí D200/600</t>
  </si>
  <si>
    <t>-1939596550</t>
  </si>
  <si>
    <t>Poznámka k položce:_x000D_
- Pol. 39_x000D_
- potrubí D200_x000D_
- specifikace viz výpočet v TZ</t>
  </si>
  <si>
    <t>4+4</t>
  </si>
  <si>
    <t>R751000008.2</t>
  </si>
  <si>
    <t>Tlumič hluku do kruhového potrubí D250/900</t>
  </si>
  <si>
    <t>-1115040479</t>
  </si>
  <si>
    <t>Poznámka k položce:_x000D_
- Pol. 41_x000D_
- potrubí D250_x000D_
- specifikace viz výpočet v TZ</t>
  </si>
  <si>
    <t>241593742</t>
  </si>
  <si>
    <t>2102586237</t>
  </si>
  <si>
    <t>6+5</t>
  </si>
  <si>
    <t>R751000007.1</t>
  </si>
  <si>
    <t>Tlumič hluku do čtyřhranného potrubí 500x200x650</t>
  </si>
  <si>
    <t>-1790424228</t>
  </si>
  <si>
    <t>Poznámka k položce:_x000D_
- pol. 35_x000D_
- potrubí 500x200_x000D_
- vložka 200 mm, mezera mezi vložkami 50 mm_x000D_
- specifikace viz výpočet v TZ</t>
  </si>
  <si>
    <t>2+3</t>
  </si>
  <si>
    <t>1807593319</t>
  </si>
  <si>
    <t>"140x250</t>
  </si>
  <si>
    <t>1,3*(16+16)</t>
  </si>
  <si>
    <t>1,3*(386+215)</t>
  </si>
  <si>
    <t>"150x200</t>
  </si>
  <si>
    <t>1,3*(1,5+17)</t>
  </si>
  <si>
    <t>"200x200</t>
  </si>
  <si>
    <t>1,3*(13)</t>
  </si>
  <si>
    <t>1,3*(4)</t>
  </si>
  <si>
    <t>1300963201</t>
  </si>
  <si>
    <t>1,3*(11)</t>
  </si>
  <si>
    <t>-100919347</t>
  </si>
  <si>
    <t>1,3*(25)</t>
  </si>
  <si>
    <t>1,3*(22+1)</t>
  </si>
  <si>
    <t>751514612</t>
  </si>
  <si>
    <t>Montáž škrtící klapky nebo zpětné klapky do plechového potrubí čtyřhranné s přírubou, průřezu přes 0,035 do 0,07 m2</t>
  </si>
  <si>
    <t>2045806445</t>
  </si>
  <si>
    <t>R751000022</t>
  </si>
  <si>
    <t>Uzavírací klapka 250x200, vč. servopohonu 230 V/Off</t>
  </si>
  <si>
    <t>1374728731</t>
  </si>
  <si>
    <t>Poznámka k položce:_x000D_
- pol. 43</t>
  </si>
  <si>
    <t>-640081425</t>
  </si>
  <si>
    <t>Šikmý nástavec, 200x150, vč. síťky proti hmyzu a drobnému ptactvu</t>
  </si>
  <si>
    <t>-841461200</t>
  </si>
  <si>
    <t>Poznámka k položce:_x000D_
- pol. 28</t>
  </si>
  <si>
    <t>R751000016.1</t>
  </si>
  <si>
    <t>Šikmý nástavec, 200x200, vč. síťky proti hmyzu a drobnému ptactvu</t>
  </si>
  <si>
    <t>-1066952180</t>
  </si>
  <si>
    <t>Poznámka k položce:_x000D_
- pol. 29</t>
  </si>
  <si>
    <t>R751000016.2</t>
  </si>
  <si>
    <t>2011313308</t>
  </si>
  <si>
    <t>1594430662</t>
  </si>
  <si>
    <t>1089261529</t>
  </si>
  <si>
    <t>R751000015.1</t>
  </si>
  <si>
    <t>Šikmý nástavec, D200, vč. síťky proti hmyzu a drobnému ptactvu</t>
  </si>
  <si>
    <t>-1194818774</t>
  </si>
  <si>
    <t>Poznámka k položce:_x000D_
- pol. 33</t>
  </si>
  <si>
    <t>-859456605</t>
  </si>
  <si>
    <t>1026367642</t>
  </si>
  <si>
    <t>-1254893401</t>
  </si>
  <si>
    <t>1181278570</t>
  </si>
  <si>
    <t>16+16</t>
  </si>
  <si>
    <t>1020075538</t>
  </si>
  <si>
    <t>"250x140*390 - Pol. 9.909</t>
  </si>
  <si>
    <t>12+12</t>
  </si>
  <si>
    <t>1640612064</t>
  </si>
  <si>
    <t>Rekuperační jednotka VZT - 07.1.1, vzduchový výkon 670 m3/h při 300 Pa</t>
  </si>
  <si>
    <t>1383097402</t>
  </si>
  <si>
    <t>Poznámka k položce:_x000D_
Vzduchový výkon jednotky 670 m3/h při 300 Pa. Jednotka bude osazena protiproudým rekuperátorem s účinností 93% (-15/15°C), elektrickým ohřívačem o výkonu 3,0 kW (13/27°C-2,4). Pro chlazení bude jednotka vybavena přímým chladičem (R32) o výkonu 3,3 kW (27-rekuperátor /15°C)</t>
  </si>
  <si>
    <t>R751000001.1</t>
  </si>
  <si>
    <t>Rekuperační jednotka VZT - 07.4.1, vzduchový výkon 670 m3/h při 300 Pa</t>
  </si>
  <si>
    <t>1166662116</t>
  </si>
  <si>
    <t>R751000001.2</t>
  </si>
  <si>
    <t>Rekuperační jednotka VZT - 07.5.1, vzduchový výkon 740 m3/h při 300 Pa</t>
  </si>
  <si>
    <t>-138712392</t>
  </si>
  <si>
    <t>Poznámka k položce:_x000D_
Vzduchový výkon jednotky 740 m3/h při 300 Pa. Jednotka bude osazena protiproudým rekuperátorem s účinností 98% (-15/13°C), elektrickým ohřívačem o výkonu 3,0 kW (13/27°C-2,7 kW). Pro chlazení bude jednotka vybavena přímým chladičem (R32) o výkonu 3,43 kW (27-rekuperátor /15°C)</t>
  </si>
  <si>
    <t>R751000001.3</t>
  </si>
  <si>
    <t>Rekuperační jednotka VZT - 07.8.1, vzduchový výkon 740 m3/h při 300 Pa</t>
  </si>
  <si>
    <t>105751320</t>
  </si>
  <si>
    <t>R751000001.4</t>
  </si>
  <si>
    <t>Rekuperační jednotka VZT - 07.2.1, vzduchový výkon 670 m3/h při 300 Pa</t>
  </si>
  <si>
    <t>1166328663</t>
  </si>
  <si>
    <t>R751000001.5</t>
  </si>
  <si>
    <t>Rekuperační jednotka VZT - 07.3.1, vzduchový výkon 670 m3/h při 300 Pa</t>
  </si>
  <si>
    <t>1391471647</t>
  </si>
  <si>
    <t>R751000001.6</t>
  </si>
  <si>
    <t>Rekuperační jednotka VZT - 07.6.1, vzduchový výkon 670 m3/h při 300 Pa</t>
  </si>
  <si>
    <t>-879317521</t>
  </si>
  <si>
    <t>R751000001.7</t>
  </si>
  <si>
    <t>Rekuperační jednotka VZT - 07.7.1, vzduchový výkon 670 m3/h při 300 Pa</t>
  </si>
  <si>
    <t>-661248872</t>
  </si>
  <si>
    <t>-265325643</t>
  </si>
  <si>
    <t>1613364930</t>
  </si>
  <si>
    <t>R751000900</t>
  </si>
  <si>
    <t>Mtž zvlhčovače</t>
  </si>
  <si>
    <t>-242444743</t>
  </si>
  <si>
    <t>8*6</t>
  </si>
  <si>
    <t>R751000901</t>
  </si>
  <si>
    <t>Elektrodový parní zvlhčovač, výkon 10 kg/h - 7.1-2</t>
  </si>
  <si>
    <t>-2118967872</t>
  </si>
  <si>
    <t>Poznámka k položce:_x000D_
7.1-2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</si>
  <si>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R751000902</t>
  </si>
  <si>
    <t>Elektrodový parní zvlhčovač, výkon 10 kg/h - 7.2-2</t>
  </si>
  <si>
    <t>1922510123</t>
  </si>
  <si>
    <t>Poznámka k položce:_x000D_
7.2-2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</si>
  <si>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R751000903</t>
  </si>
  <si>
    <t>Elektrodový parní zvlhčovač, výkon 10 kg/h - 7.3-2</t>
  </si>
  <si>
    <t>-1329584065</t>
  </si>
  <si>
    <t>Poznámka k položce:_x000D_
7.3-2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</si>
  <si>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R751000904</t>
  </si>
  <si>
    <t>Elektrodový parní zvlhčovač, výkon 10 kg/h - 7.4-2</t>
  </si>
  <si>
    <t>1254919575</t>
  </si>
  <si>
    <t>Poznámka k položce:_x000D_
7.4-2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</si>
  <si>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R751000905</t>
  </si>
  <si>
    <t>Elektrodový parní zvlhčovač, výkon 10 kg/h - 7.5-2</t>
  </si>
  <si>
    <t>-1814244631</t>
  </si>
  <si>
    <t>Poznámka k položce:_x000D_
7.5-2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</si>
  <si>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R751000906</t>
  </si>
  <si>
    <t>Elektrodový parní zvlhčovač, výkon 10 kg/h - 7.6-2</t>
  </si>
  <si>
    <t>-641667176</t>
  </si>
  <si>
    <t>Poznámka k položce:_x000D_
7.6-2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</si>
  <si>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R751000907</t>
  </si>
  <si>
    <t>Elektrodový parní zvlhčovač, výkon 10 kg/h - 7.7-2</t>
  </si>
  <si>
    <t>-680760967</t>
  </si>
  <si>
    <t>Poznámka k položce:_x000D_
7.7-2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</si>
  <si>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R751000908</t>
  </si>
  <si>
    <t>Elektrodový parní zvlhčovač, výkon 10 kg/h - 7.8-2</t>
  </si>
  <si>
    <t>1820328005</t>
  </si>
  <si>
    <t>Poznámka k položce:_x000D_
7.8-2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</si>
  <si>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R751000909</t>
  </si>
  <si>
    <t>parní trubice, průměr 25 mm</t>
  </si>
  <si>
    <t>863490261</t>
  </si>
  <si>
    <t>Poznámka k položce:_x000D_
- pol. 7.1-3_x000D_
- pol. 7.2-3_x000D_
- pol. 7.3-3_x000D_
- pol. 7.4-3_x000D_
- pol. 7.5-3_x000D_
- pol. 7.6-3_x000D_
- pol. 7.7-3_x000D_
- pol. 7.8-3</t>
  </si>
  <si>
    <t>-741197980</t>
  </si>
  <si>
    <t>-1246022064</t>
  </si>
  <si>
    <t>-1719520617</t>
  </si>
  <si>
    <t>-1027018030</t>
  </si>
  <si>
    <t>08 - Odvětrání hyg. zázemí a technických místností</t>
  </si>
  <si>
    <t>-800326026</t>
  </si>
  <si>
    <t>-524187119</t>
  </si>
  <si>
    <t>5,4+1,1</t>
  </si>
  <si>
    <t>292490151</t>
  </si>
  <si>
    <t>0,5+1+0,5</t>
  </si>
  <si>
    <t>-2120467717</t>
  </si>
  <si>
    <t>11+1</t>
  </si>
  <si>
    <t>504574327</t>
  </si>
  <si>
    <t>1675920317</t>
  </si>
  <si>
    <t>327615769</t>
  </si>
  <si>
    <t>434683407</t>
  </si>
  <si>
    <t>751111211</t>
  </si>
  <si>
    <t>Montáž ventilátoru axiálního nízkotlakého střešního základního, průměru do 300 mm</t>
  </si>
  <si>
    <t>-1252528646</t>
  </si>
  <si>
    <t>Střešní venitlátor D200, vzduchový výkon 415 m3/h při 150 Pa</t>
  </si>
  <si>
    <t>-1065826223</t>
  </si>
  <si>
    <t>Poznámka k položce:_x000D_
- pol. 8.1_x000D_
- Střešní venitlátor D200, vzduchový výkon 415m3/h při 150 Pa_x000D_
- vč. soklového tlumiče hluku, samotížné klapky, regulátoru otáček, doběhu</t>
  </si>
  <si>
    <t>-1063750108</t>
  </si>
  <si>
    <t>R751000102</t>
  </si>
  <si>
    <t>Talířový ventil, D080, kovový, regulovatelny, odvodní</t>
  </si>
  <si>
    <t>-926977674</t>
  </si>
  <si>
    <t>Poznámka k položce:_x000D_
- pol. 05_x000D_
- vč. montážního kroužku</t>
  </si>
  <si>
    <t>751322012</t>
  </si>
  <si>
    <t>Montáž talířových ventilů, anemostatů, dýz talířového ventilu, průměru přes 100 do 200 mm</t>
  </si>
  <si>
    <t>-1341324502</t>
  </si>
  <si>
    <t>R751000103</t>
  </si>
  <si>
    <t>Talířový ventil, D100, kovový, regulovatelny, odvodní</t>
  </si>
  <si>
    <t>1245692692</t>
  </si>
  <si>
    <t>Poznámka k položce:_x000D_
- pol. 06_x000D_
- vč. montážního kroužku</t>
  </si>
  <si>
    <t>R751000105</t>
  </si>
  <si>
    <t>Talířový ventil, D150, kovový, regulovatelny, odvodní</t>
  </si>
  <si>
    <t>538341922</t>
  </si>
  <si>
    <t>Poznámka k položce:_x000D_
- pol. 08_x000D_
- vč. montážního kroužku</t>
  </si>
  <si>
    <t>751510041</t>
  </si>
  <si>
    <t>Vzduchotechnické potrubí z pozinkovaného plechu kruhové, trouba spirálně vinutá bez příruby, průměru do 100 mm</t>
  </si>
  <si>
    <t>-1055423298</t>
  </si>
  <si>
    <t>"D080</t>
  </si>
  <si>
    <t>1391108841</t>
  </si>
  <si>
    <t>1,3*(0,5)</t>
  </si>
  <si>
    <t>"D140</t>
  </si>
  <si>
    <t>"D150</t>
  </si>
  <si>
    <t>1,3*(1)</t>
  </si>
  <si>
    <t>1,3*(2,5)</t>
  </si>
  <si>
    <t>163535133</t>
  </si>
  <si>
    <t>1,3*(12,5)</t>
  </si>
  <si>
    <t>751537131</t>
  </si>
  <si>
    <t>Montáž kruhového potrubí ohebného izolovaného minerální vatou z Al folie, průměru do 100 mm</t>
  </si>
  <si>
    <t>-982377918</t>
  </si>
  <si>
    <t>R751000021.1</t>
  </si>
  <si>
    <t>Zvukově izolovaná hadice z Al folie, D080</t>
  </si>
  <si>
    <t>1734695943</t>
  </si>
  <si>
    <t>-1955837058</t>
  </si>
  <si>
    <t>R751000021.3</t>
  </si>
  <si>
    <t>529904157</t>
  </si>
  <si>
    <t>Zvukově izolovaná hadice z Al folie, D150</t>
  </si>
  <si>
    <t>588687889</t>
  </si>
  <si>
    <t>1680522230</t>
  </si>
  <si>
    <t>1,95+10,4+16,25</t>
  </si>
  <si>
    <t>94452498</t>
  </si>
  <si>
    <t>"D100*100 - pol. 9.910</t>
  </si>
  <si>
    <t>"D140*100 - pol. 9.916</t>
  </si>
  <si>
    <t>-284696677</t>
  </si>
  <si>
    <t>905237293</t>
  </si>
  <si>
    <t>1162332159</t>
  </si>
  <si>
    <t>-2088262067</t>
  </si>
  <si>
    <t>964933922</t>
  </si>
  <si>
    <t>-403823937</t>
  </si>
  <si>
    <t>-691869616</t>
  </si>
  <si>
    <t>09 - Odvětrání hyg. zázemí</t>
  </si>
  <si>
    <t>-1221190009</t>
  </si>
  <si>
    <t>175580156</t>
  </si>
  <si>
    <t>14,60+3,5</t>
  </si>
  <si>
    <t>1514862886</t>
  </si>
  <si>
    <t>1+1,5+0,5+0,5</t>
  </si>
  <si>
    <t>-2001184945</t>
  </si>
  <si>
    <t>1769550123</t>
  </si>
  <si>
    <t>(1,5)*1,3</t>
  </si>
  <si>
    <t>150262254</t>
  </si>
  <si>
    <t>1582819042</t>
  </si>
  <si>
    <t>751133033</t>
  </si>
  <si>
    <t>Montáž ventilátoru diagonálního nízkotlakého střešního základního odvod i přívod, průměru přes 200 do 300 mm</t>
  </si>
  <si>
    <t>1366403956</t>
  </si>
  <si>
    <t>R75100006</t>
  </si>
  <si>
    <t>Potrubní diagonální ventilátor, vzduchový výkon 455 m3/h při 180 Pa</t>
  </si>
  <si>
    <t>1043446852</t>
  </si>
  <si>
    <t>Poznámka k položce:_x000D_
- pol. 9.1_x000D_
- vzduchový výkon 455 m3/h při 180 Pa_x000D_
- 1x230 V/ 50 W/ 0,7 A</t>
  </si>
  <si>
    <t>-770619675</t>
  </si>
  <si>
    <t>-159357373</t>
  </si>
  <si>
    <t>R751000104</t>
  </si>
  <si>
    <t>Talířový ventil, D125, kovový, regulovatelny, odvodní</t>
  </si>
  <si>
    <t>1062359428</t>
  </si>
  <si>
    <t>Poznámka k položce:_x000D_
- pol. 07_x000D_
- vč. montážního kroužku</t>
  </si>
  <si>
    <t>160396519</t>
  </si>
  <si>
    <t>-1684993683</t>
  </si>
  <si>
    <t>Poznámka k položce:_x000D_
- pol. 40; 52_x000D_
- potrubí D250_x000D_
- specifikace viz výpočet v TZ</t>
  </si>
  <si>
    <t>543082208</t>
  </si>
  <si>
    <t>-255641134</t>
  </si>
  <si>
    <t>1,3*(18)</t>
  </si>
  <si>
    <t>1,3*(9,5)</t>
  </si>
  <si>
    <t>1,3*(21)</t>
  </si>
  <si>
    <t>1,3*(19,5)</t>
  </si>
  <si>
    <t>685051625</t>
  </si>
  <si>
    <t>1,3*(17+13,5)</t>
  </si>
  <si>
    <t>751514679</t>
  </si>
  <si>
    <t>Montáž škrtící klapky nebo zpětné klapky do plechového potrubí kruhové bez příruby, průměru přes 100 do 200 mm</t>
  </si>
  <si>
    <t>-951358137</t>
  </si>
  <si>
    <t>Zpětná klapka D160</t>
  </si>
  <si>
    <t>805516304</t>
  </si>
  <si>
    <t>Poznámka k položce:_x000D_
- pol. 6.44</t>
  </si>
  <si>
    <t>751514680</t>
  </si>
  <si>
    <t>Montáž škrtící klapky nebo zpětné klapky do plechového potrubí kruhové bez příruby, průměru přes 200 do 300 mm</t>
  </si>
  <si>
    <t>2039516655</t>
  </si>
  <si>
    <t>R751000003.1</t>
  </si>
  <si>
    <t>Zpětná klapka D250</t>
  </si>
  <si>
    <t>26174847</t>
  </si>
  <si>
    <t>Poznámka k položce:_x000D_
- pol. 45</t>
  </si>
  <si>
    <t>1585514044</t>
  </si>
  <si>
    <t>R751100006</t>
  </si>
  <si>
    <t>Výfuková hlavice VH 250</t>
  </si>
  <si>
    <t>-1927472429</t>
  </si>
  <si>
    <t>Poznámka k položce:_x000D_
- pol. 27</t>
  </si>
  <si>
    <t>-899329248</t>
  </si>
  <si>
    <t>-176760033</t>
  </si>
  <si>
    <t>1,3*(3,5)</t>
  </si>
  <si>
    <t>R751000021.2</t>
  </si>
  <si>
    <t>-1006790338</t>
  </si>
  <si>
    <t>-364808899</t>
  </si>
  <si>
    <t>2+88,5+43</t>
  </si>
  <si>
    <t>-328489358</t>
  </si>
  <si>
    <t>"D200*115 - pol. 9.921</t>
  </si>
  <si>
    <t>751581356</t>
  </si>
  <si>
    <t>Protipožární ochrana vzduchotechnického potrubí prostup kruhového potrubí stropem, průměru potrubí přes 100 do 200 mm</t>
  </si>
  <si>
    <t>-691583450</t>
  </si>
  <si>
    <t>"D125*390 - pol. 9.915</t>
  </si>
  <si>
    <t>1358628564</t>
  </si>
  <si>
    <t>"D160*115 - pol. 9.918</t>
  </si>
  <si>
    <t>1131855355</t>
  </si>
  <si>
    <t>-1461819675</t>
  </si>
  <si>
    <t>-480915125</t>
  </si>
  <si>
    <t>342340572</t>
  </si>
  <si>
    <t>-637524167</t>
  </si>
  <si>
    <t>19796500</t>
  </si>
  <si>
    <t>10 - Odvětrání kotelny</t>
  </si>
  <si>
    <t>-1474027439</t>
  </si>
  <si>
    <t>-211642896</t>
  </si>
  <si>
    <t>2+1,5+0,5</t>
  </si>
  <si>
    <t>1384279648</t>
  </si>
  <si>
    <t>-1591567527</t>
  </si>
  <si>
    <t>1358806655</t>
  </si>
  <si>
    <t>Střešní venitlátor D200, vzduchový výkon 500 m3/h při 150 Pa</t>
  </si>
  <si>
    <t>-2106099154</t>
  </si>
  <si>
    <t>Poznámka k položce:_x000D_
- pol. 10.2_x000D_
- Střešní venitlátor D200, vzduchový výkon 500 m3/h při 150 Pa_x000D_
- vč. soklového tlumiče hluku, samotížné klapky, regulátoru otáček_x000D_
- spínáno MaR</t>
  </si>
  <si>
    <t>751133032</t>
  </si>
  <si>
    <t>Montáž ventilátoru diagonálního nízkotlakého střešního základního odvod i přívod, průměru přes 100 do 200 mm</t>
  </si>
  <si>
    <t>1309845481</t>
  </si>
  <si>
    <t>Potrubní diagonální ventilátor D160, vzduchový výkon 500 m3/h při 150 Pa</t>
  </si>
  <si>
    <t>-1488083022</t>
  </si>
  <si>
    <t>Poznámka k položce:_x000D_
- pol. 10.1_x000D_
- vzduchový výkon 500 m3/h při 150 Pa_x000D_
- ec motor_x000D_
- 1x 230 V/ 109 W/0,8 A_x000D_
- vč. regulátoru otáček_x000D_
- spínáno MaR</t>
  </si>
  <si>
    <t>751311112</t>
  </si>
  <si>
    <t>Montáž vyústí čtyřhranné do kruhového potrubí, průřezu přes 0,040 do 0,080 m2</t>
  </si>
  <si>
    <t>-157456172</t>
  </si>
  <si>
    <t>Vyústka průmyslová KVP 800x75</t>
  </si>
  <si>
    <t>1741919421</t>
  </si>
  <si>
    <t>Poznámka k položce:_x000D_
- pol. 11</t>
  </si>
  <si>
    <t>-825481655</t>
  </si>
  <si>
    <t>Tlumič hluku do kruhového potrubí D160/600</t>
  </si>
  <si>
    <t>-1668820919</t>
  </si>
  <si>
    <t>Poznámka k položce:_x000D_
- pol. 38_x000D_
- potrubí D160</t>
  </si>
  <si>
    <t>751398051</t>
  </si>
  <si>
    <t>Montáž ostatních zařízení protidešťové žaluzie nebo žaluziové klapky na čtyřhranné potrubí, průřezu do 0,150 m2</t>
  </si>
  <si>
    <t>-704593344</t>
  </si>
  <si>
    <t>R751100001</t>
  </si>
  <si>
    <t>Protidešťová žaluzie 355x355, vč. montážního rámu, síťky proti hmyzu</t>
  </si>
  <si>
    <t>-1219398279</t>
  </si>
  <si>
    <t>Poznámka k položce:_x000D_
- pol. 22</t>
  </si>
  <si>
    <t>-131870563</t>
  </si>
  <si>
    <t>2,5*1,3</t>
  </si>
  <si>
    <t>-1087398169</t>
  </si>
  <si>
    <t>5615524</t>
  </si>
  <si>
    <t>644696561</t>
  </si>
  <si>
    <t>Poznámka k položce:_x000D_
- pol. 44</t>
  </si>
  <si>
    <t>-1344376443</t>
  </si>
  <si>
    <t>1282098626</t>
  </si>
  <si>
    <t>-2117452654</t>
  </si>
  <si>
    <t>167229886</t>
  </si>
  <si>
    <t>8*1</t>
  </si>
  <si>
    <t>1419372766</t>
  </si>
  <si>
    <t>-167770715</t>
  </si>
  <si>
    <t>-499401333</t>
  </si>
  <si>
    <t>11 - Odvětrání serverů</t>
  </si>
  <si>
    <t>970688436</t>
  </si>
  <si>
    <t>-1370871955</t>
  </si>
  <si>
    <t>0,5+6,5+0,5</t>
  </si>
  <si>
    <t>-37709476</t>
  </si>
  <si>
    <t>-741672463</t>
  </si>
  <si>
    <t>608341832</t>
  </si>
  <si>
    <t>(1)*1,3</t>
  </si>
  <si>
    <t>-97475738</t>
  </si>
  <si>
    <t>1640004468</t>
  </si>
  <si>
    <t>-1991463621</t>
  </si>
  <si>
    <t>Potrubní diagonální ventilátor D160, vzduchový výkon 150 m3/h při 150 Pa</t>
  </si>
  <si>
    <t>1014475777</t>
  </si>
  <si>
    <t>Poznámka k položce:_x000D_
- pol. 11.1_x000D_
- vzduchový výkon 150 m3/h při 150 Pa_x000D_
- ec motor_x000D_
- 1x 230 V/ 109 W/0,8 A_x000D_
- vč. regulátoru otáček, doběhu</t>
  </si>
  <si>
    <t>576814216</t>
  </si>
  <si>
    <t>-1426172084</t>
  </si>
  <si>
    <t>-2096842949</t>
  </si>
  <si>
    <t>-1982427547</t>
  </si>
  <si>
    <t>-1585001407</t>
  </si>
  <si>
    <t>Poznámka k položce:_x000D_
- pol. 38; 54_x000D_
- potrubí D160</t>
  </si>
  <si>
    <t>751398012</t>
  </si>
  <si>
    <t>Montáž ostatních zařízení větrací mřížky na kruhové potrubí, průměru přes 100 do 200 mm</t>
  </si>
  <si>
    <t>-1184866843</t>
  </si>
  <si>
    <t>R751100007</t>
  </si>
  <si>
    <t>Průchozí stěnový ventil, D125, kruhový, oboustranný</t>
  </si>
  <si>
    <t>-1343699954</t>
  </si>
  <si>
    <t>Poznámka k položce:_x000D_
- pol. 25</t>
  </si>
  <si>
    <t>1932276333</t>
  </si>
  <si>
    <t>1387816716</t>
  </si>
  <si>
    <t>1450630039</t>
  </si>
  <si>
    <t>990643847</t>
  </si>
  <si>
    <t>R751100005</t>
  </si>
  <si>
    <t>Výfuková hlavice VH 160</t>
  </si>
  <si>
    <t>-778525939</t>
  </si>
  <si>
    <t>Poznámka k položce:_x000D_
- pol. 23</t>
  </si>
  <si>
    <t>541077629</t>
  </si>
  <si>
    <t>-484662231</t>
  </si>
  <si>
    <t>135926483</t>
  </si>
  <si>
    <t>17,55</t>
  </si>
  <si>
    <t>-2063223049</t>
  </si>
  <si>
    <t>"D140*390 - pol. 9.917</t>
  </si>
  <si>
    <t>"D140*390 - pol. 9.953</t>
  </si>
  <si>
    <t>1755142840</t>
  </si>
  <si>
    <t>-1661761536</t>
  </si>
  <si>
    <t>-228135337</t>
  </si>
  <si>
    <t>-467276895</t>
  </si>
  <si>
    <t>-779281476</t>
  </si>
  <si>
    <t>382069907</t>
  </si>
  <si>
    <t>12 - Odvětrání technických místností EI</t>
  </si>
  <si>
    <t>1006377874</t>
  </si>
  <si>
    <t>-1715780625</t>
  </si>
  <si>
    <t>1120841292</t>
  </si>
  <si>
    <t>0,5</t>
  </si>
  <si>
    <t>664025337</t>
  </si>
  <si>
    <t>12,5+1,5</t>
  </si>
  <si>
    <t>-1249402730</t>
  </si>
  <si>
    <t>394062240</t>
  </si>
  <si>
    <t>(0,5)*1,3</t>
  </si>
  <si>
    <t>155193450</t>
  </si>
  <si>
    <t>273788229</t>
  </si>
  <si>
    <t>-336426587</t>
  </si>
  <si>
    <t>R751000002.1</t>
  </si>
  <si>
    <t>Střešní venitlátor D200, vzduchový výkon 150 m3/h při 150 Pa</t>
  </si>
  <si>
    <t>221474876</t>
  </si>
  <si>
    <t>Poznámka k položce:_x000D_
- pol. 12.1_x000D_
- Střešní venitlátor D200, vzduchový výkon 150 m3/h při 150 Pa_x000D_
- vč. soklového tlumiče hluku, samotížné klapky, regulátoru otáček, doběhu</t>
  </si>
  <si>
    <t>1065482442</t>
  </si>
  <si>
    <t>Vyústka průmyslová KVP 300x75</t>
  </si>
  <si>
    <t>-1802786120</t>
  </si>
  <si>
    <t>Poznámka k položce:_x000D_
- pol. 5.10</t>
  </si>
  <si>
    <t>751322013</t>
  </si>
  <si>
    <t>Montáž talířových ventilů, anemostatů, dýz talířového ventilu, průměru přes 200 mm</t>
  </si>
  <si>
    <t>-2007524214</t>
  </si>
  <si>
    <t>R751000106</t>
  </si>
  <si>
    <t>Talířový ventil, D200, kovový, regulovatelny, odvodní</t>
  </si>
  <si>
    <t>1755815193</t>
  </si>
  <si>
    <t>Poznámka k položce:_x000D_
- pol. 09_x000D_
- vč. montážního kroužku</t>
  </si>
  <si>
    <t>-871382498</t>
  </si>
  <si>
    <t>1,3*(13,5)</t>
  </si>
  <si>
    <t>167944322</t>
  </si>
  <si>
    <t>116056246</t>
  </si>
  <si>
    <t>"D200*115 - pol. 9.55</t>
  </si>
  <si>
    <t>701661169</t>
  </si>
  <si>
    <t>-1204462293</t>
  </si>
  <si>
    <t>452093577</t>
  </si>
  <si>
    <t>-1406135126</t>
  </si>
  <si>
    <t>856551557</t>
  </si>
  <si>
    <t>-1028806680</t>
  </si>
  <si>
    <t>13 - Odvětrání technických místností</t>
  </si>
  <si>
    <t>1606628413</t>
  </si>
  <si>
    <t>-2013021617</t>
  </si>
  <si>
    <t>-1156290998</t>
  </si>
  <si>
    <t>2+8,5+1+1</t>
  </si>
  <si>
    <t>-596014129</t>
  </si>
  <si>
    <t>-1490074324</t>
  </si>
  <si>
    <t>467890522</t>
  </si>
  <si>
    <t>-681331856</t>
  </si>
  <si>
    <t>-115094433</t>
  </si>
  <si>
    <t>R751000002.2</t>
  </si>
  <si>
    <t>Střešní venitlátor D160, vzduchový výkon 230  m3/h při 150 Pa</t>
  </si>
  <si>
    <t>1813426918</t>
  </si>
  <si>
    <t>Poznámka k položce:_x000D_
- pol. 13.1_x000D_
- Střešní venitlátor D160, vzduchový výkon 230 m3/h při 150 Pa_x000D_
- vč. soklového tlumiče hluku, samotížné klapky, regulátoru otáček, doběhu</t>
  </si>
  <si>
    <t>567671916</t>
  </si>
  <si>
    <t>1751766600</t>
  </si>
  <si>
    <t>Poznámka k položce:_x000D_
- pol. 10</t>
  </si>
  <si>
    <t>-614802714</t>
  </si>
  <si>
    <t>113569562</t>
  </si>
  <si>
    <t>42936487</t>
  </si>
  <si>
    <t>620758453</t>
  </si>
  <si>
    <t>-878659670</t>
  </si>
  <si>
    <t>1,3*(12)</t>
  </si>
  <si>
    <t>744367544</t>
  </si>
  <si>
    <t>-1910805721</t>
  </si>
  <si>
    <t>"D100*115 - pol. 9.911</t>
  </si>
  <si>
    <t>"D125*115 - pol. 9.913</t>
  </si>
  <si>
    <t>1693244751</t>
  </si>
  <si>
    <t>"D160*390 - pol. 9.920</t>
  </si>
  <si>
    <t>-112389133</t>
  </si>
  <si>
    <t>-1116822564</t>
  </si>
  <si>
    <t>-852371627</t>
  </si>
  <si>
    <t>1081186442</t>
  </si>
  <si>
    <t>5212406</t>
  </si>
  <si>
    <t>-1388627308</t>
  </si>
  <si>
    <t>14 - Odvětrání hyg. zázemí</t>
  </si>
  <si>
    <t>-679133249</t>
  </si>
  <si>
    <t>1425477525</t>
  </si>
  <si>
    <t>995818035</t>
  </si>
  <si>
    <t>854426628</t>
  </si>
  <si>
    <t>9+0,5</t>
  </si>
  <si>
    <t>1726289687</t>
  </si>
  <si>
    <t>1454676990</t>
  </si>
  <si>
    <t>(3+0,5)*1,3</t>
  </si>
  <si>
    <t>1327812004</t>
  </si>
  <si>
    <t>933682189</t>
  </si>
  <si>
    <t>751122011</t>
  </si>
  <si>
    <t>Montáž ventilátoru radiálního nízkotlakého nástěnného základního, průměru do 100 mm</t>
  </si>
  <si>
    <t>-997346244</t>
  </si>
  <si>
    <t>Nástěnný radiální ventilátor, vzduchový výkon 100 m3/h při 80 Pa</t>
  </si>
  <si>
    <t>-165931421</t>
  </si>
  <si>
    <t>Poznámka k položce:_x000D_
- pol. 14.1_x000D_
-  vzduchový výkon 100 m3/h při 80 Pa_x000D_
- 1x230 V/ (48/38/31) W_x000D_
- vč. regulátoru, vč. doběhu</t>
  </si>
  <si>
    <t>-2065762311</t>
  </si>
  <si>
    <t>1,3*(14)</t>
  </si>
  <si>
    <t>-1618497158</t>
  </si>
  <si>
    <t>R751100004</t>
  </si>
  <si>
    <t>Výfuková hlavice VH 100</t>
  </si>
  <si>
    <t>880111998</t>
  </si>
  <si>
    <t>Poznámka k položce:_x000D_
- pol. 26</t>
  </si>
  <si>
    <t>617744459</t>
  </si>
  <si>
    <t>1282948875</t>
  </si>
  <si>
    <t>"D125*115 - pol. 9.56</t>
  </si>
  <si>
    <t>1742951317</t>
  </si>
  <si>
    <t>670540302</t>
  </si>
  <si>
    <t>1637052871</t>
  </si>
  <si>
    <t>-1674651117</t>
  </si>
  <si>
    <t>-1085910132</t>
  </si>
  <si>
    <t>-1660825235</t>
  </si>
  <si>
    <t>SIL - ZAŘÍZENÍ SILNOPROUDÉ ELEKTROTECHNIKY</t>
  </si>
  <si>
    <t xml:space="preserve">M - Práce a dodávky M   </t>
  </si>
  <si>
    <t xml:space="preserve">    M-SV - Svítidla   </t>
  </si>
  <si>
    <t xml:space="preserve">    ROZ - Rozvaděče a dodávky   </t>
  </si>
  <si>
    <t xml:space="preserve">    PPP - Protipožární ucpávky   </t>
  </si>
  <si>
    <t xml:space="preserve">    UHR - Uzemnění, hromosvod   </t>
  </si>
  <si>
    <t xml:space="preserve">    M460 - Zemní práce při elektromontážích   </t>
  </si>
  <si>
    <t xml:space="preserve">    HZ - Práce v HZS   </t>
  </si>
  <si>
    <t xml:space="preserve">Práce a dodávky M   </t>
  </si>
  <si>
    <t>741110001</t>
  </si>
  <si>
    <t>Montáž trubka plastová tuhá D přes 16 do 23 mm uložená pevně</t>
  </si>
  <si>
    <t>345710921</t>
  </si>
  <si>
    <t>trubka elektroinstalační tuhá z PVC D 17,4/20 mm, délka 3m (4020HF)</t>
  </si>
  <si>
    <t xml:space="preserve">540 * 1,05   </t>
  </si>
  <si>
    <t>741110002</t>
  </si>
  <si>
    <t>Montáž trubka plastová tuhá D přes 23 do 35 mm uložená pevně</t>
  </si>
  <si>
    <t>345710931</t>
  </si>
  <si>
    <t>trubka elektroinstalační tuhá z PVC D 22,1/25 mm, délka 3m (4025HF)</t>
  </si>
  <si>
    <t xml:space="preserve">32 * 1,05   </t>
  </si>
  <si>
    <t>741110003</t>
  </si>
  <si>
    <t>Montáž trubka plastová tuhá D přes 35 mm uložená pevně</t>
  </si>
  <si>
    <t>345710961</t>
  </si>
  <si>
    <t>trubka elektroinstalační tuhá z PVC D 45,9/50 mm, délka 3m (4050LA)</t>
  </si>
  <si>
    <t>741910413</t>
  </si>
  <si>
    <t>Montáž žlab kovový šířky do 125 mm bez víka</t>
  </si>
  <si>
    <t>R741-001</t>
  </si>
  <si>
    <t>Žlab elektroinstalační 125/50 , vč úchtného a pojovacího materiálu</t>
  </si>
  <si>
    <t>741910521</t>
  </si>
  <si>
    <t>Montáž se zhotovením konstrukce krytu pro kabelové vedení do 200 mm</t>
  </si>
  <si>
    <t>R741-022</t>
  </si>
  <si>
    <t>Kabelový rošt š.150</t>
  </si>
  <si>
    <t>741910412</t>
  </si>
  <si>
    <t>Montáž žlab kovový šířky do 100 mm bez víka</t>
  </si>
  <si>
    <t>R741-001.1</t>
  </si>
  <si>
    <t>Žlab elektroinstalační 62/50 , vč úchtného a pojovacího materiálu</t>
  </si>
  <si>
    <t>741910414</t>
  </si>
  <si>
    <t>Montáž žlab kovový šířky do 250 mm bez víka</t>
  </si>
  <si>
    <t>R741-003</t>
  </si>
  <si>
    <t>Žlab elektroinstalační 250/100 , vč úchtného a pojovacího materiálu</t>
  </si>
  <si>
    <t>741122011</t>
  </si>
  <si>
    <t>Montáž kabel Cu bez ukončení uložený pod omítku plný kulatý 2x1,5 až 2,5 mm2 (CYKY)</t>
  </si>
  <si>
    <t>34111005</t>
  </si>
  <si>
    <t>kabel silový s Cu jádrem 1kV 2x1,5mm2</t>
  </si>
  <si>
    <t xml:space="preserve">64 * 1,05   </t>
  </si>
  <si>
    <t>741122015</t>
  </si>
  <si>
    <t>Montáž kabel Cu bez ukončení uložený pod omítku plný kulatý 3x1,5 mm2 (CYKY)</t>
  </si>
  <si>
    <t>34111030</t>
  </si>
  <si>
    <t>kabel silový s Cu jádrem 1kV 3x1,5mm2</t>
  </si>
  <si>
    <t xml:space="preserve">8950 * 1,05   </t>
  </si>
  <si>
    <t>R741-101</t>
  </si>
  <si>
    <t>kabel silový s Cu jádrem PRAFlaDur  3x1,5mm2 P90</t>
  </si>
  <si>
    <t xml:space="preserve">470 * 1,1   </t>
  </si>
  <si>
    <t>34111031</t>
  </si>
  <si>
    <t>kabel silový s Cu jádrem 1kV 3x1,5mm2 (O)</t>
  </si>
  <si>
    <t xml:space="preserve">794 * 1,05   </t>
  </si>
  <si>
    <t>741122016</t>
  </si>
  <si>
    <t>Montáž kabel Cu bez ukončení uložený pod omítku plný kulatý 3x2,5 až 6 mm2 (CYKY)</t>
  </si>
  <si>
    <t>34111036</t>
  </si>
  <si>
    <t>kabel silový s Cu jádrem 1kV 3x2,5mm2</t>
  </si>
  <si>
    <t xml:space="preserve">5700 * 1,05   </t>
  </si>
  <si>
    <t>34111042</t>
  </si>
  <si>
    <t>kabel silový s Cu jádrem 1kV 3x4mm2</t>
  </si>
  <si>
    <t xml:space="preserve">368 * 1,05   </t>
  </si>
  <si>
    <t>341110480</t>
  </si>
  <si>
    <t>kabel silový s Cu jádrem CYKY 3x6 mm2</t>
  </si>
  <si>
    <t xml:space="preserve">168 * 1,05   </t>
  </si>
  <si>
    <t>741122031</t>
  </si>
  <si>
    <t>Montáž kabel Cu bez ukončení uložený pod omítku plný kulatý 5x1,5 až 2,5 mm2 (CYKY)</t>
  </si>
  <si>
    <t>34111090</t>
  </si>
  <si>
    <t>kabel silový s Cu jádrem 1kV 5x1,5mm2</t>
  </si>
  <si>
    <t xml:space="preserve">672 * 1,05   </t>
  </si>
  <si>
    <t>34111094</t>
  </si>
  <si>
    <t>kabel silový s Cu jádrem 1kV 5x2,5mm2</t>
  </si>
  <si>
    <t xml:space="preserve">308 * 1,05   </t>
  </si>
  <si>
    <t>741122032</t>
  </si>
  <si>
    <t>Montáž kabel Cu bez ukončení uložený pod omítku plný kulatý 5x4 až 6 mm2 (CYKY)</t>
  </si>
  <si>
    <t>34111098</t>
  </si>
  <si>
    <t>kabel silový s Cu jádrem 1kV 5x4mm2</t>
  </si>
  <si>
    <t xml:space="preserve">424 * 1,05   </t>
  </si>
  <si>
    <t>34111100</t>
  </si>
  <si>
    <t>kabel silový s Cu jádrem 1kV 5x6mm2</t>
  </si>
  <si>
    <t xml:space="preserve">108 * 1,05   </t>
  </si>
  <si>
    <t>741122024</t>
  </si>
  <si>
    <t>Montáž kabel Cu bez ukončení uložený pod omítku plný kulatý 4x10 mm2 (CYKY)</t>
  </si>
  <si>
    <t>341110490</t>
  </si>
  <si>
    <t>kabel silový s Cu jádrem CYKY 3x10 mm2</t>
  </si>
  <si>
    <t xml:space="preserve">328 * 1,05   </t>
  </si>
  <si>
    <t>741122225</t>
  </si>
  <si>
    <t>Montáž kabel Cu plný kulatý žíla 3x35+25 mm2, 4x35 mm2 uložený volně (CYKY)</t>
  </si>
  <si>
    <t>341116310</t>
  </si>
  <si>
    <t>kabel silový s Cu jádrem 1-CYKY 3x35+25 mm2</t>
  </si>
  <si>
    <t xml:space="preserve">5 * 1,05   </t>
  </si>
  <si>
    <t>741122226</t>
  </si>
  <si>
    <t>Montáž kabel Cu plný kulatý žíla 3x50+35 až 95+50 mm2 uložený volně (CYKY)</t>
  </si>
  <si>
    <t>R741-102</t>
  </si>
  <si>
    <t>kabel silový PRAFlaDur 3x70+50</t>
  </si>
  <si>
    <t xml:space="preserve">30 * 1,1   </t>
  </si>
  <si>
    <t>741122632</t>
  </si>
  <si>
    <t>Montáž kabel Cu plný kulatý žíla 3x50+35 až 95+50 mm2 uložený pevně (CYKY)</t>
  </si>
  <si>
    <t>34111637</t>
  </si>
  <si>
    <t>kabel silový s Cu jádrem 1kV 3x50+35mm2</t>
  </si>
  <si>
    <t xml:space="preserve">65 * 1,05   </t>
  </si>
  <si>
    <t>741410071</t>
  </si>
  <si>
    <t>Montáž pospojování ochranné konstrukce ostatní vodičem do 16 mm2 uloženým volně nebo pod omítku</t>
  </si>
  <si>
    <t>34141357</t>
  </si>
  <si>
    <t>vodič ohebný s Cu jádrem propojovací pro 450/750V 6mm2</t>
  </si>
  <si>
    <t xml:space="preserve">310 * 1,1   </t>
  </si>
  <si>
    <t>34141358</t>
  </si>
  <si>
    <t>vodič ohebný s Cu jádrem propojovací pro 450/750V 10mm2</t>
  </si>
  <si>
    <t xml:space="preserve">180 * 1,1   </t>
  </si>
  <si>
    <t>34141359</t>
  </si>
  <si>
    <t>vodič ohebný s Cu jádrem propojovací pro 450/750V 16mm2</t>
  </si>
  <si>
    <t xml:space="preserve">24 * 1,1   </t>
  </si>
  <si>
    <t>741410041</t>
  </si>
  <si>
    <t>Montáž vodič uzemňovací drát nebo lano D do 10 mm v městské zástavbě</t>
  </si>
  <si>
    <t>34141360</t>
  </si>
  <si>
    <t>vodič ohebný s Cu jádrem propojovací pro 450/750V 25mm2</t>
  </si>
  <si>
    <t xml:space="preserve">115 * 1,1   </t>
  </si>
  <si>
    <t>741124733</t>
  </si>
  <si>
    <t>Montáž kabel Cu stíněný ovládací žíly 2 až 19x1 mm2 uložený pevně (JYTY)</t>
  </si>
  <si>
    <t>R741-004</t>
  </si>
  <si>
    <t>Kabel ovládací JYTY 3x1</t>
  </si>
  <si>
    <t xml:space="preserve">390 * 1,05   </t>
  </si>
  <si>
    <t>210813001</t>
  </si>
  <si>
    <t>Montáž kabel Cu plný kulatý do 1 kV 2x1,5 až 6 mm2 uložený pevně (CYKY)</t>
  </si>
  <si>
    <t>R741-005</t>
  </si>
  <si>
    <t>kabel s funkčnosí při požáru 1-CHKE-V O 2x2,5</t>
  </si>
  <si>
    <t xml:space="preserve">12 * 1,05   </t>
  </si>
  <si>
    <t>210813061</t>
  </si>
  <si>
    <t>Montáž kabel Cu plný kulatý do 1 kV 5x1,5 až 2,5 mm2 uložený pevně (CYKY)</t>
  </si>
  <si>
    <t>R741-006</t>
  </si>
  <si>
    <t>Kabel s funkčností při požáru 1-CHKE-V J 5x2,5</t>
  </si>
  <si>
    <t>210810109</t>
  </si>
  <si>
    <t>Montáž měděných kabelů CYKY, NYM, NYY, YSLY 1 kV 4x25 mm2 uložených pevně</t>
  </si>
  <si>
    <t>341116100</t>
  </si>
  <si>
    <t>kabel silový s Cu jádrem 1-CYKY 4x25 mm2</t>
  </si>
  <si>
    <t xml:space="preserve">20 * 1,1   </t>
  </si>
  <si>
    <t>741122228</t>
  </si>
  <si>
    <t>Montáž kabel Cu plný kulatý žíla 3x185+95 až 240+120 mm2 uložený volně (CYKY)</t>
  </si>
  <si>
    <t>341116730</t>
  </si>
  <si>
    <t>kabel silový s Cu jádrem 1-CYKY 3x240+120 mm2</t>
  </si>
  <si>
    <t xml:space="preserve">36 * 1,1   </t>
  </si>
  <si>
    <t>741110312</t>
  </si>
  <si>
    <t>Montáž trubka ochranná do krabic plastová tuhá D přes 40 do 90 mm uložená volně</t>
  </si>
  <si>
    <t>345713540</t>
  </si>
  <si>
    <t>trubka elektroinstalační ohebná Kopoflex, HDPE+LDPE KF 09090</t>
  </si>
  <si>
    <t xml:space="preserve">18 * 1,1   </t>
  </si>
  <si>
    <t>741110313</t>
  </si>
  <si>
    <t>Montáž trubka ochranná do krabic plastová tuhá D přes 90 do 133 mm uložená volně</t>
  </si>
  <si>
    <t>34571365</t>
  </si>
  <si>
    <t>trubka elektroinstalační HDPE tuhá dvouplášťová korugovaná D 94/110mm</t>
  </si>
  <si>
    <t xml:space="preserve">34 * 1,1   </t>
  </si>
  <si>
    <t>741210003</t>
  </si>
  <si>
    <t>Montáž rozvodnice oceloplechová nebo plastová běžná do 100 kg</t>
  </si>
  <si>
    <t>741210004</t>
  </si>
  <si>
    <t>Montáž rozvodnice oceloplechová nebo plastová běžná do 150 kg</t>
  </si>
  <si>
    <t>741130001</t>
  </si>
  <si>
    <t>Ukončení vodič izolovaný do 2,5mm2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</si>
  <si>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</si>
  <si>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</si>
  <si>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</si>
  <si>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</si>
  <si>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</si>
  <si>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</si>
  <si>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</si>
  <si>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</si>
  <si>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741130007</t>
  </si>
  <si>
    <t>Ukončení vodič izolovaný do 25 mm2 v rozváděči nebo na přístroji</t>
  </si>
  <si>
    <t>741130011</t>
  </si>
  <si>
    <t>Ukončení vodič izolovaný do 50 mm2 v rozváděči nebo na přístroji</t>
  </si>
  <si>
    <t>741132127</t>
  </si>
  <si>
    <t>Ukončení kabelů 3x240+120 mm2 smršťovací záklopkou nebo páskem bez letování</t>
  </si>
  <si>
    <t>741112101</t>
  </si>
  <si>
    <t>Montáž rozvodka zapuštěná plastová kruhová</t>
  </si>
  <si>
    <t>345715210</t>
  </si>
  <si>
    <t>krabice univerzální z PH KU 68/2-1903</t>
  </si>
  <si>
    <t>741112001</t>
  </si>
  <si>
    <t>Montáž krabice zapuštěná plastová kruhová</t>
  </si>
  <si>
    <t>345715110</t>
  </si>
  <si>
    <t>krabice přístrojová instalační KP 68/2</t>
  </si>
  <si>
    <t>741112111</t>
  </si>
  <si>
    <t>Montáž rozvodka nástěnná plastová čtyřhranná vodič D do 4mm2</t>
  </si>
  <si>
    <t>345714280</t>
  </si>
  <si>
    <t>krabice pancéřová z PH 8111 117x117x58 mm svorkovnicí S-96</t>
  </si>
  <si>
    <t>741111002</t>
  </si>
  <si>
    <t>Montáž podlahových kanálů - krabice s vývody</t>
  </si>
  <si>
    <t>R741-K01</t>
  </si>
  <si>
    <t>Podlahová krabice 24M (300x300)</t>
  </si>
  <si>
    <t>741310001</t>
  </si>
  <si>
    <t>Montáž vypínač nástěnný 1-jednopólový prostředí normální</t>
  </si>
  <si>
    <t>34535400R</t>
  </si>
  <si>
    <t>Spínač jednopólový 10A, kompletní</t>
  </si>
  <si>
    <t>741310003</t>
  </si>
  <si>
    <t>Montáž vypínač nástěnný 2-dvoupólový prostředí normální</t>
  </si>
  <si>
    <t>34535401R</t>
  </si>
  <si>
    <t>Spínač dvojpólový 10A, kompletní</t>
  </si>
  <si>
    <t>741310021</t>
  </si>
  <si>
    <t>Montáž přepínač nástěnný 5-sériový prostředí normální</t>
  </si>
  <si>
    <t>34535405R</t>
  </si>
  <si>
    <t>Přepínač sériový 10A,  kompletní</t>
  </si>
  <si>
    <t>741310022</t>
  </si>
  <si>
    <t>Montáž přepínač nástěnný 6-střídavý prostředí normální</t>
  </si>
  <si>
    <t>34535406R</t>
  </si>
  <si>
    <t>Přepínače střídavý 10A, kompletní</t>
  </si>
  <si>
    <t>741310024</t>
  </si>
  <si>
    <t>Montáž přepínač nástěnný 6+6 dvojitý střídavý prostředí normální</t>
  </si>
  <si>
    <t>34535425R</t>
  </si>
  <si>
    <t>Přepínač dvojitý střídavý 10A, kompletní</t>
  </si>
  <si>
    <t>741310025</t>
  </si>
  <si>
    <t>Montáž přepínač nástěnný 7-křížový prostředí normální</t>
  </si>
  <si>
    <t>34535407R</t>
  </si>
  <si>
    <t>Přepínač křížový 10A, kompletní</t>
  </si>
  <si>
    <t>741310012</t>
  </si>
  <si>
    <t>Montáž ovladač nástěnný 1/0S-tlačítkový zapínací se signální doutnavkou prostředí normální</t>
  </si>
  <si>
    <t>34535785R</t>
  </si>
  <si>
    <t>Spínač jednopólový 10A se orientační doutnavkou, kompletní</t>
  </si>
  <si>
    <t>741310031</t>
  </si>
  <si>
    <t>Montáž vypínač nástěnný 1-jednopólový prostředí venkovní/mokré</t>
  </si>
  <si>
    <t>R741-V01</t>
  </si>
  <si>
    <t>Spínač jednopólový č.1, 10A, prostředí vlhké, kompletní</t>
  </si>
  <si>
    <t>741310042</t>
  </si>
  <si>
    <t>Montáž přepínač nástěnný 6-střídavý prostředí venkovní/mokré</t>
  </si>
  <si>
    <t>R741-V02</t>
  </si>
  <si>
    <t>Spínač jednopólový střídavý č.6, 10A, prostředí vlhké, kompletní</t>
  </si>
  <si>
    <t>741310221</t>
  </si>
  <si>
    <t>Montáž spínač (polo)zapuštěný šroubové připojení řazení 2-pro žaluzie</t>
  </si>
  <si>
    <t>R741-V04</t>
  </si>
  <si>
    <t>Spínač pro žaluzie, polozapuštěný, bílý, kkompletní</t>
  </si>
  <si>
    <t>74131000R</t>
  </si>
  <si>
    <t>Montáž termostatu podlah.topení, vč zapojení</t>
  </si>
  <si>
    <t>741313001</t>
  </si>
  <si>
    <t>Montáž zásuvka (polo)zapuštěná bezšroubové připojení 2P+PE se zapojením vodičů</t>
  </si>
  <si>
    <t>34555100R</t>
  </si>
  <si>
    <t>zásuvka 1násobná 16A , bílá, kompletní</t>
  </si>
  <si>
    <t>741313003</t>
  </si>
  <si>
    <t>Montáž zásuvka (polo)zapuštěná bezšroubové připojení 2x(2P+PE) dvojnásobná, pro průběžnou montáž</t>
  </si>
  <si>
    <t>34555123R</t>
  </si>
  <si>
    <t>zásuvka 2násobná 16A  bílá, kompletní</t>
  </si>
  <si>
    <t>741313082</t>
  </si>
  <si>
    <t>Montáž zásuvka chráněná v krabici šroubové připojení 2P+PE prostředí venkovní, mokré</t>
  </si>
  <si>
    <t>R741-Z01</t>
  </si>
  <si>
    <t>Zásuvka 230V, 16A, IP44</t>
  </si>
  <si>
    <t>741313033</t>
  </si>
  <si>
    <t>Montáž zásuvka vestavná šroubové připojení 2P+PE se zapojením vodičů</t>
  </si>
  <si>
    <t>R741-K02</t>
  </si>
  <si>
    <t>Zásuvka 230V, vestavná do podl.krabice, M45</t>
  </si>
  <si>
    <t>741313052</t>
  </si>
  <si>
    <t>Montáž zásuvka nástěnná šroubové připojení 3P+N+PE se zapojením vodičů</t>
  </si>
  <si>
    <t>R741-Z01.1</t>
  </si>
  <si>
    <t>Zásuvka nástěnná 5p, 16A</t>
  </si>
  <si>
    <t>741311004</t>
  </si>
  <si>
    <t>Montáž čidlo pohybu nástěnné se zapojením vodičů</t>
  </si>
  <si>
    <t>R741-V03</t>
  </si>
  <si>
    <t>Čidlo pohybu stropní, spín prvek relé, kompletní</t>
  </si>
  <si>
    <t>R741-V04.1</t>
  </si>
  <si>
    <t>Čidlo pohybu nástěnné, spín prvek relé, kompletní</t>
  </si>
  <si>
    <t>741330371</t>
  </si>
  <si>
    <t>Montáž ovladač tlačítkový ve skříni1 tlačítkový</t>
  </si>
  <si>
    <t>46050196</t>
  </si>
  <si>
    <t>tlačítko STOP bez blok.ve skříňce se sklem</t>
  </si>
  <si>
    <t>R741-V01.1</t>
  </si>
  <si>
    <t>Materiál na propojení čidel VZT jednotek s rozvaděči VZT jednotky,vč. propojení chlazení pro VZT jednotky</t>
  </si>
  <si>
    <t>sb</t>
  </si>
  <si>
    <t>R741-CH2</t>
  </si>
  <si>
    <t>Materiál na propojení samostatných venkovních a vnitřních jednotek chlazení</t>
  </si>
  <si>
    <t>R741-CH3</t>
  </si>
  <si>
    <t>Materiál na propojení zvlhčovacích jednotek s čidlem vlhkosti</t>
  </si>
  <si>
    <t>741810003</t>
  </si>
  <si>
    <t>Celková prohlídka elektrického rozvodu a zařízení do 1 milionu Kč</t>
  </si>
  <si>
    <t>741810011</t>
  </si>
  <si>
    <t>Příplatek k celkové prohlídce za každých dalších 500 000,- Kč</t>
  </si>
  <si>
    <t>PM</t>
  </si>
  <si>
    <t>Přidružený materiál</t>
  </si>
  <si>
    <t>PPV</t>
  </si>
  <si>
    <t>Podíl přidružených výkonů</t>
  </si>
  <si>
    <t>M-SV</t>
  </si>
  <si>
    <t xml:space="preserve">Svítidla   </t>
  </si>
  <si>
    <t>741372062</t>
  </si>
  <si>
    <t>Montáž svítidlo LED bytové přisazené stropní panelové do 0,36 m2</t>
  </si>
  <si>
    <t>R741-S01</t>
  </si>
  <si>
    <t>LED svítidlo vestavné 36W, 4320lm, 4000k (A), viz. kniha svítidel</t>
  </si>
  <si>
    <t>R741-S02</t>
  </si>
  <si>
    <t>LED svítidlo vestavné 30W, 3600lm, 4000k (B), viz. kniha svítidel</t>
  </si>
  <si>
    <t>741372051</t>
  </si>
  <si>
    <t>Montáž svítidlo LED bytové přisazené stropní reflektorové bez čidla</t>
  </si>
  <si>
    <t>R741-S03</t>
  </si>
  <si>
    <t>LED svítidlo 30W, 3400lm, 4000k ©, viz. kniha svítidel</t>
  </si>
  <si>
    <t>R741-S08</t>
  </si>
  <si>
    <t>LED svítidlo 24W, 2500 lm, 4000k (E), viz. kniha svítidel</t>
  </si>
  <si>
    <t>741371104</t>
  </si>
  <si>
    <t>Montáž svítidlo LED průmyslové</t>
  </si>
  <si>
    <t>R741-S04</t>
  </si>
  <si>
    <t>LED svítidlo 44W, 5400lm, IP66 (D), viz. kniha svítidel</t>
  </si>
  <si>
    <t>ka</t>
  </si>
  <si>
    <t>741372101</t>
  </si>
  <si>
    <t>Montáž svítidlo LED bytové vestavné podhledové bodové</t>
  </si>
  <si>
    <t>R741-S05</t>
  </si>
  <si>
    <t>LED svítidlo 24W, 2500 lm, 4000k (E1), viz. kniha svítidel</t>
  </si>
  <si>
    <t>R741-S06</t>
  </si>
  <si>
    <t>LED svítidlo 25W, 2370lm, 4000k, (F),  viz. kniha svítidel</t>
  </si>
  <si>
    <t>R741-S07</t>
  </si>
  <si>
    <t>LED svítidlo 14W, 1260lm, 4000k, (F1),  viz. kniha svítidel</t>
  </si>
  <si>
    <t>741372151</t>
  </si>
  <si>
    <t>Montáž svítidlo LED průmyslové závěsné lampa</t>
  </si>
  <si>
    <t>R741-S09</t>
  </si>
  <si>
    <t>LED svítidlo průmyslové 18W, 2400lm, 4000k, IP65  (H), viz. kniha svítidel</t>
  </si>
  <si>
    <t>R741-S10</t>
  </si>
  <si>
    <t>LED svítidlo průmyslové 32W, 4400lm, 4000k, IP65  (H1), viz. kniha svítidel</t>
  </si>
  <si>
    <t>741372013</t>
  </si>
  <si>
    <t>Montáž svítidlo LED bytové přisazené nástěnné reflektorové s čidlem</t>
  </si>
  <si>
    <t>R741-S12</t>
  </si>
  <si>
    <t>LED svítidlo 29W, 3400lm, 4000k, (J), viz. kniha svítidel</t>
  </si>
  <si>
    <t>741370032</t>
  </si>
  <si>
    <t>Montáž svítidlo žárovkové bytové nástěnné přisazené 1 zdroj se sklem</t>
  </si>
  <si>
    <t>R741-S11</t>
  </si>
  <si>
    <t>LED nouzové svítidlo 3W, 450lm, IP65, 1hod. (N), viz. kniha svítidel</t>
  </si>
  <si>
    <t>ROZ</t>
  </si>
  <si>
    <t xml:space="preserve">Rozvaděče a dodávky   </t>
  </si>
  <si>
    <t>R001</t>
  </si>
  <si>
    <t>Rozvaděč RH</t>
  </si>
  <si>
    <t>R002</t>
  </si>
  <si>
    <t>Rozvaděč RP1  (v pož.odolnosti EI-30)</t>
  </si>
  <si>
    <t>R003</t>
  </si>
  <si>
    <t>Rozvaděč RP2</t>
  </si>
  <si>
    <t>R004</t>
  </si>
  <si>
    <t>Rozvaděč RP3</t>
  </si>
  <si>
    <t>R005</t>
  </si>
  <si>
    <t>Rozvaděč Rvzt</t>
  </si>
  <si>
    <t>R06</t>
  </si>
  <si>
    <t>Náhradní zdroj UPS 3f/3f, 12kVA, 30min. (v pož.odolnosti EI-30)</t>
  </si>
  <si>
    <t>DD</t>
  </si>
  <si>
    <t>Doprava dodávek</t>
  </si>
  <si>
    <t>PD</t>
  </si>
  <si>
    <t>Přesun dodávek</t>
  </si>
  <si>
    <t>PPP</t>
  </si>
  <si>
    <t xml:space="preserve">Protipožární ucpávky   </t>
  </si>
  <si>
    <t>R741-P01</t>
  </si>
  <si>
    <t>Provedení protipožárních ucpávek vedení elektroinstalace</t>
  </si>
  <si>
    <t>R741-P02</t>
  </si>
  <si>
    <t>Materiál na protipožární ucpávky</t>
  </si>
  <si>
    <t>UHR</t>
  </si>
  <si>
    <t xml:space="preserve">Uzemnění, hromosvod   </t>
  </si>
  <si>
    <t>741410021</t>
  </si>
  <si>
    <t>Montáž vodič uzemňovací pásek průřezu do 120 mm2 v městské zástavbě v zemi</t>
  </si>
  <si>
    <t>354420620</t>
  </si>
  <si>
    <t>pás zemnící 30 x 4 mm FeZn</t>
  </si>
  <si>
    <t>741420001</t>
  </si>
  <si>
    <t>Montáž drát nebo lano hromosvodné svodové D do 10 mm s podpěrou</t>
  </si>
  <si>
    <t>354410770</t>
  </si>
  <si>
    <t>drát průměr 8 mm AlMgSi</t>
  </si>
  <si>
    <t xml:space="preserve">606 * 0,135   </t>
  </si>
  <si>
    <t>354410720</t>
  </si>
  <si>
    <t>drát průměr 8 mm FeZn</t>
  </si>
  <si>
    <t>354410935</t>
  </si>
  <si>
    <t>vodič vysokonapěťový HVI</t>
  </si>
  <si>
    <t>Poznámka k položce:_x000D_
Hmotnost: 0,400 kg/m</t>
  </si>
  <si>
    <t>354410936</t>
  </si>
  <si>
    <t>příslušenství pro HVI (koncovky, držáky)</t>
  </si>
  <si>
    <t>sada</t>
  </si>
  <si>
    <t>354414150</t>
  </si>
  <si>
    <t>podpěra vedení PV 1b 15 FeZn do zdiva 350 mm</t>
  </si>
  <si>
    <t>354414900</t>
  </si>
  <si>
    <t>podpěra vedení PV21c na ploché střech - plastová</t>
  </si>
  <si>
    <t>35441560</t>
  </si>
  <si>
    <t>tvarování</t>
  </si>
  <si>
    <t>741420054</t>
  </si>
  <si>
    <t>Montáž vedení hromosvodné-tvarování prvku</t>
  </si>
  <si>
    <t>741430005</t>
  </si>
  <si>
    <t>Montáž tyč jímací délky do 3 m na stojan</t>
  </si>
  <si>
    <t>354410750</t>
  </si>
  <si>
    <t>tyč jímací s rovným koncem JR 2,5  2500 mm FeZn</t>
  </si>
  <si>
    <t>R741-H01</t>
  </si>
  <si>
    <t>Podstavec k jímací tyči 17kg s klínem a podložkkou</t>
  </si>
  <si>
    <t>354418600</t>
  </si>
  <si>
    <t>svorka SJ 1 k jímací tyči-4 šrouby</t>
  </si>
  <si>
    <t>741420021</t>
  </si>
  <si>
    <t>Montáž svorka hromosvodná se 2 šrouby</t>
  </si>
  <si>
    <t>354418850</t>
  </si>
  <si>
    <t>svorka spojovací SS pro lano D8-10 mm</t>
  </si>
  <si>
    <t>741420022</t>
  </si>
  <si>
    <t>Montáž svorka hromosvodná se 3 šrouby</t>
  </si>
  <si>
    <t>354418750</t>
  </si>
  <si>
    <t>svorka křížová SK pro vodič D6-10 mm</t>
  </si>
  <si>
    <t>354419250</t>
  </si>
  <si>
    <t>svorka zkušební SZ pro lano D6-12 mm   FeZn</t>
  </si>
  <si>
    <t>342</t>
  </si>
  <si>
    <t>741420051</t>
  </si>
  <si>
    <t>Montáž vedení hromosvodné-úhelník nebo trubka s držáky do zdiva</t>
  </si>
  <si>
    <t>344</t>
  </si>
  <si>
    <t>354418300</t>
  </si>
  <si>
    <t>úhelník ochranný OU 1.7 na ochranu svodu 1,7 m</t>
  </si>
  <si>
    <t>346</t>
  </si>
  <si>
    <t>354418360</t>
  </si>
  <si>
    <t>držák ochranného úhelníku do zdiva DOU FeZn</t>
  </si>
  <si>
    <t>348</t>
  </si>
  <si>
    <t xml:space="preserve">10 * 2   </t>
  </si>
  <si>
    <t>210220391</t>
  </si>
  <si>
    <t>Montáž ochranných prvků - trubky s pláštěm</t>
  </si>
  <si>
    <t>350</t>
  </si>
  <si>
    <t>R741-250</t>
  </si>
  <si>
    <t>Trubka ochranná 4040HF_FA, vč.příchytek</t>
  </si>
  <si>
    <t>352</t>
  </si>
  <si>
    <t>741112302</t>
  </si>
  <si>
    <t>Montáž rozvodka pancéřová plastová čtyřhranná 167x167 mm</t>
  </si>
  <si>
    <t>354</t>
  </si>
  <si>
    <t>R741-251</t>
  </si>
  <si>
    <t>krabice 165 x 165  IP54  (8119)</t>
  </si>
  <si>
    <t>356</t>
  </si>
  <si>
    <t>741420083</t>
  </si>
  <si>
    <t>Montáž vedení hromosvodné-štítek k označení svodu</t>
  </si>
  <si>
    <t>358</t>
  </si>
  <si>
    <t>354421100</t>
  </si>
  <si>
    <t>štítek plastový č. 31 -  čísla svodů</t>
  </si>
  <si>
    <t>360</t>
  </si>
  <si>
    <t>210020951</t>
  </si>
  <si>
    <t>Montáž tabulky výstražné smaltované formát A3 až A4</t>
  </si>
  <si>
    <t>362</t>
  </si>
  <si>
    <t>R741-901</t>
  </si>
  <si>
    <t>Výstražná tebulka "Za bouřky se nedotýkej svodu ani se nepohybuj v okruhu 3m od svodu"</t>
  </si>
  <si>
    <t>364</t>
  </si>
  <si>
    <t>366</t>
  </si>
  <si>
    <t>PPVh</t>
  </si>
  <si>
    <t>368</t>
  </si>
  <si>
    <t>M460</t>
  </si>
  <si>
    <t xml:space="preserve">Zemní práce při elektromontážích   </t>
  </si>
  <si>
    <t>460010022</t>
  </si>
  <si>
    <t>Vytyčení trasy vedení kabelového podzemního podél silnice</t>
  </si>
  <si>
    <t>km</t>
  </si>
  <si>
    <t>370</t>
  </si>
  <si>
    <t>460150163</t>
  </si>
  <si>
    <t>Hloubení kabelových zapažených i nezapažených rýh ručně š 35 cm, hl 80 cm, v hornině tř 3</t>
  </si>
  <si>
    <t>372</t>
  </si>
  <si>
    <t>460421081</t>
  </si>
  <si>
    <t>Lože kabelů z písku nebo štěrkopísku tl 5 cm nad kabel, kryté plastovou folií, š lože do 25 cm</t>
  </si>
  <si>
    <t>374</t>
  </si>
  <si>
    <t>460560163</t>
  </si>
  <si>
    <t>Zásyp rýh ručně šířky 35 cm, hloubky 80 cm, z horniny třídy 3</t>
  </si>
  <si>
    <t>376</t>
  </si>
  <si>
    <t>460620013</t>
  </si>
  <si>
    <t>Provizorní úprava terénu se zhutněním, v hornině tř 3</t>
  </si>
  <si>
    <t>378</t>
  </si>
  <si>
    <t>ZV</t>
  </si>
  <si>
    <t>Zednické výpomoci</t>
  </si>
  <si>
    <t>380</t>
  </si>
  <si>
    <t>HZ</t>
  </si>
  <si>
    <t xml:space="preserve">Práce v HZS   </t>
  </si>
  <si>
    <t>hod01</t>
  </si>
  <si>
    <t>Propojení prvků VZT s rozvaděči VZT jednotek, vč.chlazení k jednotce</t>
  </si>
  <si>
    <t>Nh</t>
  </si>
  <si>
    <t>382</t>
  </si>
  <si>
    <t>hod02</t>
  </si>
  <si>
    <t>Propojení venkovní a vnitřní jednotky chlazení</t>
  </si>
  <si>
    <t>384</t>
  </si>
  <si>
    <t>hod05</t>
  </si>
  <si>
    <t>Zapojení zvlhčovacích jednotek a propojení jednotky s čidlem vlhkosti</t>
  </si>
  <si>
    <t>386</t>
  </si>
  <si>
    <t>hod03</t>
  </si>
  <si>
    <t>Koordinece na stavbě</t>
  </si>
  <si>
    <t>388</t>
  </si>
  <si>
    <t>hod04</t>
  </si>
  <si>
    <t>Zajištění bezproudového stavu, jednání se správcem</t>
  </si>
  <si>
    <t>390</t>
  </si>
  <si>
    <t>rev01</t>
  </si>
  <si>
    <t>Revize elektro</t>
  </si>
  <si>
    <t>392</t>
  </si>
  <si>
    <t>SLP - SLABOPROUD</t>
  </si>
  <si>
    <t>Podlahové krabice v kancelářích 2. a 3. NP jsou součástí rozpočtiu silnoproudu</t>
  </si>
  <si>
    <t>D1 - Strukturovaný kabelový rozvod - materiál</t>
  </si>
  <si>
    <t>1.1 - Strukturovaný kabelový rozvod - montáž</t>
  </si>
  <si>
    <t>2 - Aktivní datové prvky a kamery - materiál</t>
  </si>
  <si>
    <t>2.2 - Aktivní datové prvky a kamery - montáž</t>
  </si>
  <si>
    <t>3 - Kabelové kanály, lišty, trubky, krabice pro SLP - materiál</t>
  </si>
  <si>
    <t>3.2 - Kabelové kanály, lišty, trubky, krabice pro SLP - montáž</t>
  </si>
  <si>
    <t>4 - EKV, TLF komunikátory - materiál</t>
  </si>
  <si>
    <t>4.2 - EKV, TLF komunikátory - montáž</t>
  </si>
  <si>
    <t>5 - PZTS - materiál</t>
  </si>
  <si>
    <t>5.1 - PZTS - montáž</t>
  </si>
  <si>
    <t>6 - Tísňové volání - WC invalidé - materiál</t>
  </si>
  <si>
    <t>6.2 - Tísňové volání - WC invalidé - montáž</t>
  </si>
  <si>
    <t>D1</t>
  </si>
  <si>
    <t>Strukturovaný kabelový rozvod - materiál</t>
  </si>
  <si>
    <t>220350110</t>
  </si>
  <si>
    <t>Dat.rozvaděč 42U š 800 x hl. 800 mm, prosklený, stojanový, robustní svařovaná konstrukce, nosnost až 1000 kg</t>
  </si>
  <si>
    <t>220350120</t>
  </si>
  <si>
    <t>Sada zesílených koleček - 4 ks - 750 kg</t>
  </si>
  <si>
    <t>220350130</t>
  </si>
  <si>
    <t>Ventilační jednotka - 150W - 4x ventilátor</t>
  </si>
  <si>
    <t>220350140</t>
  </si>
  <si>
    <t>Příbal montážní 19" M6 - sada 4 ks</t>
  </si>
  <si>
    <t>220350150</t>
  </si>
  <si>
    <t>Patch panel osazený 50 pozic CAT 3 TLF</t>
  </si>
  <si>
    <t>220350160</t>
  </si>
  <si>
    <t>Napájecí panel 19" 7x230V, 1U, UTE</t>
  </si>
  <si>
    <t>220350170</t>
  </si>
  <si>
    <t>Napájecí panel 19" 7x230V, 1U, C14</t>
  </si>
  <si>
    <t>220350180</t>
  </si>
  <si>
    <t>Patch panel pro 24xRJ45 CAT.6 - neosazený, kompatibilní se stávající pasivní technologií univerzity</t>
  </si>
  <si>
    <t>220350190</t>
  </si>
  <si>
    <t>Průchozí panel 1U</t>
  </si>
  <si>
    <t>220350200</t>
  </si>
  <si>
    <t>19" vyvazovací panel 2U, kompatibilní se stávající pasivní technologií univerzity</t>
  </si>
  <si>
    <t>220350210</t>
  </si>
  <si>
    <t>Police 2 U 450mm</t>
  </si>
  <si>
    <t>220350220</t>
  </si>
  <si>
    <t>Modulová zásuvka CAT 6- KEYSTONE 1 x RJ 45, kompatibilní se stávající pasivní technologií univerzity</t>
  </si>
  <si>
    <t>220350230</t>
  </si>
  <si>
    <t>Kabel CAT 6 4x2xAWG24 U/UTP LSZH</t>
  </si>
  <si>
    <t>220350240</t>
  </si>
  <si>
    <t>Dat.zásuvka Cat 6 2x RJ 45 - do přístrojové krabice, kompletní, design shodná se silno</t>
  </si>
  <si>
    <t>220350250</t>
  </si>
  <si>
    <t>Dat.zásuvka Cat 6 1x RJ 45 - do přístrojové krabice, kompletní, design shodná se silno</t>
  </si>
  <si>
    <t>220350260</t>
  </si>
  <si>
    <t>Dat.zásuvka Cat 6 1x RJ 45 - na DIN lištu</t>
  </si>
  <si>
    <t>220350270</t>
  </si>
  <si>
    <t>PŘEDKONEKTOROVANÁ ZÁSUVKA HDMI V1.4 1M BÍLÁ - do přístrovové krabice</t>
  </si>
  <si>
    <t>220350280</t>
  </si>
  <si>
    <t>PŘEDKONEKTOROVANÁ ZÁSUVKA HDMI V1.4 1M BÍLÁ - MODULOVÁ do podlahové krabice</t>
  </si>
  <si>
    <t>220350290</t>
  </si>
  <si>
    <t>Kabel aktivní HDMI s konektory HDMI na míru</t>
  </si>
  <si>
    <t>220350300</t>
  </si>
  <si>
    <t>Dat.zásuvka modulová Cat 6 UTP 1x RJ 45-1 modul 22,5x45 do PK</t>
  </si>
  <si>
    <t>220350310</t>
  </si>
  <si>
    <t>Patchcord Cat 6 UTP, 0,5m zelený</t>
  </si>
  <si>
    <t>220350320</t>
  </si>
  <si>
    <t>Patchcord Cat 6 UTP, 0,5m žlutý</t>
  </si>
  <si>
    <t>220350330</t>
  </si>
  <si>
    <t>Patchcord Cat 6 UTP, 1,0 m žlutý</t>
  </si>
  <si>
    <t>220350340</t>
  </si>
  <si>
    <t>Patchcord Cat 6 UTP, 1,5m žlutý</t>
  </si>
  <si>
    <t>220350350</t>
  </si>
  <si>
    <t>kabel sdělovací stíněný vnitřní 25x2x0,5 (propojení TLF)</t>
  </si>
  <si>
    <t>220350360</t>
  </si>
  <si>
    <t>Krabice přístrojová 68</t>
  </si>
  <si>
    <t>220350370</t>
  </si>
  <si>
    <t>Stahovací pásek 200/4,5</t>
  </si>
  <si>
    <t>220350390</t>
  </si>
  <si>
    <t>Podružný materiál</t>
  </si>
  <si>
    <t>1.1</t>
  </si>
  <si>
    <t>Strukturovaný kabelový rozvod - montáž</t>
  </si>
  <si>
    <t>220350440</t>
  </si>
  <si>
    <t>Montáž + osazení technologie do datové skříně</t>
  </si>
  <si>
    <t>220350450</t>
  </si>
  <si>
    <t>Zatažení/uložení kabelů metalikých/optických do 10mm</t>
  </si>
  <si>
    <t>220350460</t>
  </si>
  <si>
    <t>Zatažení/uložení kabelů metalikých/optických 11 -25mm</t>
  </si>
  <si>
    <t>220350470</t>
  </si>
  <si>
    <t>Měření UTP port</t>
  </si>
  <si>
    <t>220350480</t>
  </si>
  <si>
    <t>Montáž - zásuvka F/UTP - 1 x RJ 45 - komplet</t>
  </si>
  <si>
    <t>220350490</t>
  </si>
  <si>
    <t>Montáž - zásuvka F/UTP - 2 x RJ 45 - komplet</t>
  </si>
  <si>
    <t>220350500</t>
  </si>
  <si>
    <t>Montáž - modulová zásuvka F/UTP - 1 x RJ 45 - komplet</t>
  </si>
  <si>
    <t>220350510</t>
  </si>
  <si>
    <t>AV zásuvka - montáž</t>
  </si>
  <si>
    <t>220350520</t>
  </si>
  <si>
    <t>Ukončení kabelu UTP v rozvaděči</t>
  </si>
  <si>
    <t>220350530</t>
  </si>
  <si>
    <t>Ukončení kabelu SYKFY v rozvaděči (pár)</t>
  </si>
  <si>
    <t>220350540</t>
  </si>
  <si>
    <t>Krabice přístrojová pod omítku vč. vysekání a zapravení</t>
  </si>
  <si>
    <t>Aktivní datové prvky a kamery - materiál</t>
  </si>
  <si>
    <t>220350620</t>
  </si>
  <si>
    <t>3.0 Megapixelová, G1, IP venkovní vysoce citlivá miniDome kamera s IR EXIR přísvitem, 1/2.8" Progressive Scan CMOS, komprese H.265+/H.265/H.264+/H.264/MJPEG, max.rozlišení 2048 × 1536/25fps, objektiv: 2,8mm (4 a 6mm volitelně) @ F1.2, úhel zobrazení: 98°(2.8mm), 78.7°(4mm), 48°(6mm), Citlivost: 0.005Lux @(F1.2,AGC ZAP.) 0 LUX s IR, Den &amp; Noc: ICR automaticky, BLC, 3D-DNR, WDR 120dB, Dosah IR: 20-30m, Micro SD/SDHC/SDXC až 128 GB, Napájení: DC12V/583mA, PoE (802.3af, Power over Ethernet), Pracovní rozsah: -30°C – 60°C, IP67</t>
  </si>
  <si>
    <t>220350630</t>
  </si>
  <si>
    <t>Alternativa držáku, zadní kryt pro skrytou montáž kabelů pro kamery: Φ5", H:1.25", materiál: hliníková slitina</t>
  </si>
  <si>
    <t>220350640</t>
  </si>
  <si>
    <t>WIFI AP - Přístupový bod, podpora Wi-Fi 802.11ac, dvě antény, konfigurace 2x2 MIMO. Rozhraní: 1 x 10/100/1000 RJ-45 LAN, Bluetooth, poskytuje maximální přenosovou rychlost 867 Mb/s v pásmu 5 GHz a 400 Mb/s v pásmu 2,4 GHz (při celkové rychlosti datového toku 1,3 Gb/s).</t>
  </si>
  <si>
    <t>220350650</t>
  </si>
  <si>
    <t>SWITCH 2200- 48T-4G, min. 48 metalických portů 10/100/1000 Mbps + min. 4 porty pro vložné transceiverové moduly standardu SFP, všech min. 52 portů současně schopno funkce směrování L3 IPv4 s OSPF, RIP2 a směrování L3 IPv6 statické, multicast přepínací kapacity: min. 56 Gbps a min. 42Mpps, MAC tabulka adres min. 16000 min. 1024 současně aktivních VLAN z 4096 možných, přístupové listy, 8 QOS front/port STP, ochrana před broadcast bouří a floodem, DoS ochrana, zrcadlení portu, pakety o min. délce 9000 B Ochrana přidělování DHCP pomocí : ukládání informací o vzájemné vazbě IP a MAC adres přiřazených pomocí DHCP, kontrola veškerého ARP provozu přicházejícího na port a zahazování rámců, kde informace neodpovídají uloženým kombinacím IP a MAC adres.,zabránění útokům ICMP redirect QinQ tunelování, LACP protokol stohování min. 4 prvků do jednoho virtuálního prvku manageovaného jako celek na min. vzdálenost 500m pomocí optických kabelů s podporou LACP trunku napříč stohem automatické přiřazování telefonních zařízení do speciální VLANy současně s datovým provozem na témže zdrojovém portu, flow monitorovací protokol, RADIUS autentifikace 802.1x včetně režimu vícenasobného suplikantu outofband port pro správu přes ethernet-TCPIP, DHCP forward na min. 64 různých serverů z různých vlan montáž do racku Záruka min 5let</t>
  </si>
  <si>
    <t>220350660</t>
  </si>
  <si>
    <t>SWITCH 2200 - 48P-4G, min. 48 metalických portů 10/100/1000 Mbps + min. 4 porty pro vložné transceiverové moduly standardu SFP, všech min. 28 portů současně schopno funkce směrování L3 IPv4 s OSPF, RIP2 a směrování L3 IPv6 statické, multicast přepínací kapacity: min. 56 Gbps a min. 42Mpps, MAC tabulka adres min. 16000 min. 1024 současně aktivních VLAN z 4096 možných, přístupové listy, 8 QOS front/port STP, ochrana před broadcast bouří a floodem, DoS ochrana, zrcadlení portu, pakety o min. délce 9000 B Ochrana přidělování DHCP pomocí : ukládání informací o vzájemné vazbě IP a MAC adres přiřazených pomocí DHCP, kontrola veškerého ARP provozu přicházejícího na port a zahazování rámců, kde informace neodpovídají uloženým kombinacím IP a MAC adres.,zabránění útokům ICMP redirect QinQ tunelování, LACP protokol stohování min. 4 prvků do jednoho virtuálního prvku manageovaného jako celek na min. vzdálenost 500m pomocí optických kabelů s podporou LACP trunku napříč stohem automatické přiřazování telefonních zařízení do speciální VLANy současně s datovým provozem na témže zdrojovém portu, flow monitorovací protokol, RADIUS autentifikace 802.1x včetně režimu vícenasobného suplikantu outofband port pro správu přes ethernet-TCPIP, DHCP forward na min. 64 různých serverů z různých vlan všechny metalické porty schopny napájení POE montáž do racku Záruka min 5let</t>
  </si>
  <si>
    <t>220350670</t>
  </si>
  <si>
    <t>Modul SFP - LX 1Gb, 1310 nm</t>
  </si>
  <si>
    <t>220350680</t>
  </si>
  <si>
    <t>Twist pair Modul SFP, 1000 Base-T SFP, plně kompatibilní se stávajícími LAN switchi a univerzitní sítí.</t>
  </si>
  <si>
    <t>220350690</t>
  </si>
  <si>
    <t>Patchcord LC/E2000/APC duplex</t>
  </si>
  <si>
    <t>220350700</t>
  </si>
  <si>
    <t>UPS 1500 VA LCD RM 2U 230 V se SmartConnect</t>
  </si>
  <si>
    <t>220350710</t>
  </si>
  <si>
    <t>UPS Network Management Card 2 je zařízení pro komunikaci s UPS zařízením prostřednictvím konzole . UPS Network Management karta umožní bezpečné sledování a kontrolu jednotlivé UPS pomocí webového prohlížeče, příkazového řádku, nebo s SNMP</t>
  </si>
  <si>
    <t>2.2</t>
  </si>
  <si>
    <t>Aktivní datové prvky a kamery - montáž</t>
  </si>
  <si>
    <t>220350770</t>
  </si>
  <si>
    <t>Kamera CCTV - montáž</t>
  </si>
  <si>
    <t>220350780</t>
  </si>
  <si>
    <t>WIFI router - zeď - montáž</t>
  </si>
  <si>
    <t>220350790</t>
  </si>
  <si>
    <t>Instalace aktivního prvku do RACK</t>
  </si>
  <si>
    <t>Kabelové kanály, lišty, trubky, krabice pro SLP - materiál</t>
  </si>
  <si>
    <t>220350870</t>
  </si>
  <si>
    <t>Drátěný kabelový žlab EZ 54/300 s přísluš.vč uchycení stěna/strop , zemnění</t>
  </si>
  <si>
    <t>220350880</t>
  </si>
  <si>
    <t>Drátěný kabelový žlab EZ 54/250 s přísluš.vč uchycení stěna/strop , zemnění</t>
  </si>
  <si>
    <t>220350890</t>
  </si>
  <si>
    <t>Drátěný kabelový žlab EZ 54/200 s přísluš.vč uchycení stěna/strop , zemnění</t>
  </si>
  <si>
    <t>220350900</t>
  </si>
  <si>
    <t>Drátěný kabelový žlab EZ 54/150 s přísluš.vč uchycení stěna/strop , zemnění</t>
  </si>
  <si>
    <t>220350910</t>
  </si>
  <si>
    <t>PODLAHOVÁ KRABICE 24M M KRYT PRO KRYTINU, ŠEDÁ, Podlahová krabice pro 24 modulů</t>
  </si>
  <si>
    <t>220350920</t>
  </si>
  <si>
    <t>Plastová inst. krabice do betonu pro 16 modulů 896 32</t>
  </si>
  <si>
    <t>220350930</t>
  </si>
  <si>
    <t>Silová zásuvka modulová 45x45, 2P +T, bílá do Podl.Krabice</t>
  </si>
  <si>
    <t>220350940</t>
  </si>
  <si>
    <t>M ZÁSLEPKA 2M BÍLÁ</t>
  </si>
  <si>
    <t>220350950</t>
  </si>
  <si>
    <t>El inst krabice 250 X 250 mm pod omítku</t>
  </si>
  <si>
    <t>220350960</t>
  </si>
  <si>
    <t>El inst krabice 125 X 125 mm pod omítku</t>
  </si>
  <si>
    <t>220350970</t>
  </si>
  <si>
    <t>Trubka elektro 25 mm ohebná samozháš. 750N/5cm</t>
  </si>
  <si>
    <t>220350980</t>
  </si>
  <si>
    <t>Trubka elektro 32 mm ohebná samozháš. 750N/5cm</t>
  </si>
  <si>
    <t>220350990</t>
  </si>
  <si>
    <t>Trubka elektro 40 mm ohebná samozháš. 750N/5cm</t>
  </si>
  <si>
    <t>220351000</t>
  </si>
  <si>
    <t>Trubka elektro 50 mm ohebná samozháš. 750N/5cm</t>
  </si>
  <si>
    <t>220351010</t>
  </si>
  <si>
    <t>Kabelová příchytka - kovová - komplet pro 1 kabel</t>
  </si>
  <si>
    <t>220351020</t>
  </si>
  <si>
    <t>Kabelová příchytka - kovová - komplet pro 2 kabely</t>
  </si>
  <si>
    <t>220351030</t>
  </si>
  <si>
    <t>Lišta LV 40x20</t>
  </si>
  <si>
    <t>220351040</t>
  </si>
  <si>
    <t>Protipožární akrylový tmel přetíratelný, hustota 1600kg/m3, 90 min</t>
  </si>
  <si>
    <t>220351050</t>
  </si>
  <si>
    <t>Montážní pěna na utěsnění podlahových krabic a vstupních otv.750ml</t>
  </si>
  <si>
    <t>220351070</t>
  </si>
  <si>
    <t>3.2</t>
  </si>
  <si>
    <t>Kabelové kanály, lišty, trubky, krabice pro SLP - montáž</t>
  </si>
  <si>
    <t>220351110</t>
  </si>
  <si>
    <t>Kabelový žlab drátěný - montáž komplet</t>
  </si>
  <si>
    <t>220351120</t>
  </si>
  <si>
    <t>Podlahová krabice</t>
  </si>
  <si>
    <t>220351130</t>
  </si>
  <si>
    <t>Krabice 250 pod omítku vč. vysekání a zapravení</t>
  </si>
  <si>
    <t>220351140</t>
  </si>
  <si>
    <t>Krabice 125 pod omítku vč. vysekání a zapravení</t>
  </si>
  <si>
    <t>220351150</t>
  </si>
  <si>
    <t>Lišta LV</t>
  </si>
  <si>
    <t>220351160</t>
  </si>
  <si>
    <t>Montáž trubky 16 - 48 mm pod omítku vč. vyfrézování drážky a zapravení</t>
  </si>
  <si>
    <t>220351170</t>
  </si>
  <si>
    <t>Uložení trubky 25 - 50 mm - podlaha</t>
  </si>
  <si>
    <t>220351180</t>
  </si>
  <si>
    <t>Kabelová příchytka - montáž</t>
  </si>
  <si>
    <t>220351190</t>
  </si>
  <si>
    <t>Průraz otvoru ve zdivu cihelném,0,09 m2, tl15 -25 cm vč. zapravení</t>
  </si>
  <si>
    <t>220351200</t>
  </si>
  <si>
    <t>Průraz otvoru ve zdivu cihelném,0,09 m2, tl45 cm vč.zapravení</t>
  </si>
  <si>
    <t>220351210</t>
  </si>
  <si>
    <t>Aplikace mont/požární pěny do otvorů</t>
  </si>
  <si>
    <t>EKV, TLF komunikátory - materiál</t>
  </si>
  <si>
    <t>220351310</t>
  </si>
  <si>
    <t>ŘJ přístup : Control terminal, "Inteligentní řídící terminál , plně kompatibilní se stávajícím systémem univerzity - napojení na řídící systém přes RS232/RS485/Ethernet - napájení 12V, bateriová mikrozáloha - 2x IO interface, 2x ABA Tk2 interface, 2x WIEGAND interface - řízení až 31 podřízených terminálu na sběrnici RS485 - komunikace ve standardu protokolu NET92 na sběrnici RS485 - kapacitam RAM min. 0,5 MB - kapacita min 40.000 os. karet - min. 100.000 záznamů historie transakcí - programovatelná jednotka v C++, pomocí skriptů"</t>
  </si>
  <si>
    <t>220351320</t>
  </si>
  <si>
    <t>Montážní skříň pro controller</t>
  </si>
  <si>
    <t>220351330</t>
  </si>
  <si>
    <t>Přístupová - Slave jednotka - terminál - 914, napojení RS485 / RS232, komunikační protokol NET92 - schopná pracovat v Off-Line i On-Line režimu. - Kapacita v Off-Lin režimu min. 300 ID karet. - IO rozhraní 3x vstup/3x výstup - napájení 9V až 24V - Vstup pro externí čtečky 2x ABA Tk2, 2x Wiegand, 2x DALLAS, 1x PS/2, RS232 - možnost napojení displeje - antitamper sensor - integrovaná čtečka EM4102 komapatibilní - možnost napojení externí RFID čtečky LF, HF, UHF</t>
  </si>
  <si>
    <t>220351340</t>
  </si>
  <si>
    <t>Skříň se svorkovnicí, montáž pod omítku, pro terminál</t>
  </si>
  <si>
    <t>220351350</t>
  </si>
  <si>
    <t>Čtečka 13,6 MHz MF 14443A kompatibilní, RFID sectorr reader 14443A standard, - výstup ABA Tk2, RS232, WIEGAND, RS485 - programovatelný pro formát vyčítaných dat - prgramovatelný pro formát výstupních dat - prrogramovatelný - jednotlivé čtení/opakované čtení</t>
  </si>
  <si>
    <t>220351360</t>
  </si>
  <si>
    <t>Rámeček pro čtečku</t>
  </si>
  <si>
    <t>220351370</t>
  </si>
  <si>
    <t>Rámeček pro čtečku s LED pro EZS</t>
  </si>
  <si>
    <t>220351380</t>
  </si>
  <si>
    <t>Kabel speciální - 2x1 + 2x2x2x0,22</t>
  </si>
  <si>
    <t>220351390</t>
  </si>
  <si>
    <t>kabel napájecí CYSY 2x1,5</t>
  </si>
  <si>
    <t>220351400</t>
  </si>
  <si>
    <t>Spínaný napájecí zálohovaný zdroj, Napáječ 220st/12Vss 9A - zál.pulsní zdroj bat 24Ah</t>
  </si>
  <si>
    <t>220351410</t>
  </si>
  <si>
    <t>Napájecí zdroj - ŘJ - 12V/3A DC, Napáječ 220st/12Vss 3A - zálohovaný pulsní zdroj 7Ah baterie</t>
  </si>
  <si>
    <t>220351420</t>
  </si>
  <si>
    <t>Kabelová průchodka, nerozpojitelná</t>
  </si>
  <si>
    <t>220351430</t>
  </si>
  <si>
    <t>Elektromagnetický otevírač pro požární dveře se signalizací vč čelní lišty</t>
  </si>
  <si>
    <t>220351440</t>
  </si>
  <si>
    <t>Dveřní TLF analog, základní modul + 3x 2 tlačítka, audio</t>
  </si>
  <si>
    <t>220351450</t>
  </si>
  <si>
    <t>Střížka pro 1 modul</t>
  </si>
  <si>
    <t>220351460</t>
  </si>
  <si>
    <t>Elektromagnetický otevírač pro nepožární dveře, Elektrický zámek PROFI, 12VDC (600mA), 12VAC (300mA), se signalizací a momentovým kolíkem</t>
  </si>
  <si>
    <t>220351470</t>
  </si>
  <si>
    <t>krabice instalační přístrojová</t>
  </si>
  <si>
    <t>220351490</t>
  </si>
  <si>
    <t>4.2</t>
  </si>
  <si>
    <t>EKV, TLF komunikátory - montáž</t>
  </si>
  <si>
    <t>220351540</t>
  </si>
  <si>
    <t>Rídící jednotka - montáž, programování</t>
  </si>
  <si>
    <t>220351550</t>
  </si>
  <si>
    <t>Dveřní termínál + čtečka + zámek -1 dveře - montáž</t>
  </si>
  <si>
    <t>220351560</t>
  </si>
  <si>
    <t>Zálohovaný zdroj - montáž</t>
  </si>
  <si>
    <t>220351570</t>
  </si>
  <si>
    <t>TLF komunikátor - montáž</t>
  </si>
  <si>
    <t>220351580</t>
  </si>
  <si>
    <t>Zatažení kabelů do 10 mm</t>
  </si>
  <si>
    <t>220351590</t>
  </si>
  <si>
    <t>Krabice instalační se svorl pod omítku vč. vysekání a zapravení</t>
  </si>
  <si>
    <t>220351600</t>
  </si>
  <si>
    <t>PZTS - materiál</t>
  </si>
  <si>
    <t>220351670</t>
  </si>
  <si>
    <t>Ústředna PZTS 96 zón, 2 sběrnice, Počet podsystémů: 16 Připojení k PC: ano, přímé Max. počet zón: 96 Počet vstupů (zón) na desce ústředny: 16 Max. počet zónových expandérů: 10 Max. počet klávesnic v systému: 16 Max. počet PGM výstupů v systému: 48 + 6 (na ústředně 8 + 6)</t>
  </si>
  <si>
    <t>220351680</t>
  </si>
  <si>
    <t>Koncentrátor - expandér 8V/4Vý s krabicí</t>
  </si>
  <si>
    <t>220351690</t>
  </si>
  <si>
    <t>Komunikační ethernet modul do ústředny, ETH 080, pro napojení do LAN</t>
  </si>
  <si>
    <t>220351700</t>
  </si>
  <si>
    <t>Přepěťový filtr - na napájecí kabel</t>
  </si>
  <si>
    <t>220351710</t>
  </si>
  <si>
    <t>Přepěťový filtr - na linky</t>
  </si>
  <si>
    <t>220351720</t>
  </si>
  <si>
    <t>Klávesnice ovládací dotykový displ. obr., barevná , Typ klávesnice: LCD programovací, ovládací Proudový odběr: min. 105 mA, max. 180 mA Displej: dotykový VGA LCD, 64tis. barev, programovatelné podsvícení Tamper: ano</t>
  </si>
  <si>
    <t>220351730</t>
  </si>
  <si>
    <t>Napájecí zálohovaný zdroj 13,8 V /3 A, Typ modulu: přídavný zdroj Typ zdroje: AC/DC měnič Provedení: plechový box Napájení: 230 V~), (180 - 260 V~) Výstupní napětí: 13,8 V= (12 - 14 V=) Max, proudový odběr z AUX výstupu: 3 A Dobíjecí proud záložního akumulátoru: 0,5 A Záložní akumulátor: max. 18 Ah Detekce výpadku AC: ano, LED Detekce přetížení AUX : ano, LED Ochrana AUX výstupu: zkrat, přetížení Ochrana akku: vybití pod 9,5 V, přepólování Ochrana proti přepětí: ano, vstup AC Tamper krytu: ano</t>
  </si>
  <si>
    <t>220351740</t>
  </si>
  <si>
    <t>Zálohovací AKU 12V / 17Ah</t>
  </si>
  <si>
    <t>220351750</t>
  </si>
  <si>
    <t>Duální detektor PIR + MW vnitřní, 15x15 m</t>
  </si>
  <si>
    <t>220351760</t>
  </si>
  <si>
    <t>Detektor - tříštění skla</t>
  </si>
  <si>
    <t>220351770</t>
  </si>
  <si>
    <t>MG kontakt vratový</t>
  </si>
  <si>
    <t>220351780</t>
  </si>
  <si>
    <t>MG kontakt</t>
  </si>
  <si>
    <t>220351790</t>
  </si>
  <si>
    <t>Siréna vnitřní</t>
  </si>
  <si>
    <t>220351800</t>
  </si>
  <si>
    <t>Instalační svorkovnice s tamperem</t>
  </si>
  <si>
    <t>220351810</t>
  </si>
  <si>
    <t>Zař.dálk. přenosu ZDP - verze GRPS,komplet vč. GSM antény</t>
  </si>
  <si>
    <t>220351820</t>
  </si>
  <si>
    <t>Kabel - sběrnice, čidla - FTP CAT 5e LS0H</t>
  </si>
  <si>
    <t>220351830</t>
  </si>
  <si>
    <t>krabice přístrojová 68</t>
  </si>
  <si>
    <t>220351850</t>
  </si>
  <si>
    <t>Instalační materiál podružný</t>
  </si>
  <si>
    <t>5.1</t>
  </si>
  <si>
    <t>PZTS - montáž</t>
  </si>
  <si>
    <t>220900110</t>
  </si>
  <si>
    <t>Ústředna - montáž, programování</t>
  </si>
  <si>
    <t>-1713393864</t>
  </si>
  <si>
    <t>220900120</t>
  </si>
  <si>
    <t>Zařížení ZDP NAM - montáž, nastavení</t>
  </si>
  <si>
    <t>1191798404</t>
  </si>
  <si>
    <t>220900130</t>
  </si>
  <si>
    <t>Koncentrátor /tablo</t>
  </si>
  <si>
    <t>-304251197</t>
  </si>
  <si>
    <t>220900140</t>
  </si>
  <si>
    <t>Klávesnice ovládací</t>
  </si>
  <si>
    <t>-449691937</t>
  </si>
  <si>
    <t>220900150</t>
  </si>
  <si>
    <t>Zálohovanýí zdroj</t>
  </si>
  <si>
    <t>-1172221177</t>
  </si>
  <si>
    <t>220900160</t>
  </si>
  <si>
    <t>Infradetektor PIR/DTS/EPS</t>
  </si>
  <si>
    <t>-665122198</t>
  </si>
  <si>
    <t>220900170</t>
  </si>
  <si>
    <t>-1465596836</t>
  </si>
  <si>
    <t>220900180</t>
  </si>
  <si>
    <t>Svorkovnice s tamperem vč. krabice</t>
  </si>
  <si>
    <t>-820601784</t>
  </si>
  <si>
    <t>220900190</t>
  </si>
  <si>
    <t>Siréna</t>
  </si>
  <si>
    <t>309258232</t>
  </si>
  <si>
    <t>220900200</t>
  </si>
  <si>
    <t>kabel - zatažení / uložení</t>
  </si>
  <si>
    <t>1359321633</t>
  </si>
  <si>
    <t>220900210</t>
  </si>
  <si>
    <t>krabice instalační</t>
  </si>
  <si>
    <t>923735195</t>
  </si>
  <si>
    <t>220900220</t>
  </si>
  <si>
    <t>výchozí revize</t>
  </si>
  <si>
    <t>314235377</t>
  </si>
  <si>
    <t>Tísňové volání - WC invalidé - materiál</t>
  </si>
  <si>
    <t>220351910</t>
  </si>
  <si>
    <t>Kompletní sada prvků a zařízení pro instalaci nouzové signalizace na WC pro tělesně postižené - Distress alarm VE SLOŽENÍ: NOUZOVÉ TLAČÍTKO, NOUZOVÉ TÁHLO, SIGNÁLNÍ SVĚTLO, AKCEPTAČNÍ TLAČÍTKO SE SIGMALIZACÍ, RESETAČNÍ PANEL, ZDROJ NA DIN LIŠTU.</t>
  </si>
  <si>
    <t>220351920</t>
  </si>
  <si>
    <t>Kabel JY(st)Y 4x2x0,8</t>
  </si>
  <si>
    <t>220351930</t>
  </si>
  <si>
    <t>krabice instalační KO 68</t>
  </si>
  <si>
    <t>220351950</t>
  </si>
  <si>
    <t>6.2</t>
  </si>
  <si>
    <t>Tísňové volání - WC invalidé - montáž</t>
  </si>
  <si>
    <t>220352000</t>
  </si>
  <si>
    <t>Nouzové volání - prvky, trafo - montáž</t>
  </si>
  <si>
    <t>220352010</t>
  </si>
  <si>
    <t>220352020</t>
  </si>
  <si>
    <t>MAR - ZAŘÍZENÍ PRO MĚŘENÍ A REGULACI</t>
  </si>
  <si>
    <t>Všechny položky v tomto rozpočtu zahrnují náklady přesunu hmot.</t>
  </si>
  <si>
    <t>1 - Elektromontáže</t>
  </si>
  <si>
    <t>2 - Přístroje a zařízení</t>
  </si>
  <si>
    <t>3 - Kabeláž a instalační materiál</t>
  </si>
  <si>
    <t>4 - Napojení prvků UT, VZT a CHL</t>
  </si>
  <si>
    <t>5 - Zkoušky zařízení a revize</t>
  </si>
  <si>
    <t>6 - Stavební přípomoce, konstrukce a ostatní</t>
  </si>
  <si>
    <t>Elektromontáže</t>
  </si>
  <si>
    <t>220850110</t>
  </si>
  <si>
    <t>Celková prohlídka elektrického rozvodu a zařízení do 500 000,- Kč</t>
  </si>
  <si>
    <t>Přístroje a zařízení</t>
  </si>
  <si>
    <t>220850120</t>
  </si>
  <si>
    <t>Montáž a zapojení snímačů interíérových</t>
  </si>
  <si>
    <t>23+8</t>
  </si>
  <si>
    <t>220850140</t>
  </si>
  <si>
    <t>Snímač CO2 interiérový s instalační krabicí s výstupem 0-10V a napájením 24Vdc</t>
  </si>
  <si>
    <t>220850150</t>
  </si>
  <si>
    <t>Snímač teploty inteiíérový s instalační krabicí s výstupem 0-10V a napájením 24Vdc</t>
  </si>
  <si>
    <t>220850160</t>
  </si>
  <si>
    <t>Montáž a zapojení rozvodnice plastová běžná do 0,5 kg</t>
  </si>
  <si>
    <t>220850170</t>
  </si>
  <si>
    <t>Instalační kabelová krabicová rozvodka s 19 řadovými svorkami s 4 průchodkami 180x130x77 mm</t>
  </si>
  <si>
    <t>220850180</t>
  </si>
  <si>
    <t>Montáž a zapojení prvků MaR</t>
  </si>
  <si>
    <t>3+1+1+1+1+1+1+1+2+1+1+1</t>
  </si>
  <si>
    <t>220850200</t>
  </si>
  <si>
    <t>Plovákový spínač s kabelem 10m IP68</t>
  </si>
  <si>
    <t>220850210</t>
  </si>
  <si>
    <t>Elektromagnetický ventil DN40 cívka 230V 0-10bar</t>
  </si>
  <si>
    <t>220850220</t>
  </si>
  <si>
    <t>Elektromagnetický ventil DN25 cívka 230V 0-10bar</t>
  </si>
  <si>
    <t>220850230</t>
  </si>
  <si>
    <t>Tlakový spínač vody 7-20bar</t>
  </si>
  <si>
    <t>220850240</t>
  </si>
  <si>
    <t>Havarijní tlačítko</t>
  </si>
  <si>
    <t>220850250</t>
  </si>
  <si>
    <t>Detektor zemního plynu</t>
  </si>
  <si>
    <t>220850260</t>
  </si>
  <si>
    <t>Detektor úniku oxidu uhelnatého</t>
  </si>
  <si>
    <t>220850270</t>
  </si>
  <si>
    <t>Sonda zaplavení</t>
  </si>
  <si>
    <t>220850280</t>
  </si>
  <si>
    <t>Termostat prostorový 1Z / 1R - 0 až + 40°C</t>
  </si>
  <si>
    <t>220850290</t>
  </si>
  <si>
    <t>Termostat příložný 1Z / 1R - 0-150°C</t>
  </si>
  <si>
    <t>220850300</t>
  </si>
  <si>
    <t>Tlakový spínač topného média min - 0-100kPa 1Z / 1R</t>
  </si>
  <si>
    <t>220850310</t>
  </si>
  <si>
    <t>Tlakový spínač topného média max .0-50kPa 1Z / 1R</t>
  </si>
  <si>
    <t>Kabeláž a instalační materiál</t>
  </si>
  <si>
    <t>220850320</t>
  </si>
  <si>
    <t>Montáž měděných vodičů CYSY, HO5-F, HO5 VVH2-F, HO7RN do 1 kV 5x1,50 mm2 uložených pevně</t>
  </si>
  <si>
    <t>220850340</t>
  </si>
  <si>
    <t>CYSY 2Ox1,5</t>
  </si>
  <si>
    <t>220850350</t>
  </si>
  <si>
    <t>CYSY 3Jx1,5</t>
  </si>
  <si>
    <t>220850360</t>
  </si>
  <si>
    <t>CYSY 3Jx2,5</t>
  </si>
  <si>
    <t>220850370</t>
  </si>
  <si>
    <t>CYSY 5Jx1,5</t>
  </si>
  <si>
    <t>220850380</t>
  </si>
  <si>
    <t>CYKY 5Jx2,5</t>
  </si>
  <si>
    <t>220850390</t>
  </si>
  <si>
    <t>Montáž kabel Cu stíněný ovládací žíly 2 až 19x0,8 mm2 uložený pevně (JYTY, SYKY, SYKFY)</t>
  </si>
  <si>
    <t>220850410</t>
  </si>
  <si>
    <t>JYTY 4x1</t>
  </si>
  <si>
    <t>220850420</t>
  </si>
  <si>
    <t>SYKFY 4x2x0,5</t>
  </si>
  <si>
    <t>220850430</t>
  </si>
  <si>
    <t>SYKFY 10x2x0,5</t>
  </si>
  <si>
    <t>220850440</t>
  </si>
  <si>
    <t>Montáž kabel datový</t>
  </si>
  <si>
    <t>220850450</t>
  </si>
  <si>
    <t>Patch kabel 1,5m Cat6 Ethernet RJ-45</t>
  </si>
  <si>
    <t>220850460</t>
  </si>
  <si>
    <t>Montáž pospojování ochranné konstrukce ostatní vodičem do 16 mm2 uloženým pevně</t>
  </si>
  <si>
    <t>220850470</t>
  </si>
  <si>
    <t>vodič H07V-U 4 zelenožlutý (CY)</t>
  </si>
  <si>
    <t>220850480</t>
  </si>
  <si>
    <t>220850490</t>
  </si>
  <si>
    <t>trubka tuhá 4020-LA</t>
  </si>
  <si>
    <t>220850500</t>
  </si>
  <si>
    <t>příchytka 5320-LB šedá</t>
  </si>
  <si>
    <t>220850510</t>
  </si>
  <si>
    <t>spojka 0220-LB šedá</t>
  </si>
  <si>
    <t>220850520</t>
  </si>
  <si>
    <t>Montáž trubka plastová ohebná D přes 11 do 23 mm uložená pod omítku</t>
  </si>
  <si>
    <t>220850530</t>
  </si>
  <si>
    <t>trubka ohebná 1423/1-K100 monoflex</t>
  </si>
  <si>
    <t>220850540</t>
  </si>
  <si>
    <t>Montáž lišta a kanálek vkládací šířky do 60 mm s víčkem</t>
  </si>
  <si>
    <t>220850550</t>
  </si>
  <si>
    <t>lišta elektroinstalační hranatá LH 60 x 40</t>
  </si>
  <si>
    <t>220850560</t>
  </si>
  <si>
    <t>Montáž svítidlo zářivkové průmyslové stropní přisazené 2 zdroje s krytem</t>
  </si>
  <si>
    <t>220850570</t>
  </si>
  <si>
    <t>svítidlo LED 230V - 2x36W IP66 průmyslové</t>
  </si>
  <si>
    <t>220850580</t>
  </si>
  <si>
    <t>Montáž přepínač nástěnný 5-sériový prostředí venkovní/mokré</t>
  </si>
  <si>
    <t>220850590</t>
  </si>
  <si>
    <t>spínač č.5 230V/10A- bílá IP54</t>
  </si>
  <si>
    <t>220850600</t>
  </si>
  <si>
    <t>Montáž zásuvka chráněná v krabici šroubové připojení 2P+PE dvojí zapojení, prostředí venkovní, mokré</t>
  </si>
  <si>
    <t>220850610</t>
  </si>
  <si>
    <t>zásuvka 230V/16A -  bílá IP54</t>
  </si>
  <si>
    <t>220850620</t>
  </si>
  <si>
    <t>Montáž kabelových držáků</t>
  </si>
  <si>
    <t>220850630</t>
  </si>
  <si>
    <t>Sběrné kabelové držáky včetně hmoždinek a vrutů</t>
  </si>
  <si>
    <t>220850640</t>
  </si>
  <si>
    <t>Montáž rozvodnice oceloplechová běžná do 150 kg</t>
  </si>
  <si>
    <t>220850650</t>
  </si>
  <si>
    <t>Rozvaděč kotelny - MaR</t>
  </si>
  <si>
    <t>Poznámka k položce:_x000D_
Pozn.: DPS_SO01_MaR_301_MaR_00</t>
  </si>
  <si>
    <t>220850670</t>
  </si>
  <si>
    <t>Montáž rozvodnice plastová běžná do 25 kg</t>
  </si>
  <si>
    <t>220850680</t>
  </si>
  <si>
    <t>Rozvaděč ZTI - MeR-ZTI</t>
  </si>
  <si>
    <t>Poznámka k položce:_x000D_
Pozn.: DPS_SO01_MaR_302_ZTI_00</t>
  </si>
  <si>
    <t>Napojení prvků UT, VZT a CHL</t>
  </si>
  <si>
    <t>220850700</t>
  </si>
  <si>
    <t>Napojení prvků UT v kotelně</t>
  </si>
  <si>
    <t>Poznámka k položce:_x000D_
Pozn.: DPS_SO01_MaR_204_4NP_00</t>
  </si>
  <si>
    <t>220850720</t>
  </si>
  <si>
    <t>Napojení rozvaděče RP3</t>
  </si>
  <si>
    <t>Poznámka k položce:_x000D_
Pozn.: DPS_SO01_MaR_203_3NP_00</t>
  </si>
  <si>
    <t>220850740</t>
  </si>
  <si>
    <t>Napojení rozvaděče MaR-ZTI</t>
  </si>
  <si>
    <t>Poznámka k položce:_x000D_
Pozn.: DPS_SO01_MaR_201_1NP_00</t>
  </si>
  <si>
    <t>220850760</t>
  </si>
  <si>
    <t>Napojení prvků CHL</t>
  </si>
  <si>
    <t>220850780</t>
  </si>
  <si>
    <t>Napojení prvků VZT - servopohony</t>
  </si>
  <si>
    <t>220850800</t>
  </si>
  <si>
    <t>Napojení prvků VZT - SmartBoxy</t>
  </si>
  <si>
    <t>220850820</t>
  </si>
  <si>
    <t>Poznámka k položce:_x000D_
Pozn.: DPS_SO01_MaR_202_2NP_00</t>
  </si>
  <si>
    <t>220850840</t>
  </si>
  <si>
    <t>220850860</t>
  </si>
  <si>
    <t>220850880</t>
  </si>
  <si>
    <t>220850900</t>
  </si>
  <si>
    <t>Napojení prvků VZT - VZT jednotky</t>
  </si>
  <si>
    <t>220850920</t>
  </si>
  <si>
    <t>220850940</t>
  </si>
  <si>
    <t>Napojení prvků VZT - ventilátory</t>
  </si>
  <si>
    <t>Zkoušky zařízení a revize</t>
  </si>
  <si>
    <t>220850960</t>
  </si>
  <si>
    <t>Spolupráce s revizním technikem při revizi</t>
  </si>
  <si>
    <t>220850970</t>
  </si>
  <si>
    <t>Spolupráce s ostatními profesemi, koordinace na stavbě</t>
  </si>
  <si>
    <t>220850980</t>
  </si>
  <si>
    <t>Úklid pracoviště</t>
  </si>
  <si>
    <t>220850990</t>
  </si>
  <si>
    <t>Softwarové práce</t>
  </si>
  <si>
    <t>220851000</t>
  </si>
  <si>
    <t>Zkušební provoz</t>
  </si>
  <si>
    <t>220851010</t>
  </si>
  <si>
    <t>Zaškolení obsluhy</t>
  </si>
  <si>
    <t>Stavební přípomoce, konstrukce a ostatní</t>
  </si>
  <si>
    <t>220851020</t>
  </si>
  <si>
    <t>Stavební přípomoce - prostupy pro rozvody MaR, včetně jádrových vrtů betonovými konstrukcemi, revizní otvory</t>
  </si>
  <si>
    <t>220851030</t>
  </si>
  <si>
    <t>Stavební přípomoce - otvory pro krabičky snímačů</t>
  </si>
  <si>
    <t>220851040</t>
  </si>
  <si>
    <t>Požární utěsnění prostupů potrubí stavebními konstrukcemi, které tvoří hranici mezi požárními úseky.</t>
  </si>
  <si>
    <t>220851050</t>
  </si>
  <si>
    <t>Zhotovení drážky ve zdivu pro vedení kabelových trubek</t>
  </si>
  <si>
    <t>220851060</t>
  </si>
  <si>
    <t>Pomocné pracovní lešení</t>
  </si>
  <si>
    <t>220851070</t>
  </si>
  <si>
    <t>Dozdění uloženého potrubí v drážkách DN15 - DN25</t>
  </si>
  <si>
    <t>PLYN - PLYNOINSTALACE</t>
  </si>
  <si>
    <t xml:space="preserve">    723 - Zdravotechnika - vnitřní plynovod   </t>
  </si>
  <si>
    <t xml:space="preserve">    901 - koordinace, obhlídka stavby   </t>
  </si>
  <si>
    <t>723</t>
  </si>
  <si>
    <t xml:space="preserve">Zdravotechnika - vnitřní plynovod   </t>
  </si>
  <si>
    <t>723000001</t>
  </si>
  <si>
    <t>ELEKTRO VENTIL (230V,IP52)</t>
  </si>
  <si>
    <t xml:space="preserve">230V, 65W   </t>
  </si>
  <si>
    <t>723150368</t>
  </si>
  <si>
    <t>Chránička D 76x3,2 mm</t>
  </si>
  <si>
    <t xml:space="preserve">0,5   </t>
  </si>
  <si>
    <t>723150406</t>
  </si>
  <si>
    <t>Potrubí plyn ocelové z ušlechtilé oceli spojované lisováním DN 40</t>
  </si>
  <si>
    <t xml:space="preserve">ocel pozink lisované spoje VIEGA MEGAPRES G   </t>
  </si>
  <si>
    <t xml:space="preserve">21   </t>
  </si>
  <si>
    <t>723170226</t>
  </si>
  <si>
    <t>Ochranné potrubí SPIROGAS pro plynové potrubí DN60</t>
  </si>
  <si>
    <t>723180114</t>
  </si>
  <si>
    <t>Potrubí plynové nerezové EUROGW, PN 0,5 DN 40</t>
  </si>
  <si>
    <t xml:space="preserve">11   </t>
  </si>
  <si>
    <t>723190253</t>
  </si>
  <si>
    <t>Výpustky plynovodní vedení a upevnění DN 25</t>
  </si>
  <si>
    <t>723230153</t>
  </si>
  <si>
    <t>Flexibilní hadice na plyn PN 1 délky 500 mm pro bajonetové uzávěry</t>
  </si>
  <si>
    <t>R-001</t>
  </si>
  <si>
    <t>Tlakové zkoušky, revize a kontrola díla</t>
  </si>
  <si>
    <t>R-002</t>
  </si>
  <si>
    <t>Stavební výpomoc</t>
  </si>
  <si>
    <t>723231164</t>
  </si>
  <si>
    <t>Kohout kulový přímý G 1 PN 42 do 185°C plnoprůtokový vnitřní závit těžká řada</t>
  </si>
  <si>
    <t xml:space="preserve">před kotlem   </t>
  </si>
  <si>
    <t>723231166</t>
  </si>
  <si>
    <t>Kohout kulový přímý G 1 1/2 PN 42 do 185°C plnoprůtokový vnitřní závit těžká řada</t>
  </si>
  <si>
    <t xml:space="preserve">HUK   </t>
  </si>
  <si>
    <t xml:space="preserve">u plynoměru   </t>
  </si>
  <si>
    <t>723239103</t>
  </si>
  <si>
    <t>Montáž armatur plynovodních se dvěma závity G 1 ostatní typ</t>
  </si>
  <si>
    <t xml:space="preserve">koordinace, obhlídka stavby   </t>
  </si>
  <si>
    <t>7670000001</t>
  </si>
  <si>
    <t>Závěsy pro Plynoinstalaci</t>
  </si>
  <si>
    <t xml:space="preserve">5   </t>
  </si>
  <si>
    <t>CHL - ZAŘÍZENÍ PRO OCHLAZOVÁNÍ BUDOV</t>
  </si>
  <si>
    <t>101 - Chlazení pro VZT jednotky VZT 01</t>
  </si>
  <si>
    <t>751721111</t>
  </si>
  <si>
    <t>Montáž klimatizační jednotky venkovní jednofázové napájení do 2 vnitřních jednotek</t>
  </si>
  <si>
    <t>-207939642</t>
  </si>
  <si>
    <t>Kondenzační jednotka pro VZT, chladící výkon 2,5 kW, topný výkon 3,2 kW</t>
  </si>
  <si>
    <t>-702666932</t>
  </si>
  <si>
    <t>Poznámka k položce:_x000D_
- pol. 1.1_x000D_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</si>
  <si>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Řídící box pro regulaci výkonu jednotky CH</t>
  </si>
  <si>
    <t>-772749527</t>
  </si>
  <si>
    <t>Poznámka k položce:_x000D_
- řídící box pro regulací výkonu jednotky chlazení, vč. el./dat. propojení s jednotkou VZT_x000D_
- typ KM113.07UU_x000D_
- komunikační protokol MODBUS_x000D_
- řízení výkonu 0÷10V_x000D_
- 3 beznapěťové kontakty (povolení chodu/blokování kond.jednotky;řízení výkonu)</t>
  </si>
  <si>
    <t>66340005</t>
  </si>
  <si>
    <t>-497502945</t>
  </si>
  <si>
    <t>R751000101</t>
  </si>
  <si>
    <t>Dvojice měděného potrubí pro chladivové systémy, vč. chladiva R32</t>
  </si>
  <si>
    <t>2094095297</t>
  </si>
  <si>
    <t>Poznámka k položce:_x000D_
- měděné potrubí určené pro chladivové systémy_x000D_
- vč. chladiva R32_x000D_
- vč. izolace</t>
  </si>
  <si>
    <t>1*8*1,1</t>
  </si>
  <si>
    <t>"6,35/9,52 (1/4"/3/8")"</t>
  </si>
  <si>
    <t>Mont. potrubí</t>
  </si>
  <si>
    <t>-157040406</t>
  </si>
  <si>
    <t>Koordinace na stavbě mezi profesemi a stavbou</t>
  </si>
  <si>
    <t>-1697365298</t>
  </si>
  <si>
    <t>Chladící zkouška</t>
  </si>
  <si>
    <t>657418541</t>
  </si>
  <si>
    <t>Poznámka k položce:_x000D_
- prozkoušení všech provozních stavů za účasti zástupce investora_x000D_
- sepsání protokolu</t>
  </si>
  <si>
    <t>1150847</t>
  </si>
  <si>
    <t>Poznámka k položce:_x000D_
- vč. předání českých návodů na obsluhu</t>
  </si>
  <si>
    <t>Pomocné konstrukce, konzoly, úchyty apod, D+M</t>
  </si>
  <si>
    <t>kg/bm</t>
  </si>
  <si>
    <t>-883843927</t>
  </si>
  <si>
    <t>2*9</t>
  </si>
  <si>
    <t>R767000002</t>
  </si>
  <si>
    <t>Nosná konstrukce pod jednotku chlazení, D+M</t>
  </si>
  <si>
    <t>264641665</t>
  </si>
  <si>
    <t>1*25</t>
  </si>
  <si>
    <t>R783000001</t>
  </si>
  <si>
    <t>Nátěry pomocných konstrukcí</t>
  </si>
  <si>
    <t>246854178</t>
  </si>
  <si>
    <t>102 - Chlazení pro VZT jednotky VZT 02</t>
  </si>
  <si>
    <t>701007046</t>
  </si>
  <si>
    <t>Kondenzační jednotka pro VZT, chladící výkon 4,5 kW, topný výkon 5,0 kW</t>
  </si>
  <si>
    <t>800445141</t>
  </si>
  <si>
    <t>Poznámka k položce:_x000D_
- pol. 2.1_x000D_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</si>
  <si>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-725806960</t>
  </si>
  <si>
    <t>-1596593427</t>
  </si>
  <si>
    <t>405450305</t>
  </si>
  <si>
    <t>576036563</t>
  </si>
  <si>
    <t>1165121633</t>
  </si>
  <si>
    <t>-1048290468</t>
  </si>
  <si>
    <t>-923230967</t>
  </si>
  <si>
    <t>-1441084494</t>
  </si>
  <si>
    <t>-2009537861</t>
  </si>
  <si>
    <t>-1761680742</t>
  </si>
  <si>
    <t>-814896348</t>
  </si>
  <si>
    <t>103 - Chlazení pro VZT jednotky VZT 03</t>
  </si>
  <si>
    <t>-732591285</t>
  </si>
  <si>
    <t>162234816</t>
  </si>
  <si>
    <t>Poznámka k položce:_x000D_
- pol. 3.1_x000D_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</si>
  <si>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1330274797</t>
  </si>
  <si>
    <t>650677116</t>
  </si>
  <si>
    <t>-1820118342</t>
  </si>
  <si>
    <t>721677964</t>
  </si>
  <si>
    <t>-978375961</t>
  </si>
  <si>
    <t>1112264979</t>
  </si>
  <si>
    <t>-219460449</t>
  </si>
  <si>
    <t>-317058891</t>
  </si>
  <si>
    <t>-91048199</t>
  </si>
  <si>
    <t>-488614424</t>
  </si>
  <si>
    <t>1485824795</t>
  </si>
  <si>
    <t>104 - Chlazení pro VZT jednotky VZT 04</t>
  </si>
  <si>
    <t>1463188299</t>
  </si>
  <si>
    <t>Kondenzační jednotka pro VZT, chladící výkon 3,2 kW, topný výkon 3,7 kW</t>
  </si>
  <si>
    <t>251937870</t>
  </si>
  <si>
    <t>Poznámka k položce:_x000D_
- pol. 4.1_x000D_
Výkon jednotky 3,2/3,7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</si>
  <si>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-2113378053</t>
  </si>
  <si>
    <t>-1693589514</t>
  </si>
  <si>
    <t>-539498184</t>
  </si>
  <si>
    <t>1626063536</t>
  </si>
  <si>
    <t>-2090062234</t>
  </si>
  <si>
    <t>-1827128455</t>
  </si>
  <si>
    <t>-395148391</t>
  </si>
  <si>
    <t>1753062881</t>
  </si>
  <si>
    <t>2123046365</t>
  </si>
  <si>
    <t>1057882100</t>
  </si>
  <si>
    <t>207692540</t>
  </si>
  <si>
    <t>106 - Chlazení pro VZT jednotky VZT 06</t>
  </si>
  <si>
    <t>-1228585191</t>
  </si>
  <si>
    <t>1649168638</t>
  </si>
  <si>
    <t>Poznámka k položce:_x000D_
- pol. 6.1_x000D_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</si>
  <si>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-426506505</t>
  </si>
  <si>
    <t>2022692006</t>
  </si>
  <si>
    <t>1081236819</t>
  </si>
  <si>
    <t>728185782</t>
  </si>
  <si>
    <t>942049396</t>
  </si>
  <si>
    <t>615829815</t>
  </si>
  <si>
    <t>-1577086680</t>
  </si>
  <si>
    <t>-1886201060</t>
  </si>
  <si>
    <t>-96098655</t>
  </si>
  <si>
    <t>-238942802</t>
  </si>
  <si>
    <t>29525404</t>
  </si>
  <si>
    <t>107.1 - Chlazení pro VZT jednotky VZT 07.1</t>
  </si>
  <si>
    <t>-1696221450</t>
  </si>
  <si>
    <t>Kondenzační jednotka pro VZT, chladící výkon 3,4 kW, topný výkon 4,1 kW</t>
  </si>
  <si>
    <t>700524991</t>
  </si>
  <si>
    <t>Poznámka k položce:_x000D_
- pol. 7.1.1_x000D_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</si>
  <si>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-722834487</t>
  </si>
  <si>
    <t>1770556883</t>
  </si>
  <si>
    <t>-344505480</t>
  </si>
  <si>
    <t>-1808119388</t>
  </si>
  <si>
    <t>-1113802281</t>
  </si>
  <si>
    <t>1884186594</t>
  </si>
  <si>
    <t>567139202</t>
  </si>
  <si>
    <t>-1149754189</t>
  </si>
  <si>
    <t>-1556692253</t>
  </si>
  <si>
    <t>-130602846</t>
  </si>
  <si>
    <t>524411476</t>
  </si>
  <si>
    <t>107.2 - Chlazení pro VZT jednotky VZT 07.2</t>
  </si>
  <si>
    <t>427024997</t>
  </si>
  <si>
    <t>-1910763746</t>
  </si>
  <si>
    <t>Poznámka k položce:_x000D_
- pol. 7.2.1_x000D_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</si>
  <si>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-534227158</t>
  </si>
  <si>
    <t>1859348422</t>
  </si>
  <si>
    <t>1512420070</t>
  </si>
  <si>
    <t>1491673772</t>
  </si>
  <si>
    <t>-1221469581</t>
  </si>
  <si>
    <t>727648521</t>
  </si>
  <si>
    <t>-754838820</t>
  </si>
  <si>
    <t>703573630</t>
  </si>
  <si>
    <t>1432211972</t>
  </si>
  <si>
    <t>503299297</t>
  </si>
  <si>
    <t>-410281510</t>
  </si>
  <si>
    <t>107.3 - Chlazení pro VZT jednotky VZT 07.3</t>
  </si>
  <si>
    <t>-248443105</t>
  </si>
  <si>
    <t>-713759238</t>
  </si>
  <si>
    <t>Poznámka k položce:_x000D_
- pol. 7.3.1_x000D_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</si>
  <si>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1244886458</t>
  </si>
  <si>
    <t>1435561575</t>
  </si>
  <si>
    <t>1017581912</t>
  </si>
  <si>
    <t>37136556</t>
  </si>
  <si>
    <t>-377621472</t>
  </si>
  <si>
    <t>1439095769</t>
  </si>
  <si>
    <t>1425476877</t>
  </si>
  <si>
    <t>-1410927140</t>
  </si>
  <si>
    <t>-461807578</t>
  </si>
  <si>
    <t>-1189638394</t>
  </si>
  <si>
    <t>1374793800</t>
  </si>
  <si>
    <t>107.4 - Chlazení pro VZT jednotky VZT 07.4</t>
  </si>
  <si>
    <t>-272542179</t>
  </si>
  <si>
    <t>-1487002306</t>
  </si>
  <si>
    <t>Poznámka k položce:_x000D_
- pol. 7.4.1_x000D_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</si>
  <si>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275990139</t>
  </si>
  <si>
    <t>1191058705</t>
  </si>
  <si>
    <t>82056578</t>
  </si>
  <si>
    <t>-435665231</t>
  </si>
  <si>
    <t>-649378505</t>
  </si>
  <si>
    <t>1610409499</t>
  </si>
  <si>
    <t>487095905</t>
  </si>
  <si>
    <t>100828427</t>
  </si>
  <si>
    <t>-881693973</t>
  </si>
  <si>
    <t>1742368315</t>
  </si>
  <si>
    <t>-1336920966</t>
  </si>
  <si>
    <t>107.5 - Chlazení pro VZT jednotky VZT 07.5</t>
  </si>
  <si>
    <t>-122232131</t>
  </si>
  <si>
    <t>-1897920259</t>
  </si>
  <si>
    <t>Poznámka k položce:_x000D_
- pol. 7.5.1_x000D_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</si>
  <si>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-990523313</t>
  </si>
  <si>
    <t>-1633538135</t>
  </si>
  <si>
    <t>1036461347</t>
  </si>
  <si>
    <t>-1297678637</t>
  </si>
  <si>
    <t>-1680002336</t>
  </si>
  <si>
    <t>-1951980508</t>
  </si>
  <si>
    <t>1632478788</t>
  </si>
  <si>
    <t>168389344</t>
  </si>
  <si>
    <t>22081892</t>
  </si>
  <si>
    <t>2026880452</t>
  </si>
  <si>
    <t>-1553747768</t>
  </si>
  <si>
    <t>107.6 - Chlazení pro VZT jednotky VZT 07.6</t>
  </si>
  <si>
    <t>688347751</t>
  </si>
  <si>
    <t>1523194199</t>
  </si>
  <si>
    <t>Poznámka k položce:_x000D_
- pol. 7.6.1_x000D_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</si>
  <si>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925061264</t>
  </si>
  <si>
    <t>613768517</t>
  </si>
  <si>
    <t>1135348659</t>
  </si>
  <si>
    <t>-256700102</t>
  </si>
  <si>
    <t>1479802660</t>
  </si>
  <si>
    <t>2003129670</t>
  </si>
  <si>
    <t>-929802089</t>
  </si>
  <si>
    <t>-938850712</t>
  </si>
  <si>
    <t>-1548441072</t>
  </si>
  <si>
    <t>-400811647</t>
  </si>
  <si>
    <t>1713873813</t>
  </si>
  <si>
    <t>107.7 - Chlazení pro VZT jednotky VZT 07.7</t>
  </si>
  <si>
    <t>-411630094</t>
  </si>
  <si>
    <t>-698568535</t>
  </si>
  <si>
    <t>Poznámka k položce:_x000D_
- pol. 7.7.1_x000D_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</si>
  <si>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-587226011</t>
  </si>
  <si>
    <t>-362343458</t>
  </si>
  <si>
    <t>-1839652201</t>
  </si>
  <si>
    <t>611022277</t>
  </si>
  <si>
    <t>1704715029</t>
  </si>
  <si>
    <t>228153532</t>
  </si>
  <si>
    <t>-1375349385</t>
  </si>
  <si>
    <t>-28079070</t>
  </si>
  <si>
    <t>-1180631146</t>
  </si>
  <si>
    <t>-1568813811</t>
  </si>
  <si>
    <t>-1972817444</t>
  </si>
  <si>
    <t>107.8 - Chlazení pro VZT jednotky VZT 07.8</t>
  </si>
  <si>
    <t>1873281403</t>
  </si>
  <si>
    <t>1248403001</t>
  </si>
  <si>
    <t>Poznámka k položce:_x000D_
- pol. 7.8.1_x000D_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</si>
  <si>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-1434976127</t>
  </si>
  <si>
    <t>319253695</t>
  </si>
  <si>
    <t>-1113426456</t>
  </si>
  <si>
    <t>408190640</t>
  </si>
  <si>
    <t>526239716</t>
  </si>
  <si>
    <t>-1339541239</t>
  </si>
  <si>
    <t>-779222079</t>
  </si>
  <si>
    <t>1013505091</t>
  </si>
  <si>
    <t>-618826632</t>
  </si>
  <si>
    <t>2094316644</t>
  </si>
  <si>
    <t>1868112025</t>
  </si>
  <si>
    <t>208 - Okruh server - M3.17</t>
  </si>
  <si>
    <t xml:space="preserve">    756 - Vzduchotechnika - protipožární opatření</t>
  </si>
  <si>
    <t>751711113</t>
  </si>
  <si>
    <t>Montáž klimatizační jednotky vnitřní nástěnné o výkonu (pro objem místnosti) přes 5 do 6,5 kW (přes 50 do 65 m3)</t>
  </si>
  <si>
    <t>-778132566</t>
  </si>
  <si>
    <t>R751000100</t>
  </si>
  <si>
    <t>Nástěnná splitová jednotka chlazení chladící výkon 3,7 kW</t>
  </si>
  <si>
    <t>-1247707643</t>
  </si>
  <si>
    <t>Poznámka k položce:_x000D_
- pol. 8_x000D_
Splitový systém chlazení serverů (M3.17), vnitřní nástěnný díl, s venkovní jednotkou "8.1"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(M3.17), venkovní díl, s vnitřní jednotkou "8.2"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</si>
  <si>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-1617133882</t>
  </si>
  <si>
    <t>1993440294</t>
  </si>
  <si>
    <t>-874128074</t>
  </si>
  <si>
    <t>10*1,1</t>
  </si>
  <si>
    <t>279179379</t>
  </si>
  <si>
    <t>756</t>
  </si>
  <si>
    <t>Vzduchotechnika - protipožární opatření</t>
  </si>
  <si>
    <t>R756000001</t>
  </si>
  <si>
    <t>Požární prostup pro chladivové potrubí (systémový - chladivo/plyn/dat.kabel)), D80, D+M</t>
  </si>
  <si>
    <t>422306157</t>
  </si>
  <si>
    <t>-1242012570</t>
  </si>
  <si>
    <t>-834003033</t>
  </si>
  <si>
    <t>1592166875</t>
  </si>
  <si>
    <t>-1625055346</t>
  </si>
  <si>
    <t>2*10</t>
  </si>
  <si>
    <t>416726343</t>
  </si>
  <si>
    <t>1731047088</t>
  </si>
  <si>
    <t>209 - Okruh server - M2.16</t>
  </si>
  <si>
    <t>-1887396844</t>
  </si>
  <si>
    <t>-429680240</t>
  </si>
  <si>
    <t>Poznámka k položce:_x000D_
- pol. 9_x000D_
Splitový systém chlazení serverů (M2.16), vnitřní nástěnný díl, s venkovní jednotkou "9.1"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(M2.16), venkovní díl, s vnitřní jednotkou "9.2"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</si>
  <si>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2016163062</t>
  </si>
  <si>
    <t>1403085727</t>
  </si>
  <si>
    <t>2070861015</t>
  </si>
  <si>
    <t>14*1,1</t>
  </si>
  <si>
    <t>-87720702</t>
  </si>
  <si>
    <t>-1727141796</t>
  </si>
  <si>
    <t>1+1+1</t>
  </si>
  <si>
    <t>-560099505</t>
  </si>
  <si>
    <t>-824355883</t>
  </si>
  <si>
    <t>-886138037</t>
  </si>
  <si>
    <t>928793335</t>
  </si>
  <si>
    <t>2*14</t>
  </si>
  <si>
    <t>-1288550805</t>
  </si>
  <si>
    <t>1920348239</t>
  </si>
  <si>
    <t>313 - Okruh badatelna a kancelář - M3.04, 3.04a</t>
  </si>
  <si>
    <t>751711131</t>
  </si>
  <si>
    <t>Montáž klimatizační jednotky vnitřní kazetové čtyřcestné o výkonu (pro objem místnosti) do 3,5 kW (do 35 m3)</t>
  </si>
  <si>
    <t>-729958353</t>
  </si>
  <si>
    <t>kazetová jednotka chlazení, vel. 05, chladící výkon 1,6 kW</t>
  </si>
  <si>
    <t>506434549</t>
  </si>
  <si>
    <t>Poznámka k položce:_x000D_
- pol. 13.2_x000D_
 -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</si>
  <si>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kazetová jednotka chlazení, vel. 09, chladící výkon 2,8 kW</t>
  </si>
  <si>
    <t>-1023105267</t>
  </si>
  <si>
    <t>Poznámka k položce:_x000D_
- pol 13.3_x000D_
- kazetová jednotka chlazení (vel. 09), 4 cestná, chladivo R32, chladící výkon 2,8 kW, topný výkon 3,2 kW, el. příkon 14 W, akustický tlak 30/29/27 dB(A), akustický výkon 46/43/42 dB(A), průtok vzduchu 8/7,5/7,1 m3/min, rozměry jednotky 570/214/570 mm, hmotnost 13,7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</si>
  <si>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-176113907</t>
  </si>
  <si>
    <t>728840765</t>
  </si>
  <si>
    <t>Čelní panel pro kazetové jednotky 620*620*20, bílé provedení</t>
  </si>
  <si>
    <t>Kus</t>
  </si>
  <si>
    <t>107930112</t>
  </si>
  <si>
    <t>Poznámka k položce:_x000D_
- typ PT-QCHW0</t>
  </si>
  <si>
    <t>8+1</t>
  </si>
  <si>
    <t>751721123</t>
  </si>
  <si>
    <t>Montáž klimatizační jednotky venkovní trojfázové napájení do 9 vnitřních jednotek</t>
  </si>
  <si>
    <t>-1882855284</t>
  </si>
  <si>
    <t>MiniVRV jednotka, chladící výkon 15,5 kW</t>
  </si>
  <si>
    <t>1345392857</t>
  </si>
  <si>
    <t>Poznámka k položce:_x000D_
- Pol. 13.1_x000D_
VRV systém, venkovní díl, s vnitřními jednotkami propojena pomocí chladivového potrubí, izolovaného chlorkaučukovou izolací odolnou povětrnostním vlivům a UV záření. Výkon jednotky 15,5/18,0 kW (CH/UT), el. parametry 1x230 V/ 3,97(3,23) kW/ 18,0(19,9) A - CH(UT), maximální proud 29 A, doporučené jištění 32 A, akustický tlak 52/54 dB(A) - CH/UT, akustický výkon 75 dB(A), průtok vzduchu 80 m3/min, chladivo R32, rozměry 834/950/330 mm venkovní díl, hmotnost 71,6 kg (čistá), garantovaný chod -5÷48°C/-20÷18 - CH/UT</t>
  </si>
  <si>
    <t>Suchý kontakt</t>
  </si>
  <si>
    <t>646639384</t>
  </si>
  <si>
    <t>Poznámka k položce:_x000D_
- Suchý kontakt PDRYCB400_x000D_
- 2 vstupy_x000D_
Ovaládání : zapnutí/vypnutí/;nastavení teploty;vypnutí dle teploty;úspora energie;zamknutí/odemknutí_x000D_
Výstup: provozní stav;chybový stav_x000D_
- rozměry 120*120*/36,5 mm</t>
  </si>
  <si>
    <t>Y rozbočovač, pro potrubí chladiva a kapaliny</t>
  </si>
  <si>
    <t>pár</t>
  </si>
  <si>
    <t>-194642450</t>
  </si>
  <si>
    <t>Poznámka k položce:_x000D_
- Y rozbočovač, pro potrubí chladiva a kapaliny_x000D_
- vč. izolace</t>
  </si>
  <si>
    <t>-1178171015</t>
  </si>
  <si>
    <t>57*1,1</t>
  </si>
  <si>
    <t>"6,35/12,7 (1/4"/1/2")"</t>
  </si>
  <si>
    <t>16*1,1</t>
  </si>
  <si>
    <t xml:space="preserve"> "9,52/15,88 (3/8"/5/8")"</t>
  </si>
  <si>
    <t>6*1,1</t>
  </si>
  <si>
    <t>"9,52/19,05 (3/8"/3/4)"</t>
  </si>
  <si>
    <t>-690414305</t>
  </si>
  <si>
    <t>57+16+6</t>
  </si>
  <si>
    <t>-92477165</t>
  </si>
  <si>
    <t>1760281403</t>
  </si>
  <si>
    <t>812102033</t>
  </si>
  <si>
    <t>-1874463836</t>
  </si>
  <si>
    <t>2*86</t>
  </si>
  <si>
    <t>877829201</t>
  </si>
  <si>
    <t>-650511970</t>
  </si>
  <si>
    <t>314 - Okruh konferenční místnost - M3.05</t>
  </si>
  <si>
    <t>-516353112</t>
  </si>
  <si>
    <t>1450154298</t>
  </si>
  <si>
    <t>Poznámka k položce:_x000D_
- pol. 14.2_x000D_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</si>
  <si>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-1062320496</t>
  </si>
  <si>
    <t>95928886</t>
  </si>
  <si>
    <t>-2051567787</t>
  </si>
  <si>
    <t>-828997578</t>
  </si>
  <si>
    <t>MiniVRV jednotka, chladící výkon 12,1 kW</t>
  </si>
  <si>
    <t>-2121709964</t>
  </si>
  <si>
    <t>Poznámka k položce:_x000D_
- Pol. 14.1_x000D_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 chladivo R32, rozměry 834/950/330 mm venkovní díl, hmotnost 64,7 kg (čistá), garantovaný chod -5÷48°C/-20÷18 - CH/UT</t>
  </si>
  <si>
    <t>-2054879935</t>
  </si>
  <si>
    <t>1046458037</t>
  </si>
  <si>
    <t>1964284277</t>
  </si>
  <si>
    <t>32*1,1</t>
  </si>
  <si>
    <t>-1249539713</t>
  </si>
  <si>
    <t>32+6</t>
  </si>
  <si>
    <t>-270359717</t>
  </si>
  <si>
    <t>1354864108</t>
  </si>
  <si>
    <t>-485615914</t>
  </si>
  <si>
    <t>1638687088</t>
  </si>
  <si>
    <t>2*38</t>
  </si>
  <si>
    <t>871243855</t>
  </si>
  <si>
    <t>-1835722930</t>
  </si>
  <si>
    <t>316 - Okruh kanceláře - M3.07, 3.08</t>
  </si>
  <si>
    <t>-1437472384</t>
  </si>
  <si>
    <t>1767892039</t>
  </si>
  <si>
    <t>Poznámka k položce:_x000D_
- pol. 16.2_x000D_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</si>
  <si>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77277295</t>
  </si>
  <si>
    <t>1559719525</t>
  </si>
  <si>
    <t>2047584602</t>
  </si>
  <si>
    <t>-430917525</t>
  </si>
  <si>
    <t>-881217671</t>
  </si>
  <si>
    <t>Poznámka k položce:_x000D_
- Pol. 16.1_x000D_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m3/min,chladivo R32, rozměry 834/950/330 mm venkovní díl, hmotnost 64,7 kg (čistá), garantovaný chod -5÷48°C/-20÷18 - CH/UT</t>
  </si>
  <si>
    <t>-1701888308</t>
  </si>
  <si>
    <t>1101569230</t>
  </si>
  <si>
    <t>141101682</t>
  </si>
  <si>
    <t>985821443</t>
  </si>
  <si>
    <t>265344092</t>
  </si>
  <si>
    <t>1630665029</t>
  </si>
  <si>
    <t>1504805605</t>
  </si>
  <si>
    <t>1241448772</t>
  </si>
  <si>
    <t>-1625653060</t>
  </si>
  <si>
    <t>-137519832</t>
  </si>
  <si>
    <t>410 - Okruh kanceláře - M3.13, 2.12, 2.13</t>
  </si>
  <si>
    <t>-1198964711</t>
  </si>
  <si>
    <t>kazetová jednotka chlazení, vel. 07, chladící výkon 2,1 kW</t>
  </si>
  <si>
    <t>446136636</t>
  </si>
  <si>
    <t>Poznámka k položce:_x000D_
- pol. 10.2_x000D_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</si>
  <si>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-1312445074</t>
  </si>
  <si>
    <t>919141615</t>
  </si>
  <si>
    <t>-1033272742</t>
  </si>
  <si>
    <t>751721113</t>
  </si>
  <si>
    <t>Montáž klimatizační jednotky venkovní jednofázové napájení do 4 vnitřních jednotek</t>
  </si>
  <si>
    <t>-684503469</t>
  </si>
  <si>
    <t>MultiSplit jednotka, chladící výkon 6,2 kW</t>
  </si>
  <si>
    <t>-658187102</t>
  </si>
  <si>
    <t>Poznámka k položce:_x000D_
- Pol. 10.1_x000D_
multisplitový systém, venkovní díl, s vnitřními jednotkami propojena pomocí chladivového potrubí - 4 porty, izolovaného chlorkaučukovou izolací odolnou povětrnostním vlivům a UV záření. Výkon jednotky 6,2/7,4 kW (CH/UT), el. parametry 1x230 V/ 1,4(1,7) kW/ 12,6(12,9) A -_x000D_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</si>
  <si>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Elektronická deska PI485</t>
  </si>
  <si>
    <t>-1514875966</t>
  </si>
  <si>
    <t>Poznámka k položce:_x000D_
- typ PMNFO14A1 - napojení na centrální řízení, protokol RS485</t>
  </si>
  <si>
    <t>1518539687</t>
  </si>
  <si>
    <t>965232962</t>
  </si>
  <si>
    <t>61*1,1</t>
  </si>
  <si>
    <t>225085052</t>
  </si>
  <si>
    <t>-1132771437</t>
  </si>
  <si>
    <t>2+1</t>
  </si>
  <si>
    <t>1236664531</t>
  </si>
  <si>
    <t>949848925</t>
  </si>
  <si>
    <t>1201406482</t>
  </si>
  <si>
    <t>1954371802</t>
  </si>
  <si>
    <t>2*61</t>
  </si>
  <si>
    <t>-695141277</t>
  </si>
  <si>
    <t>-2117494968</t>
  </si>
  <si>
    <t>411 - Okruh kanceláře - M1.10, 1.11</t>
  </si>
  <si>
    <t>1889399212</t>
  </si>
  <si>
    <t>kazetová jednotka chlazení, vel. 05, chladící výkon 1,5 kW</t>
  </si>
  <si>
    <t>639577342</t>
  </si>
  <si>
    <t>Poznámka k položce:_x000D_
- pol. 11.2_x000D_
 kazetová jednotka chlazení (vel. 05), 4 cestná, chladivo R32, chladící výkon 1,5 kW, topný výkon 1,6 kW, el. příkon 20 W, provozní proud 0,4 A, _x000D_
akustický tlak 31/27/24 dB(A), akustický výkon 48 dB(A), průtok vzduchu 7,5/6/5 m3/min, rozměry jednotky 570/214/570 mm, hmotnost 14,0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</si>
  <si>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kazetová jednotka chlazení, vel.09, chladící výkon 2,6 kW</t>
  </si>
  <si>
    <t>1508843018</t>
  </si>
  <si>
    <t>Poznámka k položce:_x000D_
- pol. 11.3_x000D_
 kazetová jednotka chlazení (vel. 09), 4 cestná, chladivo R32, chladící výkon 2,6 kW, topný výkon 2,9 kW, el. příkon 20 W, provozní proud 0,4 A, akustický tlak 36/33/30 dB(A), akustický výkon 52 dB(A), průtok vzduchu 8,5/7/6 m3/min, rozměry jednotky 570/214/570 mm, hmotnost 14,0 kg, rozměry panelu 620/620/34, hmotnost 3 kg, barva RAL 9001, odvlhčení 0,9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</si>
  <si>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-1675094905</t>
  </si>
  <si>
    <t>539682519</t>
  </si>
  <si>
    <t>11095927</t>
  </si>
  <si>
    <t>-525639317</t>
  </si>
  <si>
    <t>1790586396</t>
  </si>
  <si>
    <t>Poznámka k položce:_x000D_
- Pol. 11.1_x000D_
 -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</si>
  <si>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1512056522</t>
  </si>
  <si>
    <t>2099963489</t>
  </si>
  <si>
    <t>2067828273</t>
  </si>
  <si>
    <t>68*1,1</t>
  </si>
  <si>
    <t>-1979478977</t>
  </si>
  <si>
    <t>-2138840345</t>
  </si>
  <si>
    <t>3+3</t>
  </si>
  <si>
    <t>480468131</t>
  </si>
  <si>
    <t>-1868400134</t>
  </si>
  <si>
    <t>1411175689</t>
  </si>
  <si>
    <t>-1174988932</t>
  </si>
  <si>
    <t>2*68</t>
  </si>
  <si>
    <t>-1533597999</t>
  </si>
  <si>
    <t>1658191939</t>
  </si>
  <si>
    <t>412 - Okruh kanceláře - M2.10, 2.11, 3.11, 3.12</t>
  </si>
  <si>
    <t>-1609092233</t>
  </si>
  <si>
    <t>-1814302322</t>
  </si>
  <si>
    <t>Poznámka k položce:_x000D_
- pol. 12.2_x000D_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</si>
  <si>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-1392187587</t>
  </si>
  <si>
    <t>1047304037</t>
  </si>
  <si>
    <t>-1223987993</t>
  </si>
  <si>
    <t>536617289</t>
  </si>
  <si>
    <t>282359180</t>
  </si>
  <si>
    <t>Poznámka k položce:_x000D_
- Pol. 12.1_x000D_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osazena na nosném rámu, ukotvení a prostup skrz střešní plášť řeší stavba</t>
  </si>
  <si>
    <t>-713504477</t>
  </si>
  <si>
    <t>-124315159</t>
  </si>
  <si>
    <t>1192575297</t>
  </si>
  <si>
    <t>66*1,1</t>
  </si>
  <si>
    <t>1344158137</t>
  </si>
  <si>
    <t>-220386949</t>
  </si>
  <si>
    <t>-1325077339</t>
  </si>
  <si>
    <t>894146334</t>
  </si>
  <si>
    <t>-498417089</t>
  </si>
  <si>
    <t>-504404974</t>
  </si>
  <si>
    <t>2*66</t>
  </si>
  <si>
    <t>294574571</t>
  </si>
  <si>
    <t>293802507</t>
  </si>
  <si>
    <t>415 - Okruh depozitáře - M3.06</t>
  </si>
  <si>
    <t>1309114478</t>
  </si>
  <si>
    <t>-965294580</t>
  </si>
  <si>
    <t>Poznámka k položce:_x000D_
- pol. 15.2_x000D_
 -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</si>
  <si>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1629814018</t>
  </si>
  <si>
    <t>-135764745</t>
  </si>
  <si>
    <t>1204866720</t>
  </si>
  <si>
    <t>-2004024021</t>
  </si>
  <si>
    <t>MultiSplit jednotka, chladící výkon 9,5 kW</t>
  </si>
  <si>
    <t>-1747719859</t>
  </si>
  <si>
    <t>Poznámka k položce:_x000D_
- Pol. 15.1_x000D_
multisplitový systém, venkovní díl, s vnitřními jednotkami propojena pomocí chladivového potrubí - 4 porty, izolovaného chlorkaučukovou izolací odolnou povětrnostním vlivům a UV záření. Výkon jednotky 9,5/10,6 kW (CH/UT), el. parametry 1x230 V/ 2,8(2,9) kW/ 13,0(15,3) A -_x000D_
CH(UT), maximální proud 15,3 A, doporučené jištění 25 A, akustický tlak 50/54 dB(A) - CH/UT, akustický výkon 65 dB(A), průtok vzduchu 60 m3/min, chladivo R32, rozměry 834/950/330 mm venkovní díl, hmotnost 61,0 kg (čistá), garantovaný chod -10÷48°C/-18÷18 - CH/UT, jednotka _x000D_
osazena na nosném rámu, ukotvení a prostup skrz střešní plášť řeší stavba</t>
  </si>
  <si>
    <t>-408054883</t>
  </si>
  <si>
    <t>-685902366</t>
  </si>
  <si>
    <t>-209378633</t>
  </si>
  <si>
    <t>58*1,1</t>
  </si>
  <si>
    <t>2064339836</t>
  </si>
  <si>
    <t>1349140216</t>
  </si>
  <si>
    <t>-1931703625</t>
  </si>
  <si>
    <t>1222576447</t>
  </si>
  <si>
    <t>-1900213379</t>
  </si>
  <si>
    <t>2*58</t>
  </si>
  <si>
    <t>-1305944600</t>
  </si>
  <si>
    <t>1287775300</t>
  </si>
  <si>
    <t>417 - Okruh depozitáře - M1.04</t>
  </si>
  <si>
    <t>2053763655</t>
  </si>
  <si>
    <t>kazetová jednotka chlazení, vel. 05, chladící výkon 1,5 kW, topný výkon 1,6 kW</t>
  </si>
  <si>
    <t>-675027626</t>
  </si>
  <si>
    <t>Poznámka k položce:_x000D_
- pol. 17.2_x000D_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</si>
  <si>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364940864</t>
  </si>
  <si>
    <t>-1722875962</t>
  </si>
  <si>
    <t>1655899211</t>
  </si>
  <si>
    <t>-1703697487</t>
  </si>
  <si>
    <t>MultiSplit jednotka, chladící výkon 11,2 kW, topný výkon 12.5 kW</t>
  </si>
  <si>
    <t>-1661476001</t>
  </si>
  <si>
    <t>Poznámka k položce:_x000D_
- Pol. 17.1_x000D_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</si>
  <si>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-260747435</t>
  </si>
  <si>
    <t>R751000201</t>
  </si>
  <si>
    <t>Distribuční box - 4 porty</t>
  </si>
  <si>
    <t>2120302285</t>
  </si>
  <si>
    <t>Poznámka k položce:_x000D_
- pol. 17.3_x000D_
Distribuční box, 4 porty, rozměry 302/143/252 mm, hmotnost 5 kg, připojení4*6,35/9,52; 1*9,52/19,05, 1x230 V/ 10 W/ 0,05 A; obsahuje expanzní ventily, řídící elektroniku</t>
  </si>
  <si>
    <t>216638099</t>
  </si>
  <si>
    <t>-1016804029</t>
  </si>
  <si>
    <t>19*1,1</t>
  </si>
  <si>
    <t>"9,52/19,05 (3/8"/3/4")"</t>
  </si>
  <si>
    <t>30,5*1,1</t>
  </si>
  <si>
    <t>1813772021</t>
  </si>
  <si>
    <t>54,45</t>
  </si>
  <si>
    <t>1792756988</t>
  </si>
  <si>
    <t>-817646563</t>
  </si>
  <si>
    <t>629132927</t>
  </si>
  <si>
    <t>1324386049</t>
  </si>
  <si>
    <t>2081800535</t>
  </si>
  <si>
    <t>488477786</t>
  </si>
  <si>
    <t>-546027959</t>
  </si>
  <si>
    <t>418 - Okruh depozitáře - M1.05</t>
  </si>
  <si>
    <t>1626394869</t>
  </si>
  <si>
    <t>1918762150</t>
  </si>
  <si>
    <t>Poznámka k položce:_x000D_
- pol. 18.2_x000D_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</si>
  <si>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-1418286135</t>
  </si>
  <si>
    <t>1890447746</t>
  </si>
  <si>
    <t>541677738</t>
  </si>
  <si>
    <t>1179877267</t>
  </si>
  <si>
    <t>1311893300</t>
  </si>
  <si>
    <t>Poznámka k položce:_x000D_
- Pol. 18.1_x000D_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</si>
  <si>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-548504036</t>
  </si>
  <si>
    <t>693261393</t>
  </si>
  <si>
    <t>Poznámka k položce:_x000D_
- pol. 18.3_x000D_
Distribuční box, 4 porty, rozměry 302/143/252 mm, hmotnost 5 kg, připojení4*6,35/9,52; 1*9,52/19,05, 1x230 V/ 10 W/ 0,05 A; obsahuje expanzní ventily, řídící elektroniku</t>
  </si>
  <si>
    <t>908866333</t>
  </si>
  <si>
    <t>1468880712</t>
  </si>
  <si>
    <t>29*1,1</t>
  </si>
  <si>
    <t>-529034064</t>
  </si>
  <si>
    <t>67,1</t>
  </si>
  <si>
    <t>1179703403</t>
  </si>
  <si>
    <t>-484989407</t>
  </si>
  <si>
    <t>-543643798</t>
  </si>
  <si>
    <t>1762060909</t>
  </si>
  <si>
    <t>865885953</t>
  </si>
  <si>
    <t>1255102830</t>
  </si>
  <si>
    <t>926666618</t>
  </si>
  <si>
    <t>419 - Okruh depozitáře - M1.07</t>
  </si>
  <si>
    <t>1693511490</t>
  </si>
  <si>
    <t>-1167280243</t>
  </si>
  <si>
    <t>Poznámka k položce:_x000D_
- pol. 19.2_x000D_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</si>
  <si>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1236615848</t>
  </si>
  <si>
    <t>951541816</t>
  </si>
  <si>
    <t>1262587790</t>
  </si>
  <si>
    <t>-811793073</t>
  </si>
  <si>
    <t>-1369175570</t>
  </si>
  <si>
    <t>Poznámka k položce:_x000D_
- Pol. 19.1_x000D_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</si>
  <si>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748881063</t>
  </si>
  <si>
    <t>411416161</t>
  </si>
  <si>
    <t>Poznámka k položce:_x000D_
- pol. 19.3_x000D_
Distribuční box, 4 porty, rozměry 302/143/252 mm, hmotnost 5 kg, připojení4*6,35/9,52; 1*9,52/19,05, 1x230 V/ 10 W/ 0,05 A; obsahuje expanzní ventily, řídící elektroniku</t>
  </si>
  <si>
    <t>2090726745</t>
  </si>
  <si>
    <t>-1860724575</t>
  </si>
  <si>
    <t>20*1,1</t>
  </si>
  <si>
    <t>1649890894</t>
  </si>
  <si>
    <t>57,2</t>
  </si>
  <si>
    <t>406455466</t>
  </si>
  <si>
    <t>-221546392</t>
  </si>
  <si>
    <t>1525846489</t>
  </si>
  <si>
    <t>1205585940</t>
  </si>
  <si>
    <t>-1103895043</t>
  </si>
  <si>
    <t>254076152</t>
  </si>
  <si>
    <t>720554635</t>
  </si>
  <si>
    <t>420 - Okruh depozitáře - M1.06</t>
  </si>
  <si>
    <t>-729419069</t>
  </si>
  <si>
    <t>784606585</t>
  </si>
  <si>
    <t>Poznámka k položce:_x000D_
- pol. 20.2_x000D_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</si>
  <si>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1622897422</t>
  </si>
  <si>
    <t>1785891979</t>
  </si>
  <si>
    <t>-57339784</t>
  </si>
  <si>
    <t>754930563</t>
  </si>
  <si>
    <t>1348506605</t>
  </si>
  <si>
    <t>Poznámka k položce:_x000D_
- Pol. 20.1_x000D_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</si>
  <si>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-157434095</t>
  </si>
  <si>
    <t>-2044675813</t>
  </si>
  <si>
    <t>Poznámka k položce:_x000D_
- pol. 20.3_x000D_
Distribuční box, 4 porty, rozměry 302/143/252 mm, hmotnost 5 kg, připojení4*6,35/9,52; 1*9,52/19,05, 1x230 V/ 10 W/ 0,05 A; obsahuje expanzní ventily, řídící elektroniku</t>
  </si>
  <si>
    <t>103646261</t>
  </si>
  <si>
    <t>443289011</t>
  </si>
  <si>
    <t>33*1,1</t>
  </si>
  <si>
    <t>-1757803552</t>
  </si>
  <si>
    <t>68,2</t>
  </si>
  <si>
    <t>461977903</t>
  </si>
  <si>
    <t>154201702</t>
  </si>
  <si>
    <t>514919590</t>
  </si>
  <si>
    <t>492856342</t>
  </si>
  <si>
    <t>-23645276</t>
  </si>
  <si>
    <t>-1792618475</t>
  </si>
  <si>
    <t>-862537155</t>
  </si>
  <si>
    <t>421 - Okruh depozitáře - M2.07</t>
  </si>
  <si>
    <t>-1843097118</t>
  </si>
  <si>
    <t>874005320</t>
  </si>
  <si>
    <t>Poznámka k položce:_x000D_
- pol. 21.2_x000D_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</si>
  <si>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1355160700</t>
  </si>
  <si>
    <t>939101094</t>
  </si>
  <si>
    <t>-2119294867</t>
  </si>
  <si>
    <t>1928437522</t>
  </si>
  <si>
    <t>-437031841</t>
  </si>
  <si>
    <t>Poznámka k položce:_x000D_
- Pol. 21.1_x000D_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</si>
  <si>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-1508458315</t>
  </si>
  <si>
    <t>-1228419351</t>
  </si>
  <si>
    <t>Poznámka k položce:_x000D_
- pol. 21.3_x000D_
Distribuční box, 4 porty, rozměry 302/143/252 mm, hmotnost 5 kg, připojení4*6,35/9,52; 1*9,52/19,05, 1x230 V/ 10 W/ 0,05 A; obsahuje expanzní ventily, řídící elektroniku</t>
  </si>
  <si>
    <t>741014394</t>
  </si>
  <si>
    <t>-2050556523</t>
  </si>
  <si>
    <t>17*1,1</t>
  </si>
  <si>
    <t>-285328536</t>
  </si>
  <si>
    <t>53,9</t>
  </si>
  <si>
    <t>845970563</t>
  </si>
  <si>
    <t>-525202235</t>
  </si>
  <si>
    <t>-1054640023</t>
  </si>
  <si>
    <t>1874426958</t>
  </si>
  <si>
    <t>-755270917</t>
  </si>
  <si>
    <t>27865260</t>
  </si>
  <si>
    <t>307773800</t>
  </si>
  <si>
    <t>422 - Okruh depozitáře - M2.06</t>
  </si>
  <si>
    <t>152083831</t>
  </si>
  <si>
    <t>-1897006739</t>
  </si>
  <si>
    <t>Poznámka k položce:_x000D_
- pol. 22.2_x000D_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</si>
  <si>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-2077663922</t>
  </si>
  <si>
    <t>-715830058</t>
  </si>
  <si>
    <t>602981310</t>
  </si>
  <si>
    <t>-1709208821</t>
  </si>
  <si>
    <t>620462800</t>
  </si>
  <si>
    <t>Poznámka k položce:_x000D_
- Pol. 22.1_x000D_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</si>
  <si>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-1200279586</t>
  </si>
  <si>
    <t>-837921267</t>
  </si>
  <si>
    <t>Poznámka k položce:_x000D_
- pol. 22.3_x000D_
Distribuční box, 4 porty, rozměry 302/143/252 mm, hmotnost 5 kg, připojení4*6,35/9,52; 1*9,52/19,05, 1x230 V/ 10 W/ 0,05 A; obsahuje expanzní ventily, řídící elektroniku</t>
  </si>
  <si>
    <t>46129248</t>
  </si>
  <si>
    <t>-1364136358</t>
  </si>
  <si>
    <t>25*1,1</t>
  </si>
  <si>
    <t>2026941307</t>
  </si>
  <si>
    <t>62,7</t>
  </si>
  <si>
    <t>-984783070</t>
  </si>
  <si>
    <t>-1712199046</t>
  </si>
  <si>
    <t>238788206</t>
  </si>
  <si>
    <t>-452732780</t>
  </si>
  <si>
    <t>-2122227716</t>
  </si>
  <si>
    <t>-1058522885</t>
  </si>
  <si>
    <t>-266156802</t>
  </si>
  <si>
    <t>EPS - ELEKTRONICKÁ POŽÁRNÍ SIGNALIZACE</t>
  </si>
  <si>
    <t>D0 - MATERIÁL</t>
  </si>
  <si>
    <t>D1 - MONTÁŽ</t>
  </si>
  <si>
    <t>D0</t>
  </si>
  <si>
    <t>MATERIÁL</t>
  </si>
  <si>
    <t>220331110</t>
  </si>
  <si>
    <t>Výměnné popisné pole na ovládací panel -ústřednu EPS - česky</t>
  </si>
  <si>
    <t>220331120</t>
  </si>
  <si>
    <t>Ústředna EPS IP CXF - základní verze skříň vč. Interního panelu, 2 kruhy - kompatibilní se stávajícími ústřednami EPS</t>
  </si>
  <si>
    <t>220331130</t>
  </si>
  <si>
    <t>SD karta 1GB</t>
  </si>
  <si>
    <t>220331140</t>
  </si>
  <si>
    <t>Výměnné popisné pole na ovládací panel -externí a ovl. Panel - česky</t>
  </si>
  <si>
    <t>220331150</t>
  </si>
  <si>
    <t>Externí zobrazovací a ovládací panel</t>
  </si>
  <si>
    <t>220331160</t>
  </si>
  <si>
    <t>Obslužné pole požární ochrany - B5 OPPO CZ - EPI dle DIN 14661 vč. skříně</t>
  </si>
  <si>
    <t>220331170</t>
  </si>
  <si>
    <t>Konvertor pro ZDP - LAN/RS</t>
  </si>
  <si>
    <t>220331180</t>
  </si>
  <si>
    <t>AKU 12/24 Ah</t>
  </si>
  <si>
    <t>220331190</t>
  </si>
  <si>
    <t>Adresovatelný multisenzorový hlásič MTD na linku ústředny EPS</t>
  </si>
  <si>
    <t>220331200</t>
  </si>
  <si>
    <t>Sokl bez loop kontaktu</t>
  </si>
  <si>
    <t>220331210</t>
  </si>
  <si>
    <t>Popisný štítek pro sokl</t>
  </si>
  <si>
    <t>220331220</t>
  </si>
  <si>
    <t>Paralelní indikátor k hlásiči</t>
  </si>
  <si>
    <t>220331230</t>
  </si>
  <si>
    <t>Kryt pro paralelní indikátor</t>
  </si>
  <si>
    <t>220331240</t>
  </si>
  <si>
    <t>Adresovatelný tlačítkový hlásič požáru červený, IP 24 (vnitřní) se základnou na linku ústředny EPS</t>
  </si>
  <si>
    <t>220331250</t>
  </si>
  <si>
    <t>Kruhová adresná siréna, bílý kryt</t>
  </si>
  <si>
    <t>220331260</t>
  </si>
  <si>
    <t>Maják, červený kryt , IP 65</t>
  </si>
  <si>
    <t>220331270</t>
  </si>
  <si>
    <t>Modul vstupní - 4 vstupy IM4 na linku ústředny EPS</t>
  </si>
  <si>
    <t>220331280</t>
  </si>
  <si>
    <t>Modul reléový - 4 relé vč, izolátoru, REL4 na linku stávající ústředny EPS</t>
  </si>
  <si>
    <t>220331290</t>
  </si>
  <si>
    <t>Obslužný panel požární ochrany OPPO</t>
  </si>
  <si>
    <t>220331300</t>
  </si>
  <si>
    <t>Klíčový trezor KTPO, motálkový klíč č. 13</t>
  </si>
  <si>
    <t>220331310</t>
  </si>
  <si>
    <t>Krabice pro VV moduly 94x94x57 mm, IP66, vč. průchodek</t>
  </si>
  <si>
    <t>220331320</t>
  </si>
  <si>
    <t>Krabice krabice pro moduly REL4 IP66, 130x94x57 mm, vč. průchodek</t>
  </si>
  <si>
    <t>220331330</t>
  </si>
  <si>
    <t>Červený kabel, pro hlásicí linky, samozhášivý, J-Y(St)Y 1x2x0,8 z PVC dle IEC 332-1</t>
  </si>
  <si>
    <t>220331340</t>
  </si>
  <si>
    <t>Kabel ohniodolný, plamen nešířící, LS0H, B2caS1, d0, EF 180 S 2x1.0</t>
  </si>
  <si>
    <t>220331350</t>
  </si>
  <si>
    <t>Kabel ohniodolný, plamen nešířící, LS0H, B2caS1, d0, EF 180 S 4x1.0</t>
  </si>
  <si>
    <t>220331360</t>
  </si>
  <si>
    <t>Kabel ohniodolný, plamen nešířící, LS0H, B2caS1, d0d 15x2x0,5 (KTPO)</t>
  </si>
  <si>
    <t>220331370</t>
  </si>
  <si>
    <t>Kabelová příchytka - kovová - komplet s pož. odolností, 1 kabel</t>
  </si>
  <si>
    <t>220331380</t>
  </si>
  <si>
    <t>Kabelová příchytka - kovová - komplet s pož. odolností, 2 kabely</t>
  </si>
  <si>
    <t>220331390</t>
  </si>
  <si>
    <t>Krabice inst. KO 68</t>
  </si>
  <si>
    <t>220331400</t>
  </si>
  <si>
    <t>Krabice svorková s funkční integritou P 90 R, 8 pólů, pro průřez 0,5 - 4 mm2, oranžová</t>
  </si>
  <si>
    <t>220331410</t>
  </si>
  <si>
    <t>Krabice svorková s funkční integritou P 90 R, 14 pólů, pro průřez 0,5 - 4 mm2, oranžová</t>
  </si>
  <si>
    <t>220331420</t>
  </si>
  <si>
    <t>Provozní kniha EPS</t>
  </si>
  <si>
    <t>220331430</t>
  </si>
  <si>
    <t>220331460</t>
  </si>
  <si>
    <t>MONTÁŽ</t>
  </si>
  <si>
    <t>220331510</t>
  </si>
  <si>
    <t>ústředna EPS - montáž + programování</t>
  </si>
  <si>
    <t>220331520</t>
  </si>
  <si>
    <t>EXT O.P. - montáž, zapojení</t>
  </si>
  <si>
    <t>220331530</t>
  </si>
  <si>
    <t>KTPO - montáž, zapojení</t>
  </si>
  <si>
    <t>220331540</t>
  </si>
  <si>
    <t>Optický/teplotní hlásič/ izol. patice EPS - montáž</t>
  </si>
  <si>
    <t>220331550</t>
  </si>
  <si>
    <t>Paralelní indikátor - montáž</t>
  </si>
  <si>
    <t>220331560</t>
  </si>
  <si>
    <t>Tlačítkový hlásič EPS - montáž</t>
  </si>
  <si>
    <t>220331570</t>
  </si>
  <si>
    <t>Akční V/V člen - montáž</t>
  </si>
  <si>
    <t>220331580</t>
  </si>
  <si>
    <t>Siréna/zvon/maják EPS - montáž</t>
  </si>
  <si>
    <t>220331590</t>
  </si>
  <si>
    <t>Přezkoušení detektorů vč. lineárů</t>
  </si>
  <si>
    <t>220331600</t>
  </si>
  <si>
    <t>Zatažení kabelů/uložení do 10 mm</t>
  </si>
  <si>
    <t>220331610</t>
  </si>
  <si>
    <t>uložení kabelu pod omítku vč. vyfrézování drážky a zapravení</t>
  </si>
  <si>
    <t>220331620</t>
  </si>
  <si>
    <t>220331630</t>
  </si>
  <si>
    <t>krabice instalační na povrch</t>
  </si>
  <si>
    <t>220331640</t>
  </si>
  <si>
    <t>220331650</t>
  </si>
  <si>
    <t>Průraz otvoru ve zdivu cihelném, 0,09 m2 tl 15-25 cm</t>
  </si>
  <si>
    <t>220331660</t>
  </si>
  <si>
    <t>Průraz otvoru ve zdivu cihelném, 0,09 m2, tl 45 cm</t>
  </si>
  <si>
    <t>220331670</t>
  </si>
  <si>
    <t>Aplikace pěny/tmelu protipožární</t>
  </si>
  <si>
    <t>220331680</t>
  </si>
  <si>
    <t>výchozí revize EPS</t>
  </si>
  <si>
    <t>220331690</t>
  </si>
  <si>
    <t>Komplexní zkouška systému EPS</t>
  </si>
  <si>
    <t>SO 02 - DEMOLICE</t>
  </si>
  <si>
    <t xml:space="preserve">Předpokládá se, že veškerá stavebí suť se stává majetkem zhotovitele. Likvidace suti proběhne dle platných vyhlášek, předpokládá se dokládání vážních lístků z řádných skládek odpadu. </t>
  </si>
  <si>
    <t xml:space="preserve">    997 - Přesun sutě</t>
  </si>
  <si>
    <t>VRN - Vedlejší rozpočtové náklady pro demolice</t>
  </si>
  <si>
    <t>920400100.1</t>
  </si>
  <si>
    <t>Odpojení budovy od inženýrských sítí vč. zaslepení</t>
  </si>
  <si>
    <t>-179336272</t>
  </si>
  <si>
    <t>930500100.1</t>
  </si>
  <si>
    <t>Dovyklizení objektu před započetím demolice - mobiliář, odpad, atd.. (realizováno na pokyn investora a účtováno bude dle skutečnosti a zápisu ve stavebním deníku)</t>
  </si>
  <si>
    <t>-1660512445</t>
  </si>
  <si>
    <t>8*4*4+2</t>
  </si>
  <si>
    <t>961055111</t>
  </si>
  <si>
    <t>Bourání základů z betonu železového</t>
  </si>
  <si>
    <t>1320277543</t>
  </si>
  <si>
    <t>Odbourání stávajících betonových hlavic</t>
  </si>
  <si>
    <t>3,14*0,71*0,71*0,55*40</t>
  </si>
  <si>
    <t>3,14*0,71*0,71*1,15*2</t>
  </si>
  <si>
    <t>2,63*3,25*0,4</t>
  </si>
  <si>
    <t>0,45*0,92*0,55*3</t>
  </si>
  <si>
    <t>3,14*0,34*0,34*0,55*4</t>
  </si>
  <si>
    <t>2,45*2,3*0,4</t>
  </si>
  <si>
    <t>981013713</t>
  </si>
  <si>
    <t>Demolice budov těžkými mechanizačními prostředky z monolitického nebo montovaného železobetonu včetně výplňového zdiva, s podílem konstrukcí přes 15 do 20 %</t>
  </si>
  <si>
    <t>1590562908</t>
  </si>
  <si>
    <t>Poznámka k položce:_x000D_
Vč. minimalizace prašnosti, kropení</t>
  </si>
  <si>
    <t>43,5*25,5*(7,9+0,55)</t>
  </si>
  <si>
    <t>7,5*25,5*(11,5-7,9)</t>
  </si>
  <si>
    <t>990500100.1</t>
  </si>
  <si>
    <t xml:space="preserve">Srovnání celé plochy po demolici vhodným zásypovým materiálem (tl. cca 200 mm) na kótu 262,00 m.n.m. </t>
  </si>
  <si>
    <t>1123897694</t>
  </si>
  <si>
    <t>Poznámka k položce:_x000D_
Nutno konzultovat se statikem</t>
  </si>
  <si>
    <t>(43,5+1,5*2)*(25,5+1,5*2)</t>
  </si>
  <si>
    <t>997</t>
  </si>
  <si>
    <t>Přesun sutě</t>
  </si>
  <si>
    <t>997006512</t>
  </si>
  <si>
    <t>Vodorovná doprava suti na skládku s naložením na dopravní prostředek a složením přes 100 m do 1 km</t>
  </si>
  <si>
    <t>191454179</t>
  </si>
  <si>
    <t>997006519.1</t>
  </si>
  <si>
    <t>Vodorovná doprava suti na skládku dodavatele s naložením na dopravní prostředek a složením Příplatek k ceně za každé další započaté kilometry</t>
  </si>
  <si>
    <t>-1140190054</t>
  </si>
  <si>
    <t>997013804</t>
  </si>
  <si>
    <t>Poplatek za uložení stavebního odpadu na skládce (skládkovné) ze skla zatříděného do Katalogu odpadů pod kódem 170 202</t>
  </si>
  <si>
    <t>1867691150</t>
  </si>
  <si>
    <t>997013811</t>
  </si>
  <si>
    <t>Poplatek za uložení stavebního odpadu na skládce (skládkovné) dřevěného zatříděného do Katalogu odpadů pod kódem 170 201</t>
  </si>
  <si>
    <t>462992623</t>
  </si>
  <si>
    <t>Předpoklad</t>
  </si>
  <si>
    <t>20,0</t>
  </si>
  <si>
    <t>997013813</t>
  </si>
  <si>
    <t>Poplatek za uložení stavebního odpadu na skládce (skládkovné) z plastických hmot zatříděného do Katalogu odpadů pod kódem 170 203</t>
  </si>
  <si>
    <t>-1475187944</t>
  </si>
  <si>
    <t>10,0</t>
  </si>
  <si>
    <t>997013814</t>
  </si>
  <si>
    <t>Poplatek za uložení stavebního odpadu na skládce (skládkovné) z izolačních materiálů zatříděného do Katalogu odpadů pod kódem 170 604</t>
  </si>
  <si>
    <t>1317752259</t>
  </si>
  <si>
    <t>15,0</t>
  </si>
  <si>
    <t>997013801.1</t>
  </si>
  <si>
    <t>Poplatek za uložení stavebního odpadu na skládce (skládkovné) - tříděný (čistá stavební suť)</t>
  </si>
  <si>
    <t>964681697</t>
  </si>
  <si>
    <t>odhad 80%</t>
  </si>
  <si>
    <t>4341,884*0,80</t>
  </si>
  <si>
    <t>997013831</t>
  </si>
  <si>
    <t>Poplatek za uložení stavebního odpadu na skládce (skládkovné) směsného stavebního a demoličního zatříděného do Katalogu odpadů pod kódem 170 904</t>
  </si>
  <si>
    <t>-1288325725</t>
  </si>
  <si>
    <t>odhad 20%</t>
  </si>
  <si>
    <t>4341,884-1,5-20,0-10,0-15,0-3473,507-10,0</t>
  </si>
  <si>
    <t>997013000.1</t>
  </si>
  <si>
    <t>Odpočtový poplatek za kovový šrot</t>
  </si>
  <si>
    <t>1247231598</t>
  </si>
  <si>
    <t>Vedlejší rozpočtové náklady pro demolice</t>
  </si>
  <si>
    <t>998500100.1</t>
  </si>
  <si>
    <t>Vypracování technologického postupu demolice</t>
  </si>
  <si>
    <t>-1178722640</t>
  </si>
  <si>
    <t>998500110.1</t>
  </si>
  <si>
    <t>Vytýčení a případné ochránění vedení inženýrských sítí vč.ponechávaných sítí v bezprostředním okolí demolovaného objektu</t>
  </si>
  <si>
    <t>1687586062</t>
  </si>
  <si>
    <t>998500120.1</t>
  </si>
  <si>
    <t>Zajištění statika (odborného dozoru) během demoličních prací</t>
  </si>
  <si>
    <t>-652077091</t>
  </si>
  <si>
    <t>998500130.1</t>
  </si>
  <si>
    <t>Zařízení staveniště jen pro demolice (standardní zajištění vč.oplocení s vraty, zajištění provizorních přípojek vody, NN, prvků BOZP, buněk, sociálních zařízení, dopravního značení, atd )</t>
  </si>
  <si>
    <t>1790166639</t>
  </si>
  <si>
    <t>998500140.1</t>
  </si>
  <si>
    <t>Předání potřebných dokumentů související s plněním předmětu zakázky, které jsou nezbytné ke kolaudačnímu řízení a převzetí a předání díla (atesty, revize, certifikáty, doklady o likvidaci odpadů )</t>
  </si>
  <si>
    <t>-1968447577</t>
  </si>
  <si>
    <t>998500150.1</t>
  </si>
  <si>
    <t>Revize - provedení všech provozních, tlakových a revizních zkoušek souvisejících s odpojením objektu od IS</t>
  </si>
  <si>
    <t>1448312983</t>
  </si>
  <si>
    <t>IO 01 - KOMUNIKACE A ZPEVNĚNÉ PLOCHY</t>
  </si>
  <si>
    <t>Olomouc, k.ú. Neředín, p.č. st. 166</t>
  </si>
  <si>
    <t>ing. Zetocha</t>
  </si>
  <si>
    <t xml:space="preserve">      11 - Zemní práce - přípravné a přidružené práce</t>
  </si>
  <si>
    <t xml:space="preserve">      111 - Zemní práce - stabilizace</t>
  </si>
  <si>
    <t xml:space="preserve">      16 - Zemní práce - přemístění výkopku</t>
  </si>
  <si>
    <t xml:space="preserve">      18 - Zemní práce - povrchové úpravy terénu</t>
  </si>
  <si>
    <t xml:space="preserve">    5 - Komunikace pozemní</t>
  </si>
  <si>
    <t xml:space="preserve">      91 - Doplňující konstrukce a práce pozemních komunikací, letišť a ploch</t>
  </si>
  <si>
    <t xml:space="preserve">      99 - Přesun hmot a manipulace se sutí</t>
  </si>
  <si>
    <t>Zemní práce - přípravné a přidružené práce</t>
  </si>
  <si>
    <t>113154114</t>
  </si>
  <si>
    <t>Frézování živičného podkladu nebo krytu s naložením na dopravní prostředek plochy do 500 m2 bez překážek v trase pruhu šířky do 0,5 m, tloušťky vrstvy 100 mm</t>
  </si>
  <si>
    <t>986055853</t>
  </si>
  <si>
    <t>Poznámka k položce:_x000D_
odstraněná asfaltového krytu stávající komunikace, napojení 1,0m</t>
  </si>
  <si>
    <t>70+90+30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</si>
  <si>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</si>
  <si>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</si>
  <si>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-1660868876</t>
  </si>
  <si>
    <t>Poznámka k položce:_x000D_
odstranění podkladu pod částí nového parkoviště a pod navázáním</t>
  </si>
  <si>
    <t>120901121</t>
  </si>
  <si>
    <t>Bourání konstrukcí v odkopávkách a prokopávkách s přemístěním suti na hromady na vzdálenost do 20 m nebo s naložením na dopravní prostředek ručně z betonu prostého neprokládaného</t>
  </si>
  <si>
    <t>1540302001</t>
  </si>
  <si>
    <t>Poznámka k položce:_x000D_
bouraní schodiště u vstupu a bet. panelu</t>
  </si>
  <si>
    <t>(6*0,5)+(5*0,25)</t>
  </si>
  <si>
    <t>192799851</t>
  </si>
  <si>
    <t>Poznámka k položce:_x000D_
bourání štěrkové plochy pod částí nového parkoviště</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</si>
  <si>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</si>
  <si>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</si>
  <si>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1468677438</t>
  </si>
  <si>
    <t>Poznámka k položce:_x000D_
odstranění podkladu pod částí nového chodníku</t>
  </si>
  <si>
    <t>120+20</t>
  </si>
  <si>
    <t>919735112</t>
  </si>
  <si>
    <t>Řezání stávajícího živičného krytu nebo podkladu hloubky přes 50 do 100 mm</t>
  </si>
  <si>
    <t>-72854820</t>
  </si>
  <si>
    <t>Poznámka k položce:_x000D_
odřezání stávající hrany vozovky</t>
  </si>
  <si>
    <t>997221561</t>
  </si>
  <si>
    <t>Vodorovná doprava suti bez naložení, ale se složením a s hrubým urovnáním z kusových materiálů, na vzdálenost do 1 km</t>
  </si>
  <si>
    <t>-1010520945</t>
  </si>
  <si>
    <t>Poznámka k položce:_x000D_
odvoz suti na skládku do 15 km</t>
  </si>
  <si>
    <t>997221569</t>
  </si>
  <si>
    <t>Vodorovná doprava suti bez naložení, ale se složením a s hrubým urovnáním Příplatek k ceně za každý další i započatý 1 km přes 1 km</t>
  </si>
  <si>
    <t>-1141741674</t>
  </si>
  <si>
    <t>Poznámka k položce:_x000D_
odvoz suti na skládku do 15 km - zbylých 14 km</t>
  </si>
  <si>
    <t>261,040*14</t>
  </si>
  <si>
    <t>997221855</t>
  </si>
  <si>
    <t>-1529425332</t>
  </si>
  <si>
    <t>Poznámka k položce:_x000D_
poplatek na skládce</t>
  </si>
  <si>
    <t>110,2+40,6+61,6</t>
  </si>
  <si>
    <t>997221845</t>
  </si>
  <si>
    <t>Poplatek za uložení stavebního odpadu na skládce (skládkovné) asfaltového bez obsahu dehtu zatříděného do Katalogu odpadů pod kódem 170 302</t>
  </si>
  <si>
    <t>2073319621</t>
  </si>
  <si>
    <t>Zemní práce - stabilizace</t>
  </si>
  <si>
    <t>122201101</t>
  </si>
  <si>
    <t>Odkopávky a prokopávky nezapažené s přehozením výkopku na vzdálenost do 3 m nebo s naložením na dopravní prostředek v hornině tř. 3 do 100 m3</t>
  </si>
  <si>
    <t>-521489174</t>
  </si>
  <si>
    <t>Poznámka k položce:_x000D_
výkopy stávající zeminy pro sanaci pod parkovací plochou - tl. 50 a pod chodníkem -  20 cm</t>
  </si>
  <si>
    <t>PARKOVACÍ PLOCHA</t>
  </si>
  <si>
    <t>0,5*120</t>
  </si>
  <si>
    <t>CHODNÍK</t>
  </si>
  <si>
    <t>0,2*155</t>
  </si>
  <si>
    <t>122201109</t>
  </si>
  <si>
    <t>Odkopávky a prokopávky nezapažené s přehozením výkopku na vzdálenost do 3 m nebo s naložením na dopravní prostředek v hornině tř. 3 Příplatek k cenám za lepivost horniny tř. 3</t>
  </si>
  <si>
    <t>172914418</t>
  </si>
  <si>
    <t>Poznámka k položce:_x000D_
příplatek za lepivost</t>
  </si>
  <si>
    <t>919726122</t>
  </si>
  <si>
    <t>Geotextilie netkaná pro ochranu, separaci nebo filtraci měrná hmotnost přes 200 do 300 g/m2</t>
  </si>
  <si>
    <t>-768237804</t>
  </si>
  <si>
    <t>Poznámka k položce:_x000D_
položení geotextilie pod sanaci</t>
  </si>
  <si>
    <t>58341341</t>
  </si>
  <si>
    <t>kamenivo drcené drobné frakce 0/4</t>
  </si>
  <si>
    <t>1924454680</t>
  </si>
  <si>
    <t>Poznámka k položce:_x000D_
ochranná vrstva geotextílie z drobného kameniva - frakce 0-4, tl. 5 cm</t>
  </si>
  <si>
    <t>((120+155)*0,05)*1,8</t>
  </si>
  <si>
    <t>583312010</t>
  </si>
  <si>
    <t>štěrkopísek netříděný zásypový</t>
  </si>
  <si>
    <t>-859558644</t>
  </si>
  <si>
    <t>Poznámka k položce:_x000D_
nákup pro sanaci, tl. 45 a 15 cm</t>
  </si>
  <si>
    <t>((120*0,45)+(155)*0,15)*1,8</t>
  </si>
  <si>
    <t>162701105</t>
  </si>
  <si>
    <t>Vodorovné přemístění výkopku nebo sypaniny po suchu na obvyklém dopravním prostředku, bez naložení výkopku, avšak se složením bez rozhrnutí z horniny tř. 1 až 4 na vzdálenost přes 9 000 do 10 000 m</t>
  </si>
  <si>
    <t>-102330744</t>
  </si>
  <si>
    <t>Poznámka k položce:_x000D_
dovoz pro stabilizaci z 15 km</t>
  </si>
  <si>
    <t>(120*0,5)+(155*0,2)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</si>
  <si>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</si>
  <si>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</si>
  <si>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823582316</t>
  </si>
  <si>
    <t>Poznámka k položce:_x000D_
zbylých 5 km</t>
  </si>
  <si>
    <t>91*5</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</si>
  <si>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</si>
  <si>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</si>
  <si>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-2088862882</t>
  </si>
  <si>
    <t>Poznámka k položce:_x000D_
uložení sanačního materiálu pod parkoviště a chodník, tl. 50 a 20 cm</t>
  </si>
  <si>
    <t>Zemní práce - přemístění výkopku</t>
  </si>
  <si>
    <t>1570977537</t>
  </si>
  <si>
    <t>Poznámka k položce:_x000D_
odvoz výkopku ze stabilizace na skládku do 15 km</t>
  </si>
  <si>
    <t>162701109.1</t>
  </si>
  <si>
    <t>-252035641</t>
  </si>
  <si>
    <t>2093475960</t>
  </si>
  <si>
    <t>Poznámka k položce:_x000D_
poplatek za skládku</t>
  </si>
  <si>
    <t>91*1,8</t>
  </si>
  <si>
    <t>Zemní práce - povrchové úpravy terénu</t>
  </si>
  <si>
    <t>181951102</t>
  </si>
  <si>
    <t>Úprava pláně vyrovnáním výškových rozdílů v hornině tř. 1 až 4 se zhutněním</t>
  </si>
  <si>
    <t>-1883559159</t>
  </si>
  <si>
    <t>Poznámka k položce:_x000D_
zhutnění zemní pláně pod všemi zpevněnými plochami</t>
  </si>
  <si>
    <t>Komunikace pozemní</t>
  </si>
  <si>
    <t>577134111</t>
  </si>
  <si>
    <t>Asfaltový beton vrstva obrusná ACO 11 (ABS) s rozprostřením a se zhutněním z nemodifikovaného asfaltu v pruhu šířky do 3 m tř. I, po zhutnění tl. 40 mm</t>
  </si>
  <si>
    <t>857501795</t>
  </si>
  <si>
    <t>Poznámka k položce:_x000D_
asfaltová vozovka - napojení</t>
  </si>
  <si>
    <t>573211112</t>
  </si>
  <si>
    <t>Postřik spojovací PS bez posypu kamenivem z asfaltu silničního, v množství 0,70 kg/m2</t>
  </si>
  <si>
    <t>354022885</t>
  </si>
  <si>
    <t>565165111</t>
  </si>
  <si>
    <t>Asfaltový beton vrstva podkladní ACP 16 (obalované kamenivo střednězrnné - OKS) s rozprostřením a zhutněním v pruhu šířky do 3 m, po zhutnění tl. 80 mm</t>
  </si>
  <si>
    <t>1138741859</t>
  </si>
  <si>
    <t>573111112</t>
  </si>
  <si>
    <t>Postřik infiltrační PI z asfaltu silničního s posypem kamenivem, v množství 1,00 kg/m2</t>
  </si>
  <si>
    <t>-111267581</t>
  </si>
  <si>
    <t>564952111</t>
  </si>
  <si>
    <t>Podklad z mechanicky zpevněného kameniva MZK (minerální beton) s rozprostřením a s hutněním, po zhutnění tl. 150 mm</t>
  </si>
  <si>
    <t>-13160760</t>
  </si>
  <si>
    <t>564861111</t>
  </si>
  <si>
    <t>Podklad ze štěrkodrti ŠD s rozprostřením a zhutněním, po zhutnění tl. 200 mm</t>
  </si>
  <si>
    <t>1742991518</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</si>
  <si>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</si>
  <si>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</si>
  <si>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-545452254</t>
  </si>
  <si>
    <t>Poznámka k položce:_x000D_
dlážděná parkovací stání</t>
  </si>
  <si>
    <t>59245005_R</t>
  </si>
  <si>
    <t>dlažba zatravňovací betonová 20x20x8cm přírodní</t>
  </si>
  <si>
    <t>-917928044</t>
  </si>
  <si>
    <t>Poznámka k položce:_x000D_
dlážděná parkovací stání - zatravňovací dlažba</t>
  </si>
  <si>
    <t>98*1,03</t>
  </si>
  <si>
    <t>59245005</t>
  </si>
  <si>
    <t>dlažba tvar obdélník betonová 200x100x80mm barevná</t>
  </si>
  <si>
    <t>454836978</t>
  </si>
  <si>
    <t>Poznámka k položce:_x000D_
dlážděná parkovací stání, VDZ</t>
  </si>
  <si>
    <t>7*1,03</t>
  </si>
  <si>
    <t>564861111.1</t>
  </si>
  <si>
    <t>212682424</t>
  </si>
  <si>
    <t>564851111</t>
  </si>
  <si>
    <t>Podklad ze štěrkodrti ŠD s rozprostřením a zhutněním, po zhutnění tl. 150 mm</t>
  </si>
  <si>
    <t>1263092725</t>
  </si>
  <si>
    <t>Poznámka k položce:_x000D_
dlážděná parkovací stání + část výplně drenáže</t>
  </si>
  <si>
    <t>125+30</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</si>
  <si>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</si>
  <si>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</si>
  <si>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1515104100</t>
  </si>
  <si>
    <t>Poznámka k položce:_x000D_
dlážděný chodník</t>
  </si>
  <si>
    <t>155+5</t>
  </si>
  <si>
    <t>59245320</t>
  </si>
  <si>
    <t>dlažba plošná betonová 400x400x45mm přírodní</t>
  </si>
  <si>
    <t>-1268625738</t>
  </si>
  <si>
    <t>155*1,03</t>
  </si>
  <si>
    <t>59245006</t>
  </si>
  <si>
    <t>dlažba tvar obdélník betonová pro nevidomé 200x100x60mm barevná</t>
  </si>
  <si>
    <t>1203862933</t>
  </si>
  <si>
    <t>Poznámka k položce:_x000D_
dlažba pro nevidomé</t>
  </si>
  <si>
    <t>5*1,03</t>
  </si>
  <si>
    <t>-962821363</t>
  </si>
  <si>
    <t>637111113</t>
  </si>
  <si>
    <t>Okapový chodník z kameniva s udusáním a urovnáním povrchu ze štěrkopísku tl. 200 mm</t>
  </si>
  <si>
    <t>-725201737</t>
  </si>
  <si>
    <t>Poznámka k položce:_x000D_
okapový chodník podél budovy</t>
  </si>
  <si>
    <t>599141111</t>
  </si>
  <si>
    <t>Vyplnění spár mezi silničními dílci jakékoliv tloušťky živičnou zálivkou</t>
  </si>
  <si>
    <t>-2020594043</t>
  </si>
  <si>
    <t>Poznámka k položce:_x000D_
asfaltová zálivka pro zalití spár při napojení na stávající vozovku</t>
  </si>
  <si>
    <t>Doplňující konstrukce a práce pozemních komunikací, letišť a ploch</t>
  </si>
  <si>
    <t>914111111</t>
  </si>
  <si>
    <t>Montáž svislé dopravní značky základní velikosti do 1 m2 objímkami na sloupky nebo konzoly</t>
  </si>
  <si>
    <t>1547750047</t>
  </si>
  <si>
    <t>Poznámka k položce:_x000D_
osazení dopravní značky IP12</t>
  </si>
  <si>
    <t>40445535</t>
  </si>
  <si>
    <t>značka dopravní svislá retroreflexní fólie tř 1 FeZn-Al rám 500x700mm</t>
  </si>
  <si>
    <t>CS ÚRS 2019 01</t>
  </si>
  <si>
    <t>-1117831446</t>
  </si>
  <si>
    <t>Poznámka k položce:_x000D_
dopravní značka IP12+01</t>
  </si>
  <si>
    <t>914511112</t>
  </si>
  <si>
    <t>Montáž sloupku dopravních značek délky do 3,5 m do hliníkové patky</t>
  </si>
  <si>
    <t>2002268885</t>
  </si>
  <si>
    <t>Poznámka k položce:_x000D_
osazení sloupku 3,5 m</t>
  </si>
  <si>
    <t>404452350</t>
  </si>
  <si>
    <t>sloupek pro dopravní značku Al D 60mm v 3,5m</t>
  </si>
  <si>
    <t>1668532073</t>
  </si>
  <si>
    <t>Poznámka k položce:_x000D_
sloupek</t>
  </si>
  <si>
    <t>915231111</t>
  </si>
  <si>
    <t>Vodorovné dopravní značení stříkaným plastem přechody pro chodce, šipky, symboly nápisy bílé základní</t>
  </si>
  <si>
    <t>387855491</t>
  </si>
  <si>
    <t>Poznámka k položce:_x000D_
vodorovné dopravní značení V10f</t>
  </si>
  <si>
    <t>916131213</t>
  </si>
  <si>
    <t>Osazení silničního obrubníku betonového se zřízením lože, s vyplněním a zatřením spár cementovou maltou stojatého s boční opěrou z betonu prostého, do lože z betonu prostého</t>
  </si>
  <si>
    <t>-724015819</t>
  </si>
  <si>
    <t>Poznámka k položce:_x000D_
osazení bet. obrubníků silničních</t>
  </si>
  <si>
    <t>100+3+12</t>
  </si>
  <si>
    <t>59217031</t>
  </si>
  <si>
    <t>obrubník betonový silniční 1000x150x250mm</t>
  </si>
  <si>
    <t>-1989681225</t>
  </si>
  <si>
    <t>Poznámka k položce:_x000D_
betonový obrubník 15/25 přímý</t>
  </si>
  <si>
    <t>100*1,03</t>
  </si>
  <si>
    <t>59217030</t>
  </si>
  <si>
    <t>obrubník betonový silniční přechodový 1000x150x150-250mm</t>
  </si>
  <si>
    <t>-159290631</t>
  </si>
  <si>
    <t>Poznámka k položce:_x000D_
betonový obrubník přechodový 15/25 - 15/15</t>
  </si>
  <si>
    <t>3*1,03</t>
  </si>
  <si>
    <t>59217029</t>
  </si>
  <si>
    <t>obrubník betonový silniční nájezdový 1000x150x150mm</t>
  </si>
  <si>
    <t>-1250413865</t>
  </si>
  <si>
    <t>Poznámka k položce:_x000D_
betonový obrubník nájezdový 15/15</t>
  </si>
  <si>
    <t>12*1,03</t>
  </si>
  <si>
    <t>916231213</t>
  </si>
  <si>
    <t>Osazení chodníkového obrubníku betonového se zřízením lože, s vyplněním a zatřením spár cementovou maltou stojatého s boční opěrou z betonu prostého, do lože z betonu prostého</t>
  </si>
  <si>
    <t>1927123700</t>
  </si>
  <si>
    <t>Poznámka k položce:_x000D_
osazení obrubníků chodníkových 10/25 podél okapového chodníku</t>
  </si>
  <si>
    <t>59217017</t>
  </si>
  <si>
    <t>obrubník betonový chodníkový 1000x100x250mm</t>
  </si>
  <si>
    <t>-1966102379</t>
  </si>
  <si>
    <t>Poznámka k položce:_x000D_
betonový obrubník chodníkový 10/25</t>
  </si>
  <si>
    <t>75*1,03</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</si>
  <si>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</si>
  <si>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</si>
  <si>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276184358</t>
  </si>
  <si>
    <t>Poznámka k položce:_x000D_
betonový krajník 25/10</t>
  </si>
  <si>
    <t>59218002</t>
  </si>
  <si>
    <t>krajník betonový silniční 500x250x100mm</t>
  </si>
  <si>
    <t>-313971670</t>
  </si>
  <si>
    <t>105*1,03</t>
  </si>
  <si>
    <t>Přesun hmot a manipulace se sutí</t>
  </si>
  <si>
    <t>998225111</t>
  </si>
  <si>
    <t>Přesun hmot pro komunikace s krytem z kameniva, monolitickým betonovým nebo živičným dopravní vzdálenost do 200 m jakékoliv délky objektu</t>
  </si>
  <si>
    <t>-1499382090</t>
  </si>
  <si>
    <t>301,808-163,978</t>
  </si>
  <si>
    <t>IO 02 - KANALIZACE</t>
  </si>
  <si>
    <t xml:space="preserve">    3 - Svislé a kompletní konstrukce   </t>
  </si>
  <si>
    <t xml:space="preserve">    4 - Vodorovné konstrukce   </t>
  </si>
  <si>
    <t>Hloubení rýh š do 2000 mm v hornině tř. 3 objemu do 100 m3</t>
  </si>
  <si>
    <t xml:space="preserve">drenážmí potrubí DN150   </t>
  </si>
  <si>
    <t xml:space="preserve">20,5*0,5*2   </t>
  </si>
  <si>
    <t xml:space="preserve">dešťová kan PVC-KG DN200   </t>
  </si>
  <si>
    <t xml:space="preserve">70,6*0,8*1   </t>
  </si>
  <si>
    <t xml:space="preserve">připojovací potrubí dešťové kan PVC-KG DN150   </t>
  </si>
  <si>
    <t xml:space="preserve">2*5*0,8*1   </t>
  </si>
  <si>
    <t xml:space="preserve">připojovací potrubí splaškové kan PVC-KG DN150   </t>
  </si>
  <si>
    <t xml:space="preserve">1*5*0,8*1   </t>
  </si>
  <si>
    <t xml:space="preserve">jednotná kanalizace KAM DN250   </t>
  </si>
  <si>
    <t xml:space="preserve">4,6*0,9*1,65   </t>
  </si>
  <si>
    <t xml:space="preserve">jednotná kanalizace KAM DN300   </t>
  </si>
  <si>
    <t xml:space="preserve">36,1*1*1,9   </t>
  </si>
  <si>
    <t xml:space="preserve">retenční nádrž   </t>
  </si>
  <si>
    <t xml:space="preserve">6,4*16,8*1,3   </t>
  </si>
  <si>
    <t xml:space="preserve">šachty   </t>
  </si>
  <si>
    <t xml:space="preserve">8*1   </t>
  </si>
  <si>
    <t>Vodorovné přemístění do 10000 m výkopku/sypaniny z horniny tř. 1 až 4</t>
  </si>
  <si>
    <t xml:space="preserve">70,6*0,8*0,6   </t>
  </si>
  <si>
    <t xml:space="preserve">2*5*0,8*0,5   </t>
  </si>
  <si>
    <t xml:space="preserve">1*5*0,8*0,5   </t>
  </si>
  <si>
    <t xml:space="preserve">4,6*0,9*0,75   </t>
  </si>
  <si>
    <t xml:space="preserve">36,1*1*0,8   </t>
  </si>
  <si>
    <t xml:space="preserve">6,4*16,8*1,1   </t>
  </si>
  <si>
    <t>167101101</t>
  </si>
  <si>
    <t>Nakládání výkopku z hornin tř. 1 až 4 do 100 m3</t>
  </si>
  <si>
    <t>Poplatek za uložení odpadu ze sypaniny na skládce (skládkovné)</t>
  </si>
  <si>
    <t xml:space="preserve">(218,5*1800)/1000   </t>
  </si>
  <si>
    <t>Zásyp jam, šachet rýh nebo kolem objektů sypaninou se zhutněním</t>
  </si>
  <si>
    <t xml:space="preserve">70,6*0,8*0,5   </t>
  </si>
  <si>
    <t xml:space="preserve">4,6*0,9*0,95   </t>
  </si>
  <si>
    <t xml:space="preserve">36,1*1*1,2   </t>
  </si>
  <si>
    <t xml:space="preserve">6,4*16,8*0,2   </t>
  </si>
  <si>
    <t>Úprava pláně v hornině tř. 1 až 4 se zhutněním</t>
  </si>
  <si>
    <t xml:space="preserve">70,6*0,8   </t>
  </si>
  <si>
    <t xml:space="preserve">2*5*0,8   </t>
  </si>
  <si>
    <t xml:space="preserve">1*5*0,8   </t>
  </si>
  <si>
    <t xml:space="preserve">4,6*0,9   </t>
  </si>
  <si>
    <t xml:space="preserve">36,1*1   </t>
  </si>
  <si>
    <t xml:space="preserve">6,4*16,8   </t>
  </si>
  <si>
    <t xml:space="preserve">Svislé a kompletní konstrukce   </t>
  </si>
  <si>
    <t>359901111</t>
  </si>
  <si>
    <t>Vyčištění stok</t>
  </si>
  <si>
    <t xml:space="preserve">napojení do stávající kanalizace   </t>
  </si>
  <si>
    <t xml:space="preserve">Vodorovné konstrukce   </t>
  </si>
  <si>
    <t>451541111</t>
  </si>
  <si>
    <t>Lože pod potrubí otevřený výkop ze štěrkodrtě f 16-32mm</t>
  </si>
  <si>
    <t xml:space="preserve">20,5*0,5*1,5   </t>
  </si>
  <si>
    <t xml:space="preserve">6,4*16,8*(0,4+0,4)   </t>
  </si>
  <si>
    <t>451572111</t>
  </si>
  <si>
    <t>Lože pod potrubí otevřený výkop z kameniva drobného těženého f 0/16mm</t>
  </si>
  <si>
    <t xml:space="preserve">20,5*0,5*(0,1+0,2+0,1)   </t>
  </si>
  <si>
    <t xml:space="preserve">70,6*0,8*(0,1+0,3+0,15)   </t>
  </si>
  <si>
    <t xml:space="preserve">2*5*0,8*(0,1+0,3+0,1)   </t>
  </si>
  <si>
    <t xml:space="preserve">1*5*0,8*(0,1+0,3+0,1)   </t>
  </si>
  <si>
    <t xml:space="preserve">4,6*0,9*(0,17+0,3)   </t>
  </si>
  <si>
    <t xml:space="preserve">36,1*1*(0,205+0,3)   </t>
  </si>
  <si>
    <t xml:space="preserve">8*0,3   </t>
  </si>
  <si>
    <t>452311171</t>
  </si>
  <si>
    <t>Podkladní desky z betonu prostého tř. C 30/37 otevřený výkop</t>
  </si>
  <si>
    <t xml:space="preserve">4,6*0,9*0,18   </t>
  </si>
  <si>
    <t xml:space="preserve">36,1*1*0,195   </t>
  </si>
  <si>
    <t xml:space="preserve">7*0,1   </t>
  </si>
  <si>
    <t>693110640</t>
  </si>
  <si>
    <t>geotextilie netkaná geoNetex M, 300 g/m2, 2*3m</t>
  </si>
  <si>
    <t xml:space="preserve">0,5*0,45*20,5   </t>
  </si>
  <si>
    <t>28613213</t>
  </si>
  <si>
    <t>trubka drenážní celoperforovaná PE-HD plně vsakovací se spojkou DN 150 SN8</t>
  </si>
  <si>
    <t xml:space="preserve">20,5   </t>
  </si>
  <si>
    <t>837361221</t>
  </si>
  <si>
    <t>Montáž kameninových tvarovek odbočných s integrovaným těsněním otevřený výkop DN 250</t>
  </si>
  <si>
    <t xml:space="preserve">4,6   </t>
  </si>
  <si>
    <t>59710876.STZ</t>
  </si>
  <si>
    <t>trouba kameninová glazovaná zkrácená GA DN250mm L60(75)cm třída 160 spojovací systém C</t>
  </si>
  <si>
    <t>59710879</t>
  </si>
  <si>
    <t>trouba kameninová glazovaná zkrácená bez hrdla DN 300mm L 60(75)cm třída 160 spojovací systém C</t>
  </si>
  <si>
    <t xml:space="preserve">49   </t>
  </si>
  <si>
    <t>871315221</t>
  </si>
  <si>
    <t>Kanalizační potrubí z tvrdého PVC jednovrstvé tuhost třídy SN8 DN 160</t>
  </si>
  <si>
    <t xml:space="preserve">2*5   </t>
  </si>
  <si>
    <t xml:space="preserve">1*5   </t>
  </si>
  <si>
    <t>871355241</t>
  </si>
  <si>
    <t>Kanalizační potrubí z tvrdého PVC vícevrstvé tuhost třídy SN12 DN 200</t>
  </si>
  <si>
    <t xml:space="preserve">56   </t>
  </si>
  <si>
    <t>871375241</t>
  </si>
  <si>
    <t>Kanalizační potrubí z tvrdého PVC vícevrstvé tuhost třídy SN12 DN 300</t>
  </si>
  <si>
    <t xml:space="preserve">15   </t>
  </si>
  <si>
    <t>894211211</t>
  </si>
  <si>
    <t>Šachty kanalizační kruhové z prostého betonu na potrubí DN 200 dno kamenina</t>
  </si>
  <si>
    <t xml:space="preserve">Šd3   </t>
  </si>
  <si>
    <t>894211221</t>
  </si>
  <si>
    <t>Šachty kanalizační kruhové z prostého betonu na potrubí DN 250 nebo 300 dno kamenina</t>
  </si>
  <si>
    <t xml:space="preserve">Šd2, Šd1, Š3, Š2, Š1   </t>
  </si>
  <si>
    <t>894411111</t>
  </si>
  <si>
    <t>Zřízení šachet kanalizačních z betonových dílců na potrubí DN do 200 dno beton tř. C 25/30</t>
  </si>
  <si>
    <t>894811251</t>
  </si>
  <si>
    <t>Revizní šachta z PVC typ pravý/přímý/levý, DN 400/200 tlak 12,5 t hl od 910 do 1280 mm</t>
  </si>
  <si>
    <t xml:space="preserve">Šdw5+Šdw4   </t>
  </si>
  <si>
    <t>894812111</t>
  </si>
  <si>
    <t>Revizní a čistící šachta z PP šachtové dno DN 315/150 přímý tok</t>
  </si>
  <si>
    <t>894812131</t>
  </si>
  <si>
    <t>Revizní a čistící šachta z PP DN 315 šachtová roura korugovaná bez hrdla světlé hloubky 1250 mm</t>
  </si>
  <si>
    <t>894812161</t>
  </si>
  <si>
    <t>Revizní a čistící šachta z PP DN 315 poklop litinový s teleskopickou rourou pro zatížení 3 t</t>
  </si>
  <si>
    <t>895971114</t>
  </si>
  <si>
    <t>PC-Retenční nádrž z polypropylenu PP bez revize pro vsakování jednořadová galerie objemu 37,5 m3</t>
  </si>
  <si>
    <t xml:space="preserve">RETENČNÍ OBJEM- 37,5 M3   </t>
  </si>
  <si>
    <t xml:space="preserve">35*akumulačních boxů+ geotextílie a hydroizolace   </t>
  </si>
  <si>
    <t>899722111</t>
  </si>
  <si>
    <t>Krytí potrubí z plastů výstražnou fólií z PVC 20 cm</t>
  </si>
  <si>
    <t xml:space="preserve">56+15+5+36   </t>
  </si>
  <si>
    <t>899911111</t>
  </si>
  <si>
    <t>Osazení ocelových součástí pro potrubí závěsných a úložných hmotnosti jednotlivě do 5 kg</t>
  </si>
  <si>
    <t>899000001</t>
  </si>
  <si>
    <t>Virový odtokový ventil</t>
  </si>
  <si>
    <t xml:space="preserve">virový ventil VSU1:4 Q=0,5l/s   </t>
  </si>
  <si>
    <t xml:space="preserve">zaoblená deska do kruhové šachty   </t>
  </si>
  <si>
    <t>IO 03 - VODOVODNÍ PŘÍPOJKA</t>
  </si>
  <si>
    <t xml:space="preserve">    5 - Komunikace pozemní   </t>
  </si>
  <si>
    <t>113154124</t>
  </si>
  <si>
    <t>Frézování živičného podkladu nebo krytu s naložením na dopravní prostředek plochy do 500 m2 bez překážek v trase pruhu šířky přes 0,5 m do 1 m, tloušťky vrstvy 100 mm</t>
  </si>
  <si>
    <t xml:space="preserve">18*1,0   </t>
  </si>
  <si>
    <t>130001101</t>
  </si>
  <si>
    <t>Příplatek k cenám hloubených vykopávek za ztížení vykopávky v blízkosti podzemního vedení nebo výbušnin pro jakoukoliv třídu horniny</t>
  </si>
  <si>
    <t xml:space="preserve">1,0*1,6*4,5   </t>
  </si>
  <si>
    <t>132212201</t>
  </si>
  <si>
    <t>Hloubení zapažených i nezapažených rýh šířky přes 600 do 2 000 mm ručním nebo pneumatickým nářadím s urovnáním dna do předepsaného profilu a spádu v horninách tř. 3 soudržných</t>
  </si>
  <si>
    <t xml:space="preserve">1,0*1,6*18   </t>
  </si>
  <si>
    <t>151101101</t>
  </si>
  <si>
    <t>Zřízení pažení a rozepření stěn rýh pro podzemní vedení pro všechny šířky rýhy příložné pro jakoukoliv mezerovitost, hloubky do 2 m</t>
  </si>
  <si>
    <t xml:space="preserve">(1,6*18)*2   </t>
  </si>
  <si>
    <t>151101111</t>
  </si>
  <si>
    <t>Odstranění pažení a rozepření stěn rýh pro podzemní vedení s uložením materiálu na vzdálenost do 3 m od kraje výkopu příložné, hloubky do 2 m</t>
  </si>
  <si>
    <t xml:space="preserve">(1,0*0,35*18)*1,15   </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</si>
  <si>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</si>
  <si>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</si>
  <si>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(1,0*0,8*18)*1,15   </t>
  </si>
  <si>
    <t xml:space="preserve">(1,0*0,46*18)*1,15   </t>
  </si>
  <si>
    <t xml:space="preserve">(1,0*0,5*18)*1,15   </t>
  </si>
  <si>
    <t>58337303</t>
  </si>
  <si>
    <t>štěrkopísek frakce 0/8</t>
  </si>
  <si>
    <t xml:space="preserve">10,35 * 2   </t>
  </si>
  <si>
    <t xml:space="preserve">Komunikace pozemní   </t>
  </si>
  <si>
    <t xml:space="preserve">ZAPRAVENÍ KOMUNIKACE DO PŮVODNÍHO STAVU   </t>
  </si>
  <si>
    <t>573211111</t>
  </si>
  <si>
    <t>Postřik spojovací PS bez posypu kamenivem z asfaltu silničního, v množství 0,60 kg/m2</t>
  </si>
  <si>
    <t xml:space="preserve">18*2+1*2   </t>
  </si>
  <si>
    <t>871211211</t>
  </si>
  <si>
    <t>Montáž vodovodního potrubí z plastů v otevřeném výkopu z polyetylenu PE 100 svařovaných elektrotvarovkou SDR 11/PN16 D 63 x 5,8 mm</t>
  </si>
  <si>
    <t xml:space="preserve">17,22*1,15   </t>
  </si>
  <si>
    <t>28613556.1</t>
  </si>
  <si>
    <t>potrubí dvouvrstvé PE100 RC SDR11 63x5,7 dl 12m</t>
  </si>
  <si>
    <t>877211112</t>
  </si>
  <si>
    <t>Montáž tvarovek na vodovodním plastovém potrubí z polyetylenu PE 100 elektrotvarovek SDR 11/PN16 kolen 90° d 63</t>
  </si>
  <si>
    <t>28653055</t>
  </si>
  <si>
    <t>elektrokoleno 90° PE 100 D 63mm</t>
  </si>
  <si>
    <t>879221111</t>
  </si>
  <si>
    <t>Montáž napojení vodovodní přípojky v otevřeném výkopu ve sklonu přes 20 % DN 63</t>
  </si>
  <si>
    <t>891211112</t>
  </si>
  <si>
    <t>Montáž vodovodních armatur na potrubí šoupátek nebo klapek uzavíracích v otevřeném výkopu nebo v šachtách s osazením zemní soupravy (bez poklopů) DN 50</t>
  </si>
  <si>
    <t>42273570</t>
  </si>
  <si>
    <t>pás navrtávací se závitovým výstupem z tvárné litiny pro vodovodní PE a PVC potrubí 200-2”</t>
  </si>
  <si>
    <t>Šoupátko pro domovní přípojky s vnitřním závitem a s koncovkou pro připojení PE potrubí 63 - 2"</t>
  </si>
  <si>
    <t>Zemní teleskopická souprava 3/4 - 2", délka 1,3 - 1,8 m</t>
  </si>
  <si>
    <t>Uliční poklop těžký</t>
  </si>
  <si>
    <t>IO 04 - PŘÍPOJKA METROPOLITNÍ POČÍTAČOVÉ SÍTĚ UP</t>
  </si>
  <si>
    <t>D1 - ZEMNÍ PRÁCE</t>
  </si>
  <si>
    <t>D2 - MONTÁŽ</t>
  </si>
  <si>
    <t>D3 - GEODETICKÉ PRÁCE REALIZACE</t>
  </si>
  <si>
    <t>D4 - POPLATKY</t>
  </si>
  <si>
    <t>D5 - MATERIÁL</t>
  </si>
  <si>
    <t>ZEMNÍ PRÁCE</t>
  </si>
  <si>
    <t>135250110</t>
  </si>
  <si>
    <t>Podvrt řízený do 150 mm</t>
  </si>
  <si>
    <t>135250120</t>
  </si>
  <si>
    <t>Pokládka PE nebo vrapované chráničky</t>
  </si>
  <si>
    <t>135250130</t>
  </si>
  <si>
    <t>Prohloubení rýhy š. 50cm o hl.10cm</t>
  </si>
  <si>
    <t>135250140</t>
  </si>
  <si>
    <t>Průraz zdivem betonovým tl. od 300 do 600 mm</t>
  </si>
  <si>
    <t>135250150</t>
  </si>
  <si>
    <t>Průraz zdivem smíšeným tl. od 300 do 600 mm</t>
  </si>
  <si>
    <t>135250160</t>
  </si>
  <si>
    <t>Přesun lávky přechodové z ocelové desky</t>
  </si>
  <si>
    <t>135250170</t>
  </si>
  <si>
    <t>Rýha v chodníku 35/50-70</t>
  </si>
  <si>
    <t>135250180</t>
  </si>
  <si>
    <t>Rýha v chodníku betonové desky 35/50-70</t>
  </si>
  <si>
    <t>135250190</t>
  </si>
  <si>
    <t>Rýha v chodníku rozšíření o10cm</t>
  </si>
  <si>
    <t>135250200</t>
  </si>
  <si>
    <t>Rýha v trávě 35/70-100</t>
  </si>
  <si>
    <t>135250210</t>
  </si>
  <si>
    <t>Rýha ve vozovce litý asfalt 50/100</t>
  </si>
  <si>
    <t>135250220</t>
  </si>
  <si>
    <t>Vytyčení trasy v zastavěném terénu</t>
  </si>
  <si>
    <t>135250230</t>
  </si>
  <si>
    <t>Znovuosazení obrubníků chodníkových</t>
  </si>
  <si>
    <t>135250240</t>
  </si>
  <si>
    <t>Zřízení a odstr.přech.lávky z ocel.desky</t>
  </si>
  <si>
    <t>D2</t>
  </si>
  <si>
    <t>741300110</t>
  </si>
  <si>
    <t>Instalace trubičky v budově</t>
  </si>
  <si>
    <t>741300120</t>
  </si>
  <si>
    <t>Kalibrace a tlaková zkouška trubiček - stavba</t>
  </si>
  <si>
    <t>741300130</t>
  </si>
  <si>
    <t>Kalibrace a tlaková zkouška trubky - stavba</t>
  </si>
  <si>
    <t>741300140</t>
  </si>
  <si>
    <t>Měření oboustranné OTDR (1310, 1550 a 1625 nm) - stavba</t>
  </si>
  <si>
    <t>741300150</t>
  </si>
  <si>
    <t>Měření přímou metodou (1310, 1550 a 1625 nm) - stavba</t>
  </si>
  <si>
    <t>741300160</t>
  </si>
  <si>
    <t>Měření stejnosměrné během stavby- první čtyřka</t>
  </si>
  <si>
    <t>741300170</t>
  </si>
  <si>
    <t>Měření stejnosměrné během stavby - další čtyřka</t>
  </si>
  <si>
    <t>741300180</t>
  </si>
  <si>
    <t>Měření střídavé během stavby - další čtyřka</t>
  </si>
  <si>
    <t>741300190</t>
  </si>
  <si>
    <t>Měření střídavé během stavby - první čtyřka</t>
  </si>
  <si>
    <t>741300200</t>
  </si>
  <si>
    <t>Měření útlumu během stavby- první čtyřka</t>
  </si>
  <si>
    <t>741300210</t>
  </si>
  <si>
    <t>Montáž, koordinace se stavbou</t>
  </si>
  <si>
    <t>741300220</t>
  </si>
  <si>
    <t>Montáž rozvaděče optického</t>
  </si>
  <si>
    <t>741300230</t>
  </si>
  <si>
    <t>Montáž rozvaděče skříň.zasek.do 50 čtyř.</t>
  </si>
  <si>
    <t>741300240</t>
  </si>
  <si>
    <t>Montáž spojky, koncov., průchod.,reduk.</t>
  </si>
  <si>
    <t>741300250</t>
  </si>
  <si>
    <t>Montáž spojky, redukce mechanické rozeb</t>
  </si>
  <si>
    <t>741300260</t>
  </si>
  <si>
    <t>Montáž těsnění svazku trubiček</t>
  </si>
  <si>
    <t>741300270</t>
  </si>
  <si>
    <t>Montáž trubky úložné</t>
  </si>
  <si>
    <t>741300280</t>
  </si>
  <si>
    <t>Montáž úložných kabelů do 50 XN</t>
  </si>
  <si>
    <t>741300290</t>
  </si>
  <si>
    <t>Montáž uzemnění venkovního rozvaděče</t>
  </si>
  <si>
    <t>741300300</t>
  </si>
  <si>
    <t>Připevnění kab. v rozvaděči</t>
  </si>
  <si>
    <t>741300310</t>
  </si>
  <si>
    <t>Realizace optické akce-ostatní činnosti</t>
  </si>
  <si>
    <t>741300320</t>
  </si>
  <si>
    <t>Svaření jednotlivého vlákna</t>
  </si>
  <si>
    <t>741300330</t>
  </si>
  <si>
    <t>Ukončení jedné čtyřky v rozvaděči</t>
  </si>
  <si>
    <t>741300340</t>
  </si>
  <si>
    <t>Ukončení kabelu v rozvaděči</t>
  </si>
  <si>
    <t>741300350</t>
  </si>
  <si>
    <t>Uvedení stavby do provozu, kolaudace</t>
  </si>
  <si>
    <t>741300360</t>
  </si>
  <si>
    <t>Zafukování svazku trubiček</t>
  </si>
  <si>
    <t>741300370</t>
  </si>
  <si>
    <t>Zafukování/vyfukování mikrokabelu</t>
  </si>
  <si>
    <t>741300380</t>
  </si>
  <si>
    <t>Zpracování dok. skut. provedení nad 50 m</t>
  </si>
  <si>
    <t>D3</t>
  </si>
  <si>
    <t>GEODETICKÉ PRÁCE REALIZACE</t>
  </si>
  <si>
    <t>955198000</t>
  </si>
  <si>
    <t>Plán geom.pro VBŘ do 200m vč.(kus=100m)</t>
  </si>
  <si>
    <t>956286000</t>
  </si>
  <si>
    <t>Zaměření trasy pro stavbu nad 100 m do 1km</t>
  </si>
  <si>
    <t>956285000</t>
  </si>
  <si>
    <t>Zaměření trasy pro stavbu nad 100 m do 1km pevná částka</t>
  </si>
  <si>
    <t>D4</t>
  </si>
  <si>
    <t>POPLATKY</t>
  </si>
  <si>
    <t>955368000</t>
  </si>
  <si>
    <t>Poplatky - zábory a nájem za uložení sítí</t>
  </si>
  <si>
    <t>D5</t>
  </si>
  <si>
    <t>741300390</t>
  </si>
  <si>
    <t>Adaptér E2000/APC červený/oranž</t>
  </si>
  <si>
    <t>741300400</t>
  </si>
  <si>
    <t>Adaptér E2000/APC žlutý/modrý</t>
  </si>
  <si>
    <t>741300410</t>
  </si>
  <si>
    <t>Deska krycí plast. 300x1000 mm</t>
  </si>
  <si>
    <t>741300420</t>
  </si>
  <si>
    <t>Držák svárů jednotlivých</t>
  </si>
  <si>
    <t>741300430</t>
  </si>
  <si>
    <t>Fólie výstražná 220mm PE oranžová</t>
  </si>
  <si>
    <t>741300440</t>
  </si>
  <si>
    <t>Fólie výstražná 330mm PE oranžová</t>
  </si>
  <si>
    <t>741300450</t>
  </si>
  <si>
    <t>Fólie výstražná 80mm PE červenobílá</t>
  </si>
  <si>
    <t>741300460</t>
  </si>
  <si>
    <t>Kabel plastový TCEPKPFLE 25x4x0,4</t>
  </si>
  <si>
    <t>741300470</t>
  </si>
  <si>
    <t>Kazeta optická, 12 svarů</t>
  </si>
  <si>
    <t>741300480</t>
  </si>
  <si>
    <t>Koncovka trubičky 8mm s pojistkou</t>
  </si>
  <si>
    <t>741300490</t>
  </si>
  <si>
    <t>Mikrokabel optický SM, 9/125, 12vl.</t>
  </si>
  <si>
    <t>741300500</t>
  </si>
  <si>
    <t>Mini Marker</t>
  </si>
  <si>
    <t>741300510</t>
  </si>
  <si>
    <t>Ochrana svarů trubičková 60mm</t>
  </si>
  <si>
    <t>741300520</t>
  </si>
  <si>
    <t>Pásek uzemňovací 30x4 mm FeZn 1kg=1,05m</t>
  </si>
  <si>
    <t>741300530</t>
  </si>
  <si>
    <t>Průchodka těsnící do HDPE, D 40mm</t>
  </si>
  <si>
    <t>741300540</t>
  </si>
  <si>
    <t>Pružina k adaptéru E2000</t>
  </si>
  <si>
    <t>741300550</t>
  </si>
  <si>
    <t>Rám krycí</t>
  </si>
  <si>
    <t>741300560</t>
  </si>
  <si>
    <t>Rám montážní LSA 1x10+1</t>
  </si>
  <si>
    <t>741300570</t>
  </si>
  <si>
    <t>Rozváděč opt. 1U, 24xE2000</t>
  </si>
  <si>
    <t>741300580</t>
  </si>
  <si>
    <t>Sada záslep.otv.čel.panel. E2000 bal=12ks</t>
  </si>
  <si>
    <t>741300590</t>
  </si>
  <si>
    <t>Skříň rozváděče pod omítku</t>
  </si>
  <si>
    <t>741300600</t>
  </si>
  <si>
    <t>Souprava čistící</t>
  </si>
  <si>
    <t>741300610</t>
  </si>
  <si>
    <t>Spojka plastová 110/94 mm</t>
  </si>
  <si>
    <t>741300620</t>
  </si>
  <si>
    <t>Spojka trubič.8mm waterbl. se 2 pojistkami</t>
  </si>
  <si>
    <t>741300630</t>
  </si>
  <si>
    <t>Spojka trubič.redukční 8/10mm se 2 pojistkami</t>
  </si>
  <si>
    <t>741300640</t>
  </si>
  <si>
    <t>Spojka trubky HDPE 40mm - HGR 40 mm</t>
  </si>
  <si>
    <t>741300650</t>
  </si>
  <si>
    <t>Spojka trubky HDPE 40mm</t>
  </si>
  <si>
    <t>741300660</t>
  </si>
  <si>
    <t>Svorka zemnicí SR 03 pro drát D 6-12mm</t>
  </si>
  <si>
    <t>741300670</t>
  </si>
  <si>
    <t>Svorkovnice LSA, pevná</t>
  </si>
  <si>
    <t>741300680</t>
  </si>
  <si>
    <t>Šňůra optická 2xE2000/APC 0,9mm SM</t>
  </si>
  <si>
    <t>741300690</t>
  </si>
  <si>
    <t>Štítek LSA-PLUS odklápěcí</t>
  </si>
  <si>
    <t>741300700</t>
  </si>
  <si>
    <t>Těsnění trubiček 5x10mm do trubky HDPE</t>
  </si>
  <si>
    <t>741300710</t>
  </si>
  <si>
    <t>Trubička HDPE 10/8mm-barva č.1 červená</t>
  </si>
  <si>
    <t>741300720</t>
  </si>
  <si>
    <t>Trubička HDPE 10/8mm-barva č.2 zelená</t>
  </si>
  <si>
    <t>741300730</t>
  </si>
  <si>
    <t>Trubička HDPE 10/8mm-barva č.3 žlutá</t>
  </si>
  <si>
    <t>741300740</t>
  </si>
  <si>
    <t>Trubička HDPE nehoř.8/5,5mm č.1 červená</t>
  </si>
  <si>
    <t>741300750</t>
  </si>
  <si>
    <t>Trubička HDPE nehoř.8/5,5mm č.2 modrá</t>
  </si>
  <si>
    <t>741300760</t>
  </si>
  <si>
    <t>Trubička HDPE nehoř.8/5,5mm č.3 žlutá</t>
  </si>
  <si>
    <t>741300770</t>
  </si>
  <si>
    <t>Trubka HDPE 40/33 černá</t>
  </si>
  <si>
    <t>741300780</t>
  </si>
  <si>
    <t>Trubka HDPE 40/33 oranžová</t>
  </si>
  <si>
    <t>741300790</t>
  </si>
  <si>
    <t>Trubka PE 110/6,3/6000mm</t>
  </si>
  <si>
    <t>741300800</t>
  </si>
  <si>
    <t>Trubka vrapovaná 110/94 s lankem</t>
  </si>
  <si>
    <t>741300810</t>
  </si>
  <si>
    <t>Trubka vrapovaná 40/32 s lankem</t>
  </si>
  <si>
    <t>741300820</t>
  </si>
  <si>
    <t>Ubrousek čistící pro opt. vlákno</t>
  </si>
  <si>
    <t>741300830</t>
  </si>
  <si>
    <t>Ucpávka do těsnění trub.HDPE10mm-bal10ks</t>
  </si>
  <si>
    <t>741300840</t>
  </si>
  <si>
    <t>Vodič prop. SM-clip-volný B5 10114-B5U35</t>
  </si>
  <si>
    <t>741300850</t>
  </si>
  <si>
    <t>Zámek skříně</t>
  </si>
  <si>
    <t>741300860</t>
  </si>
  <si>
    <t>Krabice elektro KO 125E odbočovací</t>
  </si>
  <si>
    <t>IO 05 - SADOVÉ ÚPRAVY</t>
  </si>
  <si>
    <t>Ing. Hana Tomaštíková</t>
  </si>
  <si>
    <t>1 - Plochy a příprava území-výsadba</t>
  </si>
  <si>
    <t>2 - Specifikace - rostlinný materiál-výsadba</t>
  </si>
  <si>
    <t>3 - Specifikace - ostatní materiál - výsadba</t>
  </si>
  <si>
    <t>4 - Údržba výsadeb po dobu 5 let</t>
  </si>
  <si>
    <t>5 - Ostatní materiál - údržba výsadeb</t>
  </si>
  <si>
    <t>Plochy a příprava území-výsadba</t>
  </si>
  <si>
    <t>183102215</t>
  </si>
  <si>
    <t>Hloubení jamek na svahu do 1:20 objemu do 0,4 m3 s výměnou půdy z 50%</t>
  </si>
  <si>
    <t>183112213</t>
  </si>
  <si>
    <t>Dtto objemu do 0,01 m3</t>
  </si>
  <si>
    <t>184102125</t>
  </si>
  <si>
    <t>Výsadba dřevin s balem na svahu do 1:2 při průměru balu do 600 mm se zalitím</t>
  </si>
  <si>
    <t>183112213.1</t>
  </si>
  <si>
    <t>Dtto při průměru balu do 200 mm</t>
  </si>
  <si>
    <t>184911421</t>
  </si>
  <si>
    <t>Mulčování kůrou při tloušťce 0,1 m ve svahu 1:2</t>
  </si>
  <si>
    <t>184215133</t>
  </si>
  <si>
    <t>Ukotvení dřeviny třemi kůly při délce kůlu do 3 m</t>
  </si>
  <si>
    <t>185802114</t>
  </si>
  <si>
    <t>Hnojení umělým hnojivem k jednotlivým rostlinám</t>
  </si>
  <si>
    <t>184501121</t>
  </si>
  <si>
    <t>Zhotovení obalu z juty v jedné vrstvě ve svahu 1:2</t>
  </si>
  <si>
    <t>184215421</t>
  </si>
  <si>
    <t>Zhotovení závlahové mísy u solit. dřevin ve svahu 1:2</t>
  </si>
  <si>
    <t>183205131</t>
  </si>
  <si>
    <t>Založení záhonu na svahu do 1:2</t>
  </si>
  <si>
    <t>184801121</t>
  </si>
  <si>
    <t>Ošetření vysázených dřevin solitérních</t>
  </si>
  <si>
    <t>184801131</t>
  </si>
  <si>
    <t>Ošetření vysázených dřevin ve skupinách</t>
  </si>
  <si>
    <t>184900100.1</t>
  </si>
  <si>
    <t>Dovoz a úprava koruny stromů</t>
  </si>
  <si>
    <t>181411131</t>
  </si>
  <si>
    <t>Založení trávníku parkového výsevem v rovině</t>
  </si>
  <si>
    <t>18111111</t>
  </si>
  <si>
    <t>Plošná úprava terénu plochy do 500 m2 v rovině</t>
  </si>
  <si>
    <t>18111112</t>
  </si>
  <si>
    <t>Dtto ve svahu do 1:2</t>
  </si>
  <si>
    <t>185803111</t>
  </si>
  <si>
    <t>Ošetření trávníku jednorázové</t>
  </si>
  <si>
    <t>184806111</t>
  </si>
  <si>
    <t>Strovnávací řez po výsadbě</t>
  </si>
  <si>
    <t>111212211</t>
  </si>
  <si>
    <t>Odstranění nevhodných dřevin průměru kmene do 100 mm výšky do 1 m s odstraněním pařezu</t>
  </si>
  <si>
    <t>111212311</t>
  </si>
  <si>
    <t>Dtto výšky přes 1 m</t>
  </si>
  <si>
    <t>112201111</t>
  </si>
  <si>
    <t>Rozprostření ornice přes 0,2-0,3 metru</t>
  </si>
  <si>
    <t>Specifikace - rostlinný materiál-výsadba</t>
  </si>
  <si>
    <t>190500110.1</t>
  </si>
  <si>
    <t>Aesculus carnea Briotii (16-18)</t>
  </si>
  <si>
    <t>190500110.2</t>
  </si>
  <si>
    <t>Cotoneaster dammeri Coral Beauty (30+)</t>
  </si>
  <si>
    <t>Specifikace - ostatní materiál - výsadba</t>
  </si>
  <si>
    <t>190500120.1</t>
  </si>
  <si>
    <t>Kůl dřevěný, přírodní, d=250 cm, 3 ks/strom</t>
  </si>
  <si>
    <t>190500120.2</t>
  </si>
  <si>
    <t>Příčka z půlené kulatiny,d=30 cm, 3 ks/strom</t>
  </si>
  <si>
    <t>190500120.3</t>
  </si>
  <si>
    <t>Popruh na vyvazování šíře 3 cm, 3m/strom</t>
  </si>
  <si>
    <t>190500120.4</t>
  </si>
  <si>
    <t>Juta na bandáž kmene, šíře 15 cm, 3m/strom</t>
  </si>
  <si>
    <t>190500120.5</t>
  </si>
  <si>
    <t>Travní semeno</t>
  </si>
  <si>
    <t>190500120.6</t>
  </si>
  <si>
    <t>Hnojivo s vysokým obsahem živin</t>
  </si>
  <si>
    <t>190500120.7</t>
  </si>
  <si>
    <t>Kůra na mulč (+ dovoz)</t>
  </si>
  <si>
    <t>Údržba výsadeb po dobu 5 let</t>
  </si>
  <si>
    <t>185802113</t>
  </si>
  <si>
    <t>Hnojení trávníku umělým hnojivem na široko (4x)</t>
  </si>
  <si>
    <t>185803111.1</t>
  </si>
  <si>
    <t>Ošetření trávníku jednorázové (4x)</t>
  </si>
  <si>
    <t>111151111</t>
  </si>
  <si>
    <t>Pokosení trávníku (30x)</t>
  </si>
  <si>
    <t>185804311</t>
  </si>
  <si>
    <t>Zálivka stromů - spotřeba 100l/strom (13 x)</t>
  </si>
  <si>
    <t>185804312</t>
  </si>
  <si>
    <t>Zálivka keřů - spotřeba 20l/m2 (50x)</t>
  </si>
  <si>
    <t>184911421.1</t>
  </si>
  <si>
    <t>Doplnění mulče-výsadbové mísy + záhony keřů-5x</t>
  </si>
  <si>
    <t>183911111</t>
  </si>
  <si>
    <t>Ochrana dřevin proti houbám a hmyzu 5 x</t>
  </si>
  <si>
    <t>184806112</t>
  </si>
  <si>
    <t>Výchovný řez - 2x</t>
  </si>
  <si>
    <t>18450311</t>
  </si>
  <si>
    <t>Odstranění obalu a spodních větví 4 x</t>
  </si>
  <si>
    <t>184802611</t>
  </si>
  <si>
    <t>Chemické odplevelení výsadeb keřů - 5x</t>
  </si>
  <si>
    <t>185804524</t>
  </si>
  <si>
    <t>Odplevelení výsadeb, nakypření, odvoz odp.-20x, svah 1:2</t>
  </si>
  <si>
    <t>184803112</t>
  </si>
  <si>
    <t>Řez keřů s odvozem odpadu - 5 x</t>
  </si>
  <si>
    <t>18491111</t>
  </si>
  <si>
    <t>Znovuuvázání dřeviny, bandáž kotvení</t>
  </si>
  <si>
    <t>184215173</t>
  </si>
  <si>
    <t>Odstranění ukotvení dřeviny třemi kůly přes 2 m</t>
  </si>
  <si>
    <t>Ostatní materiál - údržba výsadeb</t>
  </si>
  <si>
    <t>190500130.1</t>
  </si>
  <si>
    <t>190500130.2</t>
  </si>
  <si>
    <t>Fungicid a insekticid - postřik proti houbám a savému hmyzu</t>
  </si>
  <si>
    <t>190500130.3</t>
  </si>
  <si>
    <t>Herbicid - postřik proti plevelu</t>
  </si>
  <si>
    <t>190500130.4</t>
  </si>
  <si>
    <t>Travní hnojivo NPK</t>
  </si>
  <si>
    <t>PS 01 - AUTOMATICKÁ TLAKOVÁ STANICE</t>
  </si>
  <si>
    <t>724001110</t>
  </si>
  <si>
    <t>Montáž automatické tlakové stanice</t>
  </si>
  <si>
    <t>724001120</t>
  </si>
  <si>
    <t>Automatická tlaková stanice s frekvenčním měničem</t>
  </si>
  <si>
    <t>Poznámka k položce:_x000D_
ATS na požářní vodu pro vnitřní hydranty, výtokové armatury běžné instalace a dopouštění vody dosystému UT. ATS obsahuje dvě čerpadla (jedno záložní), každé čerpadlo disponuje jedním frekvenčním měničem, čerpadla používaná ve střídavém módu - čerpání z přerušovací nádrže umístěné ve stejné místnosti, hladina v nádrži je výše než čerpadla - médium: voda - Qmax 3,3 l/s, H 39 m - ochrana proti suchoběhu automatickým vypínáním při nedostatku vody - včetně membránové tlakové nádoby 8 l, PN 16 - výkon motoru min. 2,2 kW - síťová přípojka: 3x400V/50 Hz</t>
  </si>
  <si>
    <t>724001130</t>
  </si>
  <si>
    <t>Montáž přerušovací nádrže</t>
  </si>
  <si>
    <t>724001140</t>
  </si>
  <si>
    <t>Přerušovací nerezová nádrž objem 2 m3, s atestem pro pitnou vodu</t>
  </si>
  <si>
    <t>998724201.1</t>
  </si>
  <si>
    <t>Přesun hmot pro strojní vybavení stanovený procentní sazbou (%) z ceny vodorovná dopravní vzdálenost do 50 m v objektech výšky do 6 m</t>
  </si>
  <si>
    <t>PS 02 - STABILNÍ HASÍCÍ ZAŘÍZENÍ</t>
  </si>
  <si>
    <t>1 - Depozitáře</t>
  </si>
  <si>
    <t xml:space="preserve">    D1 - Hasicí část</t>
  </si>
  <si>
    <t xml:space="preserve">    D2 - Ovládací část</t>
  </si>
  <si>
    <t xml:space="preserve">    D3 - Montážní práce a služby</t>
  </si>
  <si>
    <t>2 - Knihovna</t>
  </si>
  <si>
    <t>Depozitáře</t>
  </si>
  <si>
    <t>Hasicí část</t>
  </si>
  <si>
    <t>220330110</t>
  </si>
  <si>
    <t>Generátor aerosolu s náplní 5,7 kg</t>
  </si>
  <si>
    <t>220330120</t>
  </si>
  <si>
    <t>Generátor aerosolu s náplní 3 kg</t>
  </si>
  <si>
    <t>220330130</t>
  </si>
  <si>
    <t>Elektronický spouštěč</t>
  </si>
  <si>
    <t>Ovládací část</t>
  </si>
  <si>
    <t>220330150</t>
  </si>
  <si>
    <t>Ústředna ASHZ</t>
  </si>
  <si>
    <t>220330160</t>
  </si>
  <si>
    <t>Opticko-kouřový hlásič – samočinný</t>
  </si>
  <si>
    <t>220330170</t>
  </si>
  <si>
    <t>Teplotní kouřový hlásič – samočinný</t>
  </si>
  <si>
    <t>220330180</t>
  </si>
  <si>
    <t>Blokační tlačítko (modré)</t>
  </si>
  <si>
    <t>220330190</t>
  </si>
  <si>
    <t>Aktivační tlačítko (žluté)</t>
  </si>
  <si>
    <t>220330200</t>
  </si>
  <si>
    <t>Požární zvonek</t>
  </si>
  <si>
    <t>220330210</t>
  </si>
  <si>
    <t>Kombinovaný maják-siréna</t>
  </si>
  <si>
    <t>220330220</t>
  </si>
  <si>
    <t>Signalizační panel (Aerosol uvolněn)</t>
  </si>
  <si>
    <t>220330230</t>
  </si>
  <si>
    <t>Kabel JySty 2x2x0,8, B2ca s1, d1, P30-R</t>
  </si>
  <si>
    <t>220330240</t>
  </si>
  <si>
    <t>Kabel JySty 2x1x0,8, B2ca s1, d1, P30-R</t>
  </si>
  <si>
    <t>220330250</t>
  </si>
  <si>
    <t>Kabel Cyky 3x1,5</t>
  </si>
  <si>
    <t>220330260</t>
  </si>
  <si>
    <t>Ocelové kabelové průchodky s požární odolností</t>
  </si>
  <si>
    <t>220330270</t>
  </si>
  <si>
    <t>Ocelové kabelové úchyty s požární odolností</t>
  </si>
  <si>
    <t>Montážní práce a služby</t>
  </si>
  <si>
    <t>220330290</t>
  </si>
  <si>
    <t>Montáž generátoru aerosolu</t>
  </si>
  <si>
    <t>220330300</t>
  </si>
  <si>
    <t>Montáž kabelové trasy</t>
  </si>
  <si>
    <t>220330310</t>
  </si>
  <si>
    <t>Montáž ústředny</t>
  </si>
  <si>
    <t>220330320</t>
  </si>
  <si>
    <t>Montáž tlačítek</t>
  </si>
  <si>
    <t>220330330</t>
  </si>
  <si>
    <t>Montáž signalizačních prvků</t>
  </si>
  <si>
    <t>220330340</t>
  </si>
  <si>
    <t>Oživení systému ASHZ</t>
  </si>
  <si>
    <t>220330350</t>
  </si>
  <si>
    <t>Provedení výchozí elektro revize ASHZ</t>
  </si>
  <si>
    <t>220330360</t>
  </si>
  <si>
    <t>Vytvoření dokumentace skutečného provedení díla</t>
  </si>
  <si>
    <t>220330370</t>
  </si>
  <si>
    <t>Školení obsluhy</t>
  </si>
  <si>
    <t>220330380</t>
  </si>
  <si>
    <t>Uvedení ASHZ do ostrého provozu, provedení funkční zkoušky</t>
  </si>
  <si>
    <t>220330390</t>
  </si>
  <si>
    <t>Značení systému a informační tabulky</t>
  </si>
  <si>
    <t>Knihovna</t>
  </si>
  <si>
    <t>220330450</t>
  </si>
  <si>
    <t>Generátor aerosolu s náplní 4,2 kg</t>
  </si>
  <si>
    <t>220330460</t>
  </si>
  <si>
    <t>220330470</t>
  </si>
  <si>
    <t>220330490</t>
  </si>
  <si>
    <t>220330500</t>
  </si>
  <si>
    <t>220330510</t>
  </si>
  <si>
    <t>220330520</t>
  </si>
  <si>
    <t>220330530</t>
  </si>
  <si>
    <t>220330540</t>
  </si>
  <si>
    <t>220330550</t>
  </si>
  <si>
    <t>220330560</t>
  </si>
  <si>
    <t>220330570</t>
  </si>
  <si>
    <t>220330580</t>
  </si>
  <si>
    <t>220330590</t>
  </si>
  <si>
    <t>220330600</t>
  </si>
  <si>
    <t>220330610</t>
  </si>
  <si>
    <t>220330630</t>
  </si>
  <si>
    <t>220330640</t>
  </si>
  <si>
    <t>220330650</t>
  </si>
  <si>
    <t>220330660</t>
  </si>
  <si>
    <t>220330670</t>
  </si>
  <si>
    <t>220330680</t>
  </si>
  <si>
    <t>220330690</t>
  </si>
  <si>
    <t>220330700</t>
  </si>
  <si>
    <t>220330710</t>
  </si>
  <si>
    <t>220330720</t>
  </si>
  <si>
    <t>220330730</t>
  </si>
  <si>
    <t>PS 03 - REGÁLOVÉ SYSTÉMY</t>
  </si>
  <si>
    <t>D1 - 1. nadzemní patro</t>
  </si>
  <si>
    <t>D2 - 2. nadzemní patro</t>
  </si>
  <si>
    <t>D3 - 3. nadzemní patro</t>
  </si>
  <si>
    <t>D4 - Doprava + montáž</t>
  </si>
  <si>
    <t>1. nadzemní patro</t>
  </si>
  <si>
    <t>950100110</t>
  </si>
  <si>
    <t>Mobilní policový regál, pět polic + jedna krycí (5030 x 700 x 2245 mm - š x h x v)</t>
  </si>
  <si>
    <t>950100120</t>
  </si>
  <si>
    <t>Stacionární policový regál, pět polic + jedna krycí (5030 x 700 x 2245 mm - š x h x v)</t>
  </si>
  <si>
    <t>950100130</t>
  </si>
  <si>
    <t>Mobilní policový regál, pět polic + jedna krycí (3630 x 700 x 2245 mm - š x h x v)</t>
  </si>
  <si>
    <t>950100140</t>
  </si>
  <si>
    <t>Stacionární policový regál, pět polic + jedna krycí (3630 x 700 x 2245 mm - š x h x v)</t>
  </si>
  <si>
    <t>2. nadzemní patro</t>
  </si>
  <si>
    <t>950100150</t>
  </si>
  <si>
    <t>950100160</t>
  </si>
  <si>
    <t>3. nadzemní patro</t>
  </si>
  <si>
    <t>950100170</t>
  </si>
  <si>
    <t>Stacionární policový regál, pět polic + jedna krycí (4830 x 350 x 2250 mm - š x h x v)</t>
  </si>
  <si>
    <t>950100180</t>
  </si>
  <si>
    <t>Stacionární policový regál, pět polic + jedna krycí (8430 x 700 x 2250 mm - š x h x v)</t>
  </si>
  <si>
    <t>Doprava + montáž</t>
  </si>
  <si>
    <t>950100190</t>
  </si>
  <si>
    <t>Doprava</t>
  </si>
  <si>
    <t>950100200</t>
  </si>
  <si>
    <t>Montáž</t>
  </si>
  <si>
    <t>VRN - VEDLEJŠÍ ROZPOČTOVÉ NÁKLADY</t>
  </si>
  <si>
    <t>VRN - Vedlejší rozpočtové náklady</t>
  </si>
  <si>
    <t xml:space="preserve">    VRN1 - Průzkumné, geodetické a projektové práce</t>
  </si>
  <si>
    <t>Vedlejší rozpočtové náklady</t>
  </si>
  <si>
    <t>VRN1</t>
  </si>
  <si>
    <t>Průzkumné, geodetické a projektové práce</t>
  </si>
  <si>
    <t>011114000</t>
  </si>
  <si>
    <t>Inženýrsko-geologický průzkum</t>
  </si>
  <si>
    <t>1024</t>
  </si>
  <si>
    <t>-1866511801</t>
  </si>
  <si>
    <t>012303000.1</t>
  </si>
  <si>
    <t>Geodetické práce před výstavbou - vytyčení</t>
  </si>
  <si>
    <t>-1203522119</t>
  </si>
  <si>
    <t>012303000</t>
  </si>
  <si>
    <t>Geodetické práce po výstavbě - zaměření objektů</t>
  </si>
  <si>
    <t>1052858694</t>
  </si>
  <si>
    <t>013254000</t>
  </si>
  <si>
    <t>Dokumentace skutečného provedení stavby</t>
  </si>
  <si>
    <t>-716884745</t>
  </si>
  <si>
    <t>013294000.1</t>
  </si>
  <si>
    <t>Výrobní a dílenská dokumentace</t>
  </si>
  <si>
    <t>1681894140</t>
  </si>
  <si>
    <t>030001000.1</t>
  </si>
  <si>
    <t>Zařízení, vlastní provoz a demontáž staveniště</t>
  </si>
  <si>
    <t>-953814844</t>
  </si>
  <si>
    <t>045002000</t>
  </si>
  <si>
    <t>Kompletační a koordinační činnost</t>
  </si>
  <si>
    <t>-1383040951</t>
  </si>
  <si>
    <t>042503000.1</t>
  </si>
  <si>
    <t xml:space="preserve">Náklady spojedné s plánem BOZP na staveništi zajišťované dodavatelem </t>
  </si>
  <si>
    <t>998963233</t>
  </si>
  <si>
    <t>042503500.1</t>
  </si>
  <si>
    <t>Informační tabule na staveništi "STAVBA POVOLENA" s identifikacemi stavby a jejích účastníků. Součástí ocelová konstrukce s dočasným kotvením do země</t>
  </si>
  <si>
    <t>-909163329</t>
  </si>
  <si>
    <t>Poznámka k položce:_x000D_
Obsah nápisu bude stanoven ve spolupráci s investorem</t>
  </si>
  <si>
    <t>SEZNAM FIGUR</t>
  </si>
  <si>
    <t>Výměra</t>
  </si>
  <si>
    <t xml:space="preserve"> SO 01/ ARS</t>
  </si>
  <si>
    <t>Použití figury:</t>
  </si>
  <si>
    <t>Potěr anhydritový samonivelační litý C25 do 50 mm</t>
  </si>
  <si>
    <t>Separační vrstva z PE fólie</t>
  </si>
  <si>
    <t>Montáž izolace tepelné podlah volně kladenými rohožemi, pásy, dílci, deskami 1 vrstva</t>
  </si>
  <si>
    <t>Krycí epoxidová stěrka tloušťky přes 2 do 3 mm dekorativní lité podlahy</t>
  </si>
  <si>
    <t>deska izolační s oboustranným rounem s rastrem PIR 1250 x 625 x 60mm</t>
  </si>
  <si>
    <t>Krycí polyuretanová stěrka tloušťky přes 2 do 3 mm dekorativní lité podlahy</t>
  </si>
  <si>
    <t>Nátěr penetrační na podlahu</t>
  </si>
  <si>
    <t>Montáž podlah keramických velkoformátových hladkých lepených flexibilním lepidlem do 4 ks/m2</t>
  </si>
  <si>
    <t>dlažba velkoformátová keramická slinutá hladká do interiéru i exteriéru přes 2 do 4ks/m2</t>
  </si>
  <si>
    <t>Krycí epoxidový dekorativní nátěr podlahy</t>
  </si>
  <si>
    <t>Cementová litá pěna tl do 80 mm objemové hmotnosti 600 kg/m3</t>
  </si>
  <si>
    <t>Penetrační disperzní nátěr vnitřních stěn nanášený strojně</t>
  </si>
  <si>
    <t>Sádrová nebo vápenosádrová omítka hladká jednovrstvá vnitřních stěn nanášená strojně</t>
  </si>
  <si>
    <t>Příplatek k sádrové omítce vnitřních stěn za každých dalších 5 mm tloušťky strojně</t>
  </si>
  <si>
    <t>Hloubková jednonásobná penetrace podkladu v místnostech výšky do 3,80 m</t>
  </si>
  <si>
    <t>Dvojnásobné bílé malby ze směsí za mokra výborně otěruvzdorných v místnostech výšky do 3,80 m</t>
  </si>
  <si>
    <t>Sádrová nebo vápenosádrová omítka hladká jednovrstvá vnitřních stropů rovných nanášená strojně</t>
  </si>
  <si>
    <t>Penetrační disperzní nátěr vnitřních stropů nanášený strojně</t>
  </si>
  <si>
    <t>Příplatek k sádrové omítce vnitřních stropů za každých dalších 5 mm tloušťky strojně</t>
  </si>
  <si>
    <t>Základní akrylátová jednonásobná penetrace podkladu v místnostech výšky do 3,80m</t>
  </si>
  <si>
    <t>Vápenocementová omítka hladká jednovrstvá vnitřních stěn nanášená strojně</t>
  </si>
  <si>
    <t>Cementový postřik vnitřních stěn nanášený síťovitě ručně</t>
  </si>
  <si>
    <t>Nátěr penetrační na stěnu</t>
  </si>
  <si>
    <t>Montáž obkladů vnitřních keramických velkoformátových hladkých do 6 ks/m2 lepených flexibilním lepidlem</t>
  </si>
  <si>
    <t>obklad velkoformátový keramický hladký přes 4 do 6ks/m2</t>
  </si>
  <si>
    <t>Sádrová stěrka tl.do 3 mm vnitřních stěn</t>
  </si>
  <si>
    <t>Příplatek k cenám za každý další 1 mm sádrové stěrky vnitřních stěn</t>
  </si>
  <si>
    <t>Sádrová stěrka tl.do 3 mm vnitřních rovných stropů</t>
  </si>
  <si>
    <t>Příplatek k cenám za každý další 1 mm sádrové stěrky vnitřních rovných stropů</t>
  </si>
  <si>
    <t>Vápenocementová omítka hladká jednovrstvá vnitřních stěn nanášená ručně</t>
  </si>
  <si>
    <t>Příplatek k vápenocementové omítce vnitřních stěn za každých dalších 5 mm tloušťky ručně</t>
  </si>
  <si>
    <t>SDK podhled deska 1xH2 12,5 bez TI dvouvrstvá spodní kce profil CD+UD</t>
  </si>
  <si>
    <t>Montáž SDK kazetového podhledu z kazet 600x600 mm na zavěšenou polozapuštěnou nosnou konstrukci</t>
  </si>
  <si>
    <t>podhled kazetový bez děrování viditelný rastr tl 10mm 600x600mm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</si>
  <si>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</si>
  <si>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</si>
  <si>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</si>
  <si>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</si>
  <si>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</si>
  <si>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</si>
  <si>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</si>
  <si>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</si>
  <si>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</si>
  <si>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</si>
  <si>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</si>
  <si>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</si>
  <si>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</si>
  <si>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</si>
  <si>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</si>
  <si>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</si>
  <si>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</si>
  <si>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</si>
  <si>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</si>
  <si>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</si>
  <si>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</si>
  <si>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</si>
  <si>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</si>
  <si>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</si>
  <si>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</si>
  <si>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</si>
  <si>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</si>
  <si>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</si>
  <si>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</si>
  <si>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</si>
  <si>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</si>
  <si>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</si>
  <si>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</si>
  <si>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</si>
  <si>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</si>
  <si>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</si>
  <si>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</si>
  <si>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</si>
  <si>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</si>
  <si>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</si>
  <si>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</si>
  <si>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</si>
  <si>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</si>
  <si>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</si>
  <si>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</si>
  <si>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</si>
  <si>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</si>
  <si>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</si>
  <si>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</si>
  <si>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</si>
  <si>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</si>
  <si>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</si>
  <si>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</si>
  <si>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</si>
  <si>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</si>
  <si>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</si>
  <si>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</si>
  <si>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</si>
  <si>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</si>
  <si>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</si>
  <si>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</si>
  <si>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</si>
  <si>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</si>
  <si>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</si>
  <si>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</si>
  <si>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</si>
  <si>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</si>
  <si>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</si>
  <si>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</si>
  <si>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</si>
  <si>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</si>
  <si>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</si>
  <si>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</si>
  <si>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</si>
  <si>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</si>
  <si>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</si>
  <si>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</si>
  <si>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</si>
  <si>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</si>
  <si>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</si>
  <si>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</si>
  <si>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</si>
  <si>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</si>
  <si>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</si>
  <si>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</si>
  <si>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</si>
  <si>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</si>
  <si>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</si>
  <si>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</si>
  <si>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</si>
  <si>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</si>
  <si>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</si>
  <si>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</si>
  <si>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</si>
  <si>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</si>
  <si>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</si>
  <si>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</si>
  <si>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</si>
  <si>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</si>
  <si>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</si>
  <si>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</si>
  <si>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</si>
  <si>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</si>
  <si>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</si>
  <si>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</si>
  <si>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</si>
  <si>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</si>
  <si>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</si>
  <si>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</si>
  <si>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</si>
  <si>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</si>
  <si>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</si>
  <si>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</si>
  <si>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</si>
  <si>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</si>
  <si>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</si>
  <si>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</si>
  <si>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</si>
  <si>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</si>
  <si>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</si>
  <si>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</si>
  <si>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</si>
  <si>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</si>
  <si>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</si>
  <si>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</si>
  <si>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</si>
  <si>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</si>
  <si>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</si>
  <si>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</si>
  <si>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</si>
  <si>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</si>
  <si>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</si>
  <si>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</si>
  <si>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</si>
  <si>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</si>
  <si>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</si>
  <si>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</si>
  <si>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</si>
  <si>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</si>
  <si>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</si>
  <si>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</si>
  <si>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</si>
  <si>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</si>
  <si>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</si>
  <si>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</si>
  <si>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</si>
  <si>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</si>
  <si>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</si>
  <si>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</si>
  <si>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</si>
  <si>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</si>
  <si>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</si>
  <si>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</si>
  <si>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</si>
  <si>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</si>
  <si>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</si>
  <si>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</si>
  <si>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</si>
  <si>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</si>
  <si>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</si>
  <si>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</si>
  <si>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</si>
  <si>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</si>
  <si>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</si>
  <si>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</si>
  <si>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</si>
  <si>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</si>
  <si>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</si>
  <si>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</si>
  <si>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</si>
  <si>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</si>
  <si>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</si>
  <si>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</si>
  <si>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</si>
  <si>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</si>
  <si>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</si>
  <si>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</si>
  <si>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</si>
  <si>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</si>
  <si>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</si>
  <si>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</si>
  <si>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</si>
  <si>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</si>
  <si>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</si>
  <si>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PŘÍLOHA P1 - PODLAHY</t>
  </si>
  <si>
    <t>patro</t>
  </si>
  <si>
    <t>č.m.</t>
  </si>
  <si>
    <t>bm</t>
  </si>
  <si>
    <t>podlaha</t>
  </si>
  <si>
    <t>strop</t>
  </si>
  <si>
    <t>S.V.</t>
  </si>
  <si>
    <t>1np</t>
  </si>
  <si>
    <t>1.12b</t>
  </si>
  <si>
    <t>UP01</t>
  </si>
  <si>
    <t>1.01b</t>
  </si>
  <si>
    <t>1.12</t>
  </si>
  <si>
    <t>1.01</t>
  </si>
  <si>
    <t>1.14</t>
  </si>
  <si>
    <t>P03.1</t>
  </si>
  <si>
    <t>2np</t>
  </si>
  <si>
    <t>2.17</t>
  </si>
  <si>
    <t>2.01</t>
  </si>
  <si>
    <t>3np</t>
  </si>
  <si>
    <t>3.18</t>
  </si>
  <si>
    <t>3.01</t>
  </si>
  <si>
    <t>1.10</t>
  </si>
  <si>
    <t>1.11</t>
  </si>
  <si>
    <t>1.07</t>
  </si>
  <si>
    <t>UP02</t>
  </si>
  <si>
    <t>1.06</t>
  </si>
  <si>
    <t>1.05</t>
  </si>
  <si>
    <t>1.04</t>
  </si>
  <si>
    <t>1.09</t>
  </si>
  <si>
    <t>UP01-03</t>
  </si>
  <si>
    <t>1.03a</t>
  </si>
  <si>
    <t>1.03b</t>
  </si>
  <si>
    <t>1.03c</t>
  </si>
  <si>
    <t>1.01c</t>
  </si>
  <si>
    <t>UP04</t>
  </si>
  <si>
    <t>1.12c</t>
  </si>
  <si>
    <t>1.12d</t>
  </si>
  <si>
    <t>1.08</t>
  </si>
  <si>
    <t>2.15</t>
  </si>
  <si>
    <t>2.09</t>
  </si>
  <si>
    <t>2.14</t>
  </si>
  <si>
    <t>3.10</t>
  </si>
  <si>
    <t>3.09</t>
  </si>
  <si>
    <t>3.16c</t>
  </si>
  <si>
    <t>4np</t>
  </si>
  <si>
    <t>4.05</t>
  </si>
  <si>
    <t>4.02</t>
  </si>
  <si>
    <t>2.10</t>
  </si>
  <si>
    <t>2.11</t>
  </si>
  <si>
    <t>2.12</t>
  </si>
  <si>
    <t>2.13</t>
  </si>
  <si>
    <t>3.11</t>
  </si>
  <si>
    <t>3.12</t>
  </si>
  <si>
    <t>3.13</t>
  </si>
  <si>
    <t>3.07</t>
  </si>
  <si>
    <t>3.08</t>
  </si>
  <si>
    <t>3.04c</t>
  </si>
  <si>
    <t>3.04</t>
  </si>
  <si>
    <t>3.05</t>
  </si>
  <si>
    <t>2.07</t>
  </si>
  <si>
    <t>2.06</t>
  </si>
  <si>
    <t>2.05</t>
  </si>
  <si>
    <t>2.04</t>
  </si>
  <si>
    <t>3.06</t>
  </si>
  <si>
    <t>3.13a</t>
  </si>
  <si>
    <t>3.03</t>
  </si>
  <si>
    <t>2.08a</t>
  </si>
  <si>
    <t>2.08b</t>
  </si>
  <si>
    <t>2.03a</t>
  </si>
  <si>
    <t>2.03b</t>
  </si>
  <si>
    <t>2.03c</t>
  </si>
  <si>
    <t>2.01b</t>
  </si>
  <si>
    <t>3.14</t>
  </si>
  <si>
    <t>3.14b</t>
  </si>
  <si>
    <t>3.14a</t>
  </si>
  <si>
    <t>3.15</t>
  </si>
  <si>
    <t>3.15b</t>
  </si>
  <si>
    <t>3.15a</t>
  </si>
  <si>
    <t>3.01b</t>
  </si>
  <si>
    <t>2.16</t>
  </si>
  <si>
    <t>3.17</t>
  </si>
  <si>
    <t>3.16</t>
  </si>
  <si>
    <t>4.01</t>
  </si>
  <si>
    <t>UP05</t>
  </si>
  <si>
    <t>4.07</t>
  </si>
  <si>
    <t>4.04</t>
  </si>
  <si>
    <t>3.16b</t>
  </si>
  <si>
    <t>SP06</t>
  </si>
  <si>
    <t>X</t>
  </si>
  <si>
    <t>3.16a</t>
  </si>
  <si>
    <t>1.13</t>
  </si>
  <si>
    <t>1.02</t>
  </si>
  <si>
    <t>90-xx</t>
  </si>
  <si>
    <t>40-02</t>
  </si>
  <si>
    <t>40-03</t>
  </si>
  <si>
    <t>2.18</t>
  </si>
  <si>
    <t>2.02</t>
  </si>
  <si>
    <t>3.19</t>
  </si>
  <si>
    <t>3.02</t>
  </si>
  <si>
    <t>4.06</t>
  </si>
  <si>
    <t>4.03</t>
  </si>
  <si>
    <t>PŘÍLOHA P1 - STROPY</t>
  </si>
  <si>
    <t>P02-03</t>
  </si>
  <si>
    <t>P08-03</t>
  </si>
  <si>
    <t>P13-03</t>
  </si>
  <si>
    <t>2.8a</t>
  </si>
  <si>
    <t>3.04a</t>
  </si>
  <si>
    <t>UP08</t>
  </si>
  <si>
    <t>R2</t>
  </si>
  <si>
    <t>původní</t>
  </si>
  <si>
    <t>R1</t>
  </si>
  <si>
    <t>PŘÍLOHA P1 - STĚNY</t>
  </si>
  <si>
    <t>č.</t>
  </si>
  <si>
    <t>dveře</t>
  </si>
  <si>
    <t>okna</t>
  </si>
  <si>
    <t>UP 01</t>
  </si>
  <si>
    <t>UP 02</t>
  </si>
  <si>
    <t>UP 03</t>
  </si>
  <si>
    <t>UP 04</t>
  </si>
  <si>
    <t>UP 05</t>
  </si>
  <si>
    <t>Hydroizolační stěrka</t>
  </si>
  <si>
    <t>PŘÍLOHA P1 - SOKLY</t>
  </si>
  <si>
    <t>nášlap</t>
  </si>
  <si>
    <t>1.12,1.01,1.14</t>
  </si>
  <si>
    <t>epoxid 0,7</t>
  </si>
  <si>
    <t>P 3.1</t>
  </si>
  <si>
    <t xml:space="preserve">epoxid 2 </t>
  </si>
  <si>
    <t>P08, 3.2</t>
  </si>
  <si>
    <t>P013, 3.2</t>
  </si>
  <si>
    <t>keramický</t>
  </si>
  <si>
    <t>PU 2</t>
  </si>
  <si>
    <t>Epoxidová stěrka tl. 0,7-1,2 mm</t>
  </si>
  <si>
    <t>Epoxidová stěrka tl. 2,0 mm</t>
  </si>
  <si>
    <t>Polyuretanová stěrka tl.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</si>
</sst>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
  </numFmts>
  <fonts count="6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b/>
      <sz val="14"/>
      <color theme="1"/>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1" fillId="0" borderId="0" applyNumberFormat="0" applyFill="0" applyBorder="0" applyAlignment="0" applyProtection="0"/>
    <xf numFmtId="0" fontId="1" fillId="0" borderId="1"/>
  </cellStyleXfs>
  <cellXfs count="46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5"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8" fillId="0" borderId="0" xfId="0" applyNumberFormat="1" applyFont="1" applyAlignment="1" applyProtection="1">
      <alignment vertical="center"/>
    </xf>
    <xf numFmtId="0" fontId="8" fillId="0" borderId="0" xfId="0" applyFont="1" applyAlignment="1" applyProtection="1">
      <alignment vertical="center"/>
    </xf>
    <xf numFmtId="4" fontId="8" fillId="0" borderId="0" xfId="0" applyNumberFormat="1" applyFont="1" applyAlignment="1" applyProtection="1">
      <alignment horizontal="righ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4"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xf numFmtId="0" fontId="55" fillId="0" borderId="1" xfId="2" applyFont="1" applyAlignment="1">
      <alignment horizontal="left" vertical="center"/>
    </xf>
    <xf numFmtId="49" fontId="56" fillId="0" borderId="1" xfId="2" applyNumberFormat="1" applyFont="1" applyAlignment="1">
      <alignment horizontal="center"/>
    </xf>
    <xf numFmtId="168" fontId="56" fillId="0" borderId="1" xfId="2" applyNumberFormat="1" applyFont="1" applyAlignment="1">
      <alignment horizontal="center"/>
    </xf>
    <xf numFmtId="0" fontId="56" fillId="0" borderId="1" xfId="2" applyFont="1" applyAlignment="1">
      <alignment horizontal="center"/>
    </xf>
    <xf numFmtId="0" fontId="57" fillId="0" borderId="32" xfId="2" applyFont="1" applyBorder="1" applyAlignment="1">
      <alignment horizontal="center"/>
    </xf>
    <xf numFmtId="49" fontId="57" fillId="0" borderId="32" xfId="2" applyNumberFormat="1" applyFont="1" applyBorder="1" applyAlignment="1">
      <alignment horizontal="center"/>
    </xf>
    <xf numFmtId="168" fontId="57" fillId="0" borderId="32" xfId="2" applyNumberFormat="1" applyFont="1" applyBorder="1" applyAlignment="1">
      <alignment horizontal="center"/>
    </xf>
    <xf numFmtId="0" fontId="56" fillId="0" borderId="32" xfId="2" applyFont="1" applyBorder="1" applyAlignment="1">
      <alignment horizontal="center"/>
    </xf>
    <xf numFmtId="49" fontId="56" fillId="0" borderId="32" xfId="2" applyNumberFormat="1" applyFont="1" applyBorder="1" applyAlignment="1">
      <alignment horizontal="center"/>
    </xf>
    <xf numFmtId="168" fontId="56" fillId="0" borderId="32" xfId="2" applyNumberFormat="1" applyFont="1" applyBorder="1" applyAlignment="1">
      <alignment horizontal="center"/>
    </xf>
    <xf numFmtId="0" fontId="58" fillId="0" borderId="1" xfId="2" applyFont="1" applyAlignment="1">
      <alignment horizontal="left" vertical="center"/>
    </xf>
    <xf numFmtId="49" fontId="1" fillId="0" borderId="1" xfId="2" applyNumberFormat="1" applyAlignment="1">
      <alignment horizontal="center"/>
    </xf>
    <xf numFmtId="0" fontId="1" fillId="0" borderId="1" xfId="2" applyAlignment="1">
      <alignment horizontal="center"/>
    </xf>
    <xf numFmtId="0" fontId="54" fillId="0" borderId="32" xfId="2" applyFont="1" applyBorder="1" applyAlignment="1">
      <alignment horizontal="center"/>
    </xf>
    <xf numFmtId="49" fontId="54" fillId="0" borderId="32" xfId="2" applyNumberFormat="1" applyFont="1" applyBorder="1" applyAlignment="1">
      <alignment horizontal="center"/>
    </xf>
    <xf numFmtId="0" fontId="1" fillId="0" borderId="32" xfId="2" applyBorder="1" applyAlignment="1">
      <alignment horizontal="center"/>
    </xf>
    <xf numFmtId="49" fontId="1" fillId="0" borderId="32" xfId="2" applyNumberFormat="1" applyBorder="1" applyAlignment="1">
      <alignment horizontal="center"/>
    </xf>
    <xf numFmtId="0" fontId="53" fillId="0" borderId="32" xfId="2" applyFont="1" applyBorder="1" applyAlignment="1">
      <alignment horizontal="center"/>
    </xf>
    <xf numFmtId="49" fontId="54" fillId="0" borderId="1" xfId="2" applyNumberFormat="1" applyFont="1" applyAlignment="1">
      <alignment horizontal="center"/>
    </xf>
    <xf numFmtId="0" fontId="54" fillId="0" borderId="1" xfId="2" applyFont="1" applyAlignment="1">
      <alignment horizontal="center"/>
    </xf>
    <xf numFmtId="168" fontId="1" fillId="0" borderId="32" xfId="2" applyNumberFormat="1" applyBorder="1" applyAlignment="1">
      <alignment horizontal="center"/>
    </xf>
    <xf numFmtId="0" fontId="59" fillId="0" borderId="1" xfId="2" applyFont="1" applyAlignment="1">
      <alignment horizontal="center"/>
    </xf>
    <xf numFmtId="168" fontId="1" fillId="0" borderId="1" xfId="2" applyNumberFormat="1" applyAlignment="1">
      <alignment horizontal="center"/>
    </xf>
    <xf numFmtId="168" fontId="57" fillId="0" borderId="1" xfId="2" applyNumberFormat="1" applyFont="1" applyAlignment="1">
      <alignment horizontal="center"/>
    </xf>
    <xf numFmtId="0" fontId="56" fillId="0" borderId="1" xfId="2" applyFont="1" applyAlignment="1">
      <alignment horizontal="left"/>
    </xf>
    <xf numFmtId="168" fontId="56" fillId="0" borderId="33" xfId="2" applyNumberFormat="1" applyFont="1" applyBorder="1" applyAlignment="1">
      <alignment horizontal="left"/>
    </xf>
    <xf numFmtId="0" fontId="56" fillId="0" borderId="34" xfId="2" applyFont="1" applyBorder="1" applyAlignment="1">
      <alignment horizontal="center"/>
    </xf>
    <xf numFmtId="168" fontId="56" fillId="0" borderId="34" xfId="2" applyNumberFormat="1" applyFont="1" applyBorder="1" applyAlignment="1">
      <alignment horizontal="center"/>
    </xf>
    <xf numFmtId="0" fontId="56" fillId="0" borderId="35" xfId="2" applyFont="1" applyBorder="1" applyAlignment="1">
      <alignment horizontal="center"/>
    </xf>
    <xf numFmtId="168" fontId="56" fillId="0" borderId="36" xfId="2" applyNumberFormat="1" applyFont="1" applyBorder="1" applyAlignment="1">
      <alignment horizontal="left"/>
    </xf>
    <xf numFmtId="0" fontId="56" fillId="0" borderId="37" xfId="2" applyFont="1" applyBorder="1" applyAlignment="1">
      <alignment horizontal="center"/>
    </xf>
    <xf numFmtId="168" fontId="56" fillId="0" borderId="38" xfId="2" applyNumberFormat="1" applyFont="1" applyBorder="1" applyAlignment="1">
      <alignment horizontal="left"/>
    </xf>
    <xf numFmtId="0" fontId="56" fillId="0" borderId="39" xfId="2" applyFont="1" applyBorder="1" applyAlignment="1">
      <alignment horizontal="center"/>
    </xf>
    <xf numFmtId="168" fontId="56" fillId="0" borderId="39" xfId="2" applyNumberFormat="1" applyFont="1" applyBorder="1" applyAlignment="1">
      <alignment horizontal="center"/>
    </xf>
    <xf numFmtId="0" fontId="56" fillId="0" borderId="40" xfId="2" applyFont="1" applyBorder="1" applyAlignment="1">
      <alignment horizontal="center"/>
    </xf>
    <xf numFmtId="49" fontId="56" fillId="0" borderId="1" xfId="2" applyNumberFormat="1" applyFont="1" applyAlignment="1">
      <alignment horizontal="left"/>
    </xf>
  </cellXfs>
  <cellStyles count="3">
    <cellStyle name="Hypertextový odkaz" xfId="1" builtinId="8"/>
    <cellStyle name="Normální" xfId="0" builtinId="0" customBuiltin="1"/>
    <cellStyle name="Normální 2" xfId="2" xr:uid="{B9EE40FE-6B00-4F13-8521-873AABB0D4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8"/>
  <sheetViews>
    <sheetView showGridLines="0" tabSelected="1" workbookViewId="0">
      <selection activeCell="BE5" sqref="BE5:BE32"/>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3"/>
      <c r="AS2" s="383"/>
      <c r="AT2" s="383"/>
      <c r="AU2" s="383"/>
      <c r="AV2" s="383"/>
      <c r="AW2" s="383"/>
      <c r="AX2" s="383"/>
      <c r="AY2" s="383"/>
      <c r="AZ2" s="383"/>
      <c r="BA2" s="383"/>
      <c r="BB2" s="383"/>
      <c r="BC2" s="383"/>
      <c r="BD2" s="383"/>
      <c r="BE2" s="38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7" t="s">
        <v>14</v>
      </c>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24"/>
      <c r="AQ5" s="24"/>
      <c r="AR5" s="22"/>
      <c r="BE5" s="364" t="s">
        <v>15</v>
      </c>
      <c r="BS5" s="19" t="s">
        <v>6</v>
      </c>
    </row>
    <row r="6" spans="1:74" s="1" customFormat="1" ht="36.950000000000003" customHeight="1">
      <c r="B6" s="23"/>
      <c r="C6" s="24"/>
      <c r="D6" s="30" t="s">
        <v>16</v>
      </c>
      <c r="E6" s="24"/>
      <c r="F6" s="24"/>
      <c r="G6" s="24"/>
      <c r="H6" s="24"/>
      <c r="I6" s="24"/>
      <c r="J6" s="24"/>
      <c r="K6" s="369" t="s">
        <v>17</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24"/>
      <c r="AQ6" s="24"/>
      <c r="AR6" s="22"/>
      <c r="BE6" s="36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5"/>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5"/>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5"/>
      <c r="BS13" s="19" t="s">
        <v>6</v>
      </c>
    </row>
    <row r="14" spans="1:74" ht="12.75">
      <c r="B14" s="23"/>
      <c r="C14" s="24"/>
      <c r="D14" s="24"/>
      <c r="E14" s="370" t="s">
        <v>30</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1" t="s">
        <v>28</v>
      </c>
      <c r="AL14" s="24"/>
      <c r="AM14" s="24"/>
      <c r="AN14" s="33" t="s">
        <v>30</v>
      </c>
      <c r="AO14" s="24"/>
      <c r="AP14" s="24"/>
      <c r="AQ14" s="24"/>
      <c r="AR14" s="22"/>
      <c r="BE14" s="36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5"/>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5"/>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5"/>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5"/>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5"/>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5"/>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5"/>
    </row>
    <row r="23" spans="1:71" s="1" customFormat="1" ht="47.25" customHeight="1">
      <c r="B23" s="23"/>
      <c r="C23" s="24"/>
      <c r="D23" s="24"/>
      <c r="E23" s="372" t="s">
        <v>37</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24"/>
      <c r="AP23" s="24"/>
      <c r="AQ23" s="24"/>
      <c r="AR23" s="22"/>
      <c r="BE23" s="36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5"/>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3">
        <f>ROUND(AG54,2)</f>
        <v>0</v>
      </c>
      <c r="AL26" s="374"/>
      <c r="AM26" s="374"/>
      <c r="AN26" s="374"/>
      <c r="AO26" s="374"/>
      <c r="AP26" s="38"/>
      <c r="AQ26" s="38"/>
      <c r="AR26" s="41"/>
      <c r="BE26" s="36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5"/>
    </row>
    <row r="28" spans="1:71" s="2" customFormat="1" ht="12.75">
      <c r="A28" s="36"/>
      <c r="B28" s="37"/>
      <c r="C28" s="38"/>
      <c r="D28" s="38"/>
      <c r="E28" s="38"/>
      <c r="F28" s="38"/>
      <c r="G28" s="38"/>
      <c r="H28" s="38"/>
      <c r="I28" s="38"/>
      <c r="J28" s="38"/>
      <c r="K28" s="38"/>
      <c r="L28" s="375" t="s">
        <v>39</v>
      </c>
      <c r="M28" s="375"/>
      <c r="N28" s="375"/>
      <c r="O28" s="375"/>
      <c r="P28" s="375"/>
      <c r="Q28" s="38"/>
      <c r="R28" s="38"/>
      <c r="S28" s="38"/>
      <c r="T28" s="38"/>
      <c r="U28" s="38"/>
      <c r="V28" s="38"/>
      <c r="W28" s="375" t="s">
        <v>40</v>
      </c>
      <c r="X28" s="375"/>
      <c r="Y28" s="375"/>
      <c r="Z28" s="375"/>
      <c r="AA28" s="375"/>
      <c r="AB28" s="375"/>
      <c r="AC28" s="375"/>
      <c r="AD28" s="375"/>
      <c r="AE28" s="375"/>
      <c r="AF28" s="38"/>
      <c r="AG28" s="38"/>
      <c r="AH28" s="38"/>
      <c r="AI28" s="38"/>
      <c r="AJ28" s="38"/>
      <c r="AK28" s="375" t="s">
        <v>41</v>
      </c>
      <c r="AL28" s="375"/>
      <c r="AM28" s="375"/>
      <c r="AN28" s="375"/>
      <c r="AO28" s="375"/>
      <c r="AP28" s="38"/>
      <c r="AQ28" s="38"/>
      <c r="AR28" s="41"/>
      <c r="BE28" s="365"/>
    </row>
    <row r="29" spans="1:71" s="3" customFormat="1" ht="14.45" customHeight="1">
      <c r="B29" s="42"/>
      <c r="C29" s="43"/>
      <c r="D29" s="31" t="s">
        <v>42</v>
      </c>
      <c r="E29" s="43"/>
      <c r="F29" s="31" t="s">
        <v>43</v>
      </c>
      <c r="G29" s="43"/>
      <c r="H29" s="43"/>
      <c r="I29" s="43"/>
      <c r="J29" s="43"/>
      <c r="K29" s="43"/>
      <c r="L29" s="378">
        <v>0.21</v>
      </c>
      <c r="M29" s="377"/>
      <c r="N29" s="377"/>
      <c r="O29" s="377"/>
      <c r="P29" s="377"/>
      <c r="Q29" s="43"/>
      <c r="R29" s="43"/>
      <c r="S29" s="43"/>
      <c r="T29" s="43"/>
      <c r="U29" s="43"/>
      <c r="V29" s="43"/>
      <c r="W29" s="376">
        <f>ROUND(AZ54, 2)</f>
        <v>0</v>
      </c>
      <c r="X29" s="377"/>
      <c r="Y29" s="377"/>
      <c r="Z29" s="377"/>
      <c r="AA29" s="377"/>
      <c r="AB29" s="377"/>
      <c r="AC29" s="377"/>
      <c r="AD29" s="377"/>
      <c r="AE29" s="377"/>
      <c r="AF29" s="43"/>
      <c r="AG29" s="43"/>
      <c r="AH29" s="43"/>
      <c r="AI29" s="43"/>
      <c r="AJ29" s="43"/>
      <c r="AK29" s="376">
        <f>ROUND(AV54, 2)</f>
        <v>0</v>
      </c>
      <c r="AL29" s="377"/>
      <c r="AM29" s="377"/>
      <c r="AN29" s="377"/>
      <c r="AO29" s="377"/>
      <c r="AP29" s="43"/>
      <c r="AQ29" s="43"/>
      <c r="AR29" s="44"/>
      <c r="BE29" s="366"/>
    </row>
    <row r="30" spans="1:71" s="3" customFormat="1" ht="14.45" customHeight="1">
      <c r="B30" s="42"/>
      <c r="C30" s="43"/>
      <c r="D30" s="43"/>
      <c r="E30" s="43"/>
      <c r="F30" s="31" t="s">
        <v>44</v>
      </c>
      <c r="G30" s="43"/>
      <c r="H30" s="43"/>
      <c r="I30" s="43"/>
      <c r="J30" s="43"/>
      <c r="K30" s="43"/>
      <c r="L30" s="378">
        <v>0.15</v>
      </c>
      <c r="M30" s="377"/>
      <c r="N30" s="377"/>
      <c r="O30" s="377"/>
      <c r="P30" s="377"/>
      <c r="Q30" s="43"/>
      <c r="R30" s="43"/>
      <c r="S30" s="43"/>
      <c r="T30" s="43"/>
      <c r="U30" s="43"/>
      <c r="V30" s="43"/>
      <c r="W30" s="376">
        <f>ROUND(BA54, 2)</f>
        <v>0</v>
      </c>
      <c r="X30" s="377"/>
      <c r="Y30" s="377"/>
      <c r="Z30" s="377"/>
      <c r="AA30" s="377"/>
      <c r="AB30" s="377"/>
      <c r="AC30" s="377"/>
      <c r="AD30" s="377"/>
      <c r="AE30" s="377"/>
      <c r="AF30" s="43"/>
      <c r="AG30" s="43"/>
      <c r="AH30" s="43"/>
      <c r="AI30" s="43"/>
      <c r="AJ30" s="43"/>
      <c r="AK30" s="376">
        <f>ROUND(AW54, 2)</f>
        <v>0</v>
      </c>
      <c r="AL30" s="377"/>
      <c r="AM30" s="377"/>
      <c r="AN30" s="377"/>
      <c r="AO30" s="377"/>
      <c r="AP30" s="43"/>
      <c r="AQ30" s="43"/>
      <c r="AR30" s="44"/>
      <c r="BE30" s="366"/>
    </row>
    <row r="31" spans="1:71" s="3" customFormat="1" ht="14.45" hidden="1" customHeight="1">
      <c r="B31" s="42"/>
      <c r="C31" s="43"/>
      <c r="D31" s="43"/>
      <c r="E31" s="43"/>
      <c r="F31" s="31" t="s">
        <v>45</v>
      </c>
      <c r="G31" s="43"/>
      <c r="H31" s="43"/>
      <c r="I31" s="43"/>
      <c r="J31" s="43"/>
      <c r="K31" s="43"/>
      <c r="L31" s="378">
        <v>0.21</v>
      </c>
      <c r="M31" s="377"/>
      <c r="N31" s="377"/>
      <c r="O31" s="377"/>
      <c r="P31" s="377"/>
      <c r="Q31" s="43"/>
      <c r="R31" s="43"/>
      <c r="S31" s="43"/>
      <c r="T31" s="43"/>
      <c r="U31" s="43"/>
      <c r="V31" s="43"/>
      <c r="W31" s="376">
        <f>ROUND(BB54, 2)</f>
        <v>0</v>
      </c>
      <c r="X31" s="377"/>
      <c r="Y31" s="377"/>
      <c r="Z31" s="377"/>
      <c r="AA31" s="377"/>
      <c r="AB31" s="377"/>
      <c r="AC31" s="377"/>
      <c r="AD31" s="377"/>
      <c r="AE31" s="377"/>
      <c r="AF31" s="43"/>
      <c r="AG31" s="43"/>
      <c r="AH31" s="43"/>
      <c r="AI31" s="43"/>
      <c r="AJ31" s="43"/>
      <c r="AK31" s="376">
        <v>0</v>
      </c>
      <c r="AL31" s="377"/>
      <c r="AM31" s="377"/>
      <c r="AN31" s="377"/>
      <c r="AO31" s="377"/>
      <c r="AP31" s="43"/>
      <c r="AQ31" s="43"/>
      <c r="AR31" s="44"/>
      <c r="BE31" s="366"/>
    </row>
    <row r="32" spans="1:71" s="3" customFormat="1" ht="14.45" hidden="1" customHeight="1">
      <c r="B32" s="42"/>
      <c r="C32" s="43"/>
      <c r="D32" s="43"/>
      <c r="E32" s="43"/>
      <c r="F32" s="31" t="s">
        <v>46</v>
      </c>
      <c r="G32" s="43"/>
      <c r="H32" s="43"/>
      <c r="I32" s="43"/>
      <c r="J32" s="43"/>
      <c r="K32" s="43"/>
      <c r="L32" s="378">
        <v>0.15</v>
      </c>
      <c r="M32" s="377"/>
      <c r="N32" s="377"/>
      <c r="O32" s="377"/>
      <c r="P32" s="377"/>
      <c r="Q32" s="43"/>
      <c r="R32" s="43"/>
      <c r="S32" s="43"/>
      <c r="T32" s="43"/>
      <c r="U32" s="43"/>
      <c r="V32" s="43"/>
      <c r="W32" s="376">
        <f>ROUND(BC54, 2)</f>
        <v>0</v>
      </c>
      <c r="X32" s="377"/>
      <c r="Y32" s="377"/>
      <c r="Z32" s="377"/>
      <c r="AA32" s="377"/>
      <c r="AB32" s="377"/>
      <c r="AC32" s="377"/>
      <c r="AD32" s="377"/>
      <c r="AE32" s="377"/>
      <c r="AF32" s="43"/>
      <c r="AG32" s="43"/>
      <c r="AH32" s="43"/>
      <c r="AI32" s="43"/>
      <c r="AJ32" s="43"/>
      <c r="AK32" s="376">
        <v>0</v>
      </c>
      <c r="AL32" s="377"/>
      <c r="AM32" s="377"/>
      <c r="AN32" s="377"/>
      <c r="AO32" s="377"/>
      <c r="AP32" s="43"/>
      <c r="AQ32" s="43"/>
      <c r="AR32" s="44"/>
      <c r="BE32" s="366"/>
    </row>
    <row r="33" spans="1:57" s="3" customFormat="1" ht="14.45" hidden="1" customHeight="1">
      <c r="B33" s="42"/>
      <c r="C33" s="43"/>
      <c r="D33" s="43"/>
      <c r="E33" s="43"/>
      <c r="F33" s="31" t="s">
        <v>47</v>
      </c>
      <c r="G33" s="43"/>
      <c r="H33" s="43"/>
      <c r="I33" s="43"/>
      <c r="J33" s="43"/>
      <c r="K33" s="43"/>
      <c r="L33" s="378">
        <v>0</v>
      </c>
      <c r="M33" s="377"/>
      <c r="N33" s="377"/>
      <c r="O33" s="377"/>
      <c r="P33" s="377"/>
      <c r="Q33" s="43"/>
      <c r="R33" s="43"/>
      <c r="S33" s="43"/>
      <c r="T33" s="43"/>
      <c r="U33" s="43"/>
      <c r="V33" s="43"/>
      <c r="W33" s="376">
        <f>ROUND(BD54, 2)</f>
        <v>0</v>
      </c>
      <c r="X33" s="377"/>
      <c r="Y33" s="377"/>
      <c r="Z33" s="377"/>
      <c r="AA33" s="377"/>
      <c r="AB33" s="377"/>
      <c r="AC33" s="377"/>
      <c r="AD33" s="377"/>
      <c r="AE33" s="377"/>
      <c r="AF33" s="43"/>
      <c r="AG33" s="43"/>
      <c r="AH33" s="43"/>
      <c r="AI33" s="43"/>
      <c r="AJ33" s="43"/>
      <c r="AK33" s="376">
        <v>0</v>
      </c>
      <c r="AL33" s="377"/>
      <c r="AM33" s="377"/>
      <c r="AN33" s="377"/>
      <c r="AO33" s="37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2" t="s">
        <v>50</v>
      </c>
      <c r="Y35" s="380"/>
      <c r="Z35" s="380"/>
      <c r="AA35" s="380"/>
      <c r="AB35" s="380"/>
      <c r="AC35" s="47"/>
      <c r="AD35" s="47"/>
      <c r="AE35" s="47"/>
      <c r="AF35" s="47"/>
      <c r="AG35" s="47"/>
      <c r="AH35" s="47"/>
      <c r="AI35" s="47"/>
      <c r="AJ35" s="47"/>
      <c r="AK35" s="379">
        <f>SUM(AK26:AK33)</f>
        <v>0</v>
      </c>
      <c r="AL35" s="380"/>
      <c r="AM35" s="380"/>
      <c r="AN35" s="380"/>
      <c r="AO35" s="38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VAPAUPOL</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7" t="str">
        <f>K6</f>
        <v>ARCHIV UP V OLOMOUCI - BEZ VYBAVENÍ INTERIÉRU</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OLOMOUC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4" t="str">
        <f>IF(AN8= "","",AN8)</f>
        <v>4. 8. 2021</v>
      </c>
      <c r="AN47" s="39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UP V OLOMOUCI, KŘÍŽOVSKÉHO 511/8, 779 00</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95" t="str">
        <f>IF(E17="","",E17)</f>
        <v>ALFAPROJEKT OLOMOUC a.s.</v>
      </c>
      <c r="AN49" s="396"/>
      <c r="AO49" s="396"/>
      <c r="AP49" s="396"/>
      <c r="AQ49" s="38"/>
      <c r="AR49" s="41"/>
      <c r="AS49" s="397" t="s">
        <v>52</v>
      </c>
      <c r="AT49" s="398"/>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95" t="str">
        <f>IF(E20="","",E20)</f>
        <v>PROPOS LIBEREC s.r.o.</v>
      </c>
      <c r="AN50" s="396"/>
      <c r="AO50" s="396"/>
      <c r="AP50" s="396"/>
      <c r="AQ50" s="38"/>
      <c r="AR50" s="41"/>
      <c r="AS50" s="399"/>
      <c r="AT50" s="40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1"/>
      <c r="AT51" s="402"/>
      <c r="AU51" s="66"/>
      <c r="AV51" s="66"/>
      <c r="AW51" s="66"/>
      <c r="AX51" s="66"/>
      <c r="AY51" s="66"/>
      <c r="AZ51" s="66"/>
      <c r="BA51" s="66"/>
      <c r="BB51" s="66"/>
      <c r="BC51" s="66"/>
      <c r="BD51" s="67"/>
      <c r="BE51" s="36"/>
    </row>
    <row r="52" spans="1:91" s="2" customFormat="1" ht="29.25" customHeight="1">
      <c r="A52" s="36"/>
      <c r="B52" s="37"/>
      <c r="C52" s="389" t="s">
        <v>53</v>
      </c>
      <c r="D52" s="390"/>
      <c r="E52" s="390"/>
      <c r="F52" s="390"/>
      <c r="G52" s="390"/>
      <c r="H52" s="68"/>
      <c r="I52" s="391" t="s">
        <v>54</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403" t="s">
        <v>55</v>
      </c>
      <c r="AH52" s="390"/>
      <c r="AI52" s="390"/>
      <c r="AJ52" s="390"/>
      <c r="AK52" s="390"/>
      <c r="AL52" s="390"/>
      <c r="AM52" s="390"/>
      <c r="AN52" s="391" t="s">
        <v>56</v>
      </c>
      <c r="AO52" s="390"/>
      <c r="AP52" s="390"/>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7">
        <f>ROUND(AG55+SUM(AG107:AG116),2)</f>
        <v>0</v>
      </c>
      <c r="AH54" s="407"/>
      <c r="AI54" s="407"/>
      <c r="AJ54" s="407"/>
      <c r="AK54" s="407"/>
      <c r="AL54" s="407"/>
      <c r="AM54" s="407"/>
      <c r="AN54" s="408">
        <f t="shared" ref="AN54:AN85" si="0">SUM(AG54,AT54)</f>
        <v>0</v>
      </c>
      <c r="AO54" s="408"/>
      <c r="AP54" s="408"/>
      <c r="AQ54" s="80" t="s">
        <v>19</v>
      </c>
      <c r="AR54" s="81"/>
      <c r="AS54" s="82">
        <f>ROUND(AS55+SUM(AS107:AS116),2)</f>
        <v>0</v>
      </c>
      <c r="AT54" s="83">
        <f t="shared" ref="AT54:AT85" si="1">ROUND(SUM(AV54:AW54),2)</f>
        <v>0</v>
      </c>
      <c r="AU54" s="84">
        <f>ROUND(AU55+SUM(AU107:AU116),5)</f>
        <v>0</v>
      </c>
      <c r="AV54" s="83">
        <f>ROUND(AZ54*L29,2)</f>
        <v>0</v>
      </c>
      <c r="AW54" s="83">
        <f>ROUND(BA54*L30,2)</f>
        <v>0</v>
      </c>
      <c r="AX54" s="83">
        <f>ROUND(BB54*L29,2)</f>
        <v>0</v>
      </c>
      <c r="AY54" s="83">
        <f>ROUND(BC54*L30,2)</f>
        <v>0</v>
      </c>
      <c r="AZ54" s="83">
        <f>ROUND(AZ55+SUM(AZ107:AZ116),2)</f>
        <v>0</v>
      </c>
      <c r="BA54" s="83">
        <f>ROUND(BA55+SUM(BA107:BA116),2)</f>
        <v>0</v>
      </c>
      <c r="BB54" s="83">
        <f>ROUND(BB55+SUM(BB107:BB116),2)</f>
        <v>0</v>
      </c>
      <c r="BC54" s="83">
        <f>ROUND(BC55+SUM(BC107:BC116),2)</f>
        <v>0</v>
      </c>
      <c r="BD54" s="85">
        <f>ROUND(BD55+SUM(BD107:BD116),2)</f>
        <v>0</v>
      </c>
      <c r="BS54" s="86" t="s">
        <v>71</v>
      </c>
      <c r="BT54" s="86" t="s">
        <v>72</v>
      </c>
      <c r="BU54" s="87" t="s">
        <v>73</v>
      </c>
      <c r="BV54" s="86" t="s">
        <v>74</v>
      </c>
      <c r="BW54" s="86" t="s">
        <v>5</v>
      </c>
      <c r="BX54" s="86" t="s">
        <v>75</v>
      </c>
      <c r="CL54" s="86" t="s">
        <v>19</v>
      </c>
    </row>
    <row r="55" spans="1:91" s="7" customFormat="1" ht="16.5" customHeight="1">
      <c r="B55" s="88"/>
      <c r="C55" s="89"/>
      <c r="D55" s="392" t="s">
        <v>76</v>
      </c>
      <c r="E55" s="392"/>
      <c r="F55" s="392"/>
      <c r="G55" s="392"/>
      <c r="H55" s="392"/>
      <c r="I55" s="90"/>
      <c r="J55" s="392" t="s">
        <v>77</v>
      </c>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406">
        <f>ROUND(AG56+SUM(AG57:AG59)+SUM(AG73:AG77)+AG106,2)</f>
        <v>0</v>
      </c>
      <c r="AH55" s="405"/>
      <c r="AI55" s="405"/>
      <c r="AJ55" s="405"/>
      <c r="AK55" s="405"/>
      <c r="AL55" s="405"/>
      <c r="AM55" s="405"/>
      <c r="AN55" s="404">
        <f t="shared" si="0"/>
        <v>0</v>
      </c>
      <c r="AO55" s="405"/>
      <c r="AP55" s="405"/>
      <c r="AQ55" s="91" t="s">
        <v>78</v>
      </c>
      <c r="AR55" s="92"/>
      <c r="AS55" s="93">
        <f>ROUND(AS56+SUM(AS57:AS59)+SUM(AS73:AS77)+AS106,2)</f>
        <v>0</v>
      </c>
      <c r="AT55" s="94">
        <f t="shared" si="1"/>
        <v>0</v>
      </c>
      <c r="AU55" s="95">
        <f>ROUND(AU56+SUM(AU57:AU59)+SUM(AU73:AU77)+AU106,5)</f>
        <v>0</v>
      </c>
      <c r="AV55" s="94">
        <f>ROUND(AZ55*L29,2)</f>
        <v>0</v>
      </c>
      <c r="AW55" s="94">
        <f>ROUND(BA55*L30,2)</f>
        <v>0</v>
      </c>
      <c r="AX55" s="94">
        <f>ROUND(BB55*L29,2)</f>
        <v>0</v>
      </c>
      <c r="AY55" s="94">
        <f>ROUND(BC55*L30,2)</f>
        <v>0</v>
      </c>
      <c r="AZ55" s="94">
        <f>ROUND(AZ56+SUM(AZ57:AZ59)+SUM(AZ73:AZ77)+AZ106,2)</f>
        <v>0</v>
      </c>
      <c r="BA55" s="94">
        <f>ROUND(BA56+SUM(BA57:BA59)+SUM(BA73:BA77)+BA106,2)</f>
        <v>0</v>
      </c>
      <c r="BB55" s="94">
        <f>ROUND(BB56+SUM(BB57:BB59)+SUM(BB73:BB77)+BB106,2)</f>
        <v>0</v>
      </c>
      <c r="BC55" s="94">
        <f>ROUND(BC56+SUM(BC57:BC59)+SUM(BC73:BC77)+BC106,2)</f>
        <v>0</v>
      </c>
      <c r="BD55" s="96">
        <f>ROUND(BD56+SUM(BD57:BD59)+SUM(BD73:BD77)+BD106,2)</f>
        <v>0</v>
      </c>
      <c r="BS55" s="97" t="s">
        <v>71</v>
      </c>
      <c r="BT55" s="97" t="s">
        <v>79</v>
      </c>
      <c r="BU55" s="97" t="s">
        <v>73</v>
      </c>
      <c r="BV55" s="97" t="s">
        <v>74</v>
      </c>
      <c r="BW55" s="97" t="s">
        <v>80</v>
      </c>
      <c r="BX55" s="97" t="s">
        <v>5</v>
      </c>
      <c r="CL55" s="97" t="s">
        <v>81</v>
      </c>
      <c r="CM55" s="97" t="s">
        <v>82</v>
      </c>
    </row>
    <row r="56" spans="1:91" s="4" customFormat="1" ht="16.5" customHeight="1">
      <c r="A56" s="98" t="s">
        <v>83</v>
      </c>
      <c r="B56" s="53"/>
      <c r="C56" s="99"/>
      <c r="D56" s="99"/>
      <c r="E56" s="393" t="s">
        <v>84</v>
      </c>
      <c r="F56" s="393"/>
      <c r="G56" s="393"/>
      <c r="H56" s="393"/>
      <c r="I56" s="393"/>
      <c r="J56" s="99"/>
      <c r="K56" s="393" t="s">
        <v>85</v>
      </c>
      <c r="L56" s="393"/>
      <c r="M56" s="393"/>
      <c r="N56" s="393"/>
      <c r="O56" s="393"/>
      <c r="P56" s="393"/>
      <c r="Q56" s="393"/>
      <c r="R56" s="393"/>
      <c r="S56" s="393"/>
      <c r="T56" s="393"/>
      <c r="U56" s="393"/>
      <c r="V56" s="393"/>
      <c r="W56" s="393"/>
      <c r="X56" s="393"/>
      <c r="Y56" s="393"/>
      <c r="Z56" s="393"/>
      <c r="AA56" s="393"/>
      <c r="AB56" s="393"/>
      <c r="AC56" s="393"/>
      <c r="AD56" s="393"/>
      <c r="AE56" s="393"/>
      <c r="AF56" s="393"/>
      <c r="AG56" s="384">
        <f>'ARS - STAVEBNÍ A KONSTRUK...'!J32</f>
        <v>0</v>
      </c>
      <c r="AH56" s="385"/>
      <c r="AI56" s="385"/>
      <c r="AJ56" s="385"/>
      <c r="AK56" s="385"/>
      <c r="AL56" s="385"/>
      <c r="AM56" s="385"/>
      <c r="AN56" s="384">
        <f t="shared" si="0"/>
        <v>0</v>
      </c>
      <c r="AO56" s="385"/>
      <c r="AP56" s="385"/>
      <c r="AQ56" s="100" t="s">
        <v>86</v>
      </c>
      <c r="AR56" s="55"/>
      <c r="AS56" s="101">
        <v>0</v>
      </c>
      <c r="AT56" s="102">
        <f t="shared" si="1"/>
        <v>0</v>
      </c>
      <c r="AU56" s="103">
        <f>'ARS - STAVEBNÍ A KONSTRUK...'!P114</f>
        <v>0</v>
      </c>
      <c r="AV56" s="102">
        <f>'ARS - STAVEBNÍ A KONSTRUK...'!J35</f>
        <v>0</v>
      </c>
      <c r="AW56" s="102">
        <f>'ARS - STAVEBNÍ A KONSTRUK...'!J36</f>
        <v>0</v>
      </c>
      <c r="AX56" s="102">
        <f>'ARS - STAVEBNÍ A KONSTRUK...'!J37</f>
        <v>0</v>
      </c>
      <c r="AY56" s="102">
        <f>'ARS - STAVEBNÍ A KONSTRUK...'!J38</f>
        <v>0</v>
      </c>
      <c r="AZ56" s="102">
        <f>'ARS - STAVEBNÍ A KONSTRUK...'!F35</f>
        <v>0</v>
      </c>
      <c r="BA56" s="102">
        <f>'ARS - STAVEBNÍ A KONSTRUK...'!F36</f>
        <v>0</v>
      </c>
      <c r="BB56" s="102">
        <f>'ARS - STAVEBNÍ A KONSTRUK...'!F37</f>
        <v>0</v>
      </c>
      <c r="BC56" s="102">
        <f>'ARS - STAVEBNÍ A KONSTRUK...'!F38</f>
        <v>0</v>
      </c>
      <c r="BD56" s="104">
        <f>'ARS - STAVEBNÍ A KONSTRUK...'!F39</f>
        <v>0</v>
      </c>
      <c r="BT56" s="105" t="s">
        <v>82</v>
      </c>
      <c r="BV56" s="105" t="s">
        <v>74</v>
      </c>
      <c r="BW56" s="105" t="s">
        <v>87</v>
      </c>
      <c r="BX56" s="105" t="s">
        <v>80</v>
      </c>
      <c r="CL56" s="105" t="s">
        <v>81</v>
      </c>
    </row>
    <row r="57" spans="1:91" s="4" customFormat="1" ht="16.5" customHeight="1">
      <c r="A57" s="98" t="s">
        <v>83</v>
      </c>
      <c r="B57" s="53"/>
      <c r="C57" s="99"/>
      <c r="D57" s="99"/>
      <c r="E57" s="393" t="s">
        <v>88</v>
      </c>
      <c r="F57" s="393"/>
      <c r="G57" s="393"/>
      <c r="H57" s="393"/>
      <c r="I57" s="393"/>
      <c r="J57" s="99"/>
      <c r="K57" s="393" t="s">
        <v>89</v>
      </c>
      <c r="L57" s="393"/>
      <c r="M57" s="393"/>
      <c r="N57" s="393"/>
      <c r="O57" s="393"/>
      <c r="P57" s="393"/>
      <c r="Q57" s="393"/>
      <c r="R57" s="393"/>
      <c r="S57" s="393"/>
      <c r="T57" s="393"/>
      <c r="U57" s="393"/>
      <c r="V57" s="393"/>
      <c r="W57" s="393"/>
      <c r="X57" s="393"/>
      <c r="Y57" s="393"/>
      <c r="Z57" s="393"/>
      <c r="AA57" s="393"/>
      <c r="AB57" s="393"/>
      <c r="AC57" s="393"/>
      <c r="AD57" s="393"/>
      <c r="AE57" s="393"/>
      <c r="AF57" s="393"/>
      <c r="AG57" s="384">
        <f>'ÚT - ZAŘÍZENÍ PRO VYTÁPĚN...'!J32</f>
        <v>0</v>
      </c>
      <c r="AH57" s="385"/>
      <c r="AI57" s="385"/>
      <c r="AJ57" s="385"/>
      <c r="AK57" s="385"/>
      <c r="AL57" s="385"/>
      <c r="AM57" s="385"/>
      <c r="AN57" s="384">
        <f t="shared" si="0"/>
        <v>0</v>
      </c>
      <c r="AO57" s="385"/>
      <c r="AP57" s="385"/>
      <c r="AQ57" s="100" t="s">
        <v>86</v>
      </c>
      <c r="AR57" s="55"/>
      <c r="AS57" s="101">
        <v>0</v>
      </c>
      <c r="AT57" s="102">
        <f t="shared" si="1"/>
        <v>0</v>
      </c>
      <c r="AU57" s="103">
        <f>'ÚT - ZAŘÍZENÍ PRO VYTÁPĚN...'!P100</f>
        <v>0</v>
      </c>
      <c r="AV57" s="102">
        <f>'ÚT - ZAŘÍZENÍ PRO VYTÁPĚN...'!J35</f>
        <v>0</v>
      </c>
      <c r="AW57" s="102">
        <f>'ÚT - ZAŘÍZENÍ PRO VYTÁPĚN...'!J36</f>
        <v>0</v>
      </c>
      <c r="AX57" s="102">
        <f>'ÚT - ZAŘÍZENÍ PRO VYTÁPĚN...'!J37</f>
        <v>0</v>
      </c>
      <c r="AY57" s="102">
        <f>'ÚT - ZAŘÍZENÍ PRO VYTÁPĚN...'!J38</f>
        <v>0</v>
      </c>
      <c r="AZ57" s="102">
        <f>'ÚT - ZAŘÍZENÍ PRO VYTÁPĚN...'!F35</f>
        <v>0</v>
      </c>
      <c r="BA57" s="102">
        <f>'ÚT - ZAŘÍZENÍ PRO VYTÁPĚN...'!F36</f>
        <v>0</v>
      </c>
      <c r="BB57" s="102">
        <f>'ÚT - ZAŘÍZENÍ PRO VYTÁPĚN...'!F37</f>
        <v>0</v>
      </c>
      <c r="BC57" s="102">
        <f>'ÚT - ZAŘÍZENÍ PRO VYTÁPĚN...'!F38</f>
        <v>0</v>
      </c>
      <c r="BD57" s="104">
        <f>'ÚT - ZAŘÍZENÍ PRO VYTÁPĚN...'!F39</f>
        <v>0</v>
      </c>
      <c r="BT57" s="105" t="s">
        <v>82</v>
      </c>
      <c r="BV57" s="105" t="s">
        <v>74</v>
      </c>
      <c r="BW57" s="105" t="s">
        <v>90</v>
      </c>
      <c r="BX57" s="105" t="s">
        <v>80</v>
      </c>
      <c r="CL57" s="105" t="s">
        <v>19</v>
      </c>
    </row>
    <row r="58" spans="1:91" s="4" customFormat="1" ht="16.5" customHeight="1">
      <c r="A58" s="98" t="s">
        <v>83</v>
      </c>
      <c r="B58" s="53"/>
      <c r="C58" s="99"/>
      <c r="D58" s="99"/>
      <c r="E58" s="393" t="s">
        <v>91</v>
      </c>
      <c r="F58" s="393"/>
      <c r="G58" s="393"/>
      <c r="H58" s="393"/>
      <c r="I58" s="393"/>
      <c r="J58" s="99"/>
      <c r="K58" s="393" t="s">
        <v>92</v>
      </c>
      <c r="L58" s="393"/>
      <c r="M58" s="393"/>
      <c r="N58" s="393"/>
      <c r="O58" s="393"/>
      <c r="P58" s="393"/>
      <c r="Q58" s="393"/>
      <c r="R58" s="393"/>
      <c r="S58" s="393"/>
      <c r="T58" s="393"/>
      <c r="U58" s="393"/>
      <c r="V58" s="393"/>
      <c r="W58" s="393"/>
      <c r="X58" s="393"/>
      <c r="Y58" s="393"/>
      <c r="Z58" s="393"/>
      <c r="AA58" s="393"/>
      <c r="AB58" s="393"/>
      <c r="AC58" s="393"/>
      <c r="AD58" s="393"/>
      <c r="AE58" s="393"/>
      <c r="AF58" s="393"/>
      <c r="AG58" s="384">
        <f>'ZTI - ZDRAVOTECHNIKA'!J32</f>
        <v>0</v>
      </c>
      <c r="AH58" s="385"/>
      <c r="AI58" s="385"/>
      <c r="AJ58" s="385"/>
      <c r="AK58" s="385"/>
      <c r="AL58" s="385"/>
      <c r="AM58" s="385"/>
      <c r="AN58" s="384">
        <f t="shared" si="0"/>
        <v>0</v>
      </c>
      <c r="AO58" s="385"/>
      <c r="AP58" s="385"/>
      <c r="AQ58" s="100" t="s">
        <v>86</v>
      </c>
      <c r="AR58" s="55"/>
      <c r="AS58" s="101">
        <v>0</v>
      </c>
      <c r="AT58" s="102">
        <f t="shared" si="1"/>
        <v>0</v>
      </c>
      <c r="AU58" s="103">
        <f>'ZTI - ZDRAVOTECHNIKA'!P96</f>
        <v>0</v>
      </c>
      <c r="AV58" s="102">
        <f>'ZTI - ZDRAVOTECHNIKA'!J35</f>
        <v>0</v>
      </c>
      <c r="AW58" s="102">
        <f>'ZTI - ZDRAVOTECHNIKA'!J36</f>
        <v>0</v>
      </c>
      <c r="AX58" s="102">
        <f>'ZTI - ZDRAVOTECHNIKA'!J37</f>
        <v>0</v>
      </c>
      <c r="AY58" s="102">
        <f>'ZTI - ZDRAVOTECHNIKA'!J38</f>
        <v>0</v>
      </c>
      <c r="AZ58" s="102">
        <f>'ZTI - ZDRAVOTECHNIKA'!F35</f>
        <v>0</v>
      </c>
      <c r="BA58" s="102">
        <f>'ZTI - ZDRAVOTECHNIKA'!F36</f>
        <v>0</v>
      </c>
      <c r="BB58" s="102">
        <f>'ZTI - ZDRAVOTECHNIKA'!F37</f>
        <v>0</v>
      </c>
      <c r="BC58" s="102">
        <f>'ZTI - ZDRAVOTECHNIKA'!F38</f>
        <v>0</v>
      </c>
      <c r="BD58" s="104">
        <f>'ZTI - ZDRAVOTECHNIKA'!F39</f>
        <v>0</v>
      </c>
      <c r="BT58" s="105" t="s">
        <v>82</v>
      </c>
      <c r="BV58" s="105" t="s">
        <v>74</v>
      </c>
      <c r="BW58" s="105" t="s">
        <v>93</v>
      </c>
      <c r="BX58" s="105" t="s">
        <v>80</v>
      </c>
      <c r="CL58" s="105" t="s">
        <v>19</v>
      </c>
    </row>
    <row r="59" spans="1:91" s="4" customFormat="1" ht="16.5" customHeight="1">
      <c r="B59" s="53"/>
      <c r="C59" s="99"/>
      <c r="D59" s="99"/>
      <c r="E59" s="393" t="s">
        <v>94</v>
      </c>
      <c r="F59" s="393"/>
      <c r="G59" s="393"/>
      <c r="H59" s="393"/>
      <c r="I59" s="393"/>
      <c r="J59" s="99"/>
      <c r="K59" s="393" t="s">
        <v>95</v>
      </c>
      <c r="L59" s="393"/>
      <c r="M59" s="393"/>
      <c r="N59" s="393"/>
      <c r="O59" s="393"/>
      <c r="P59" s="393"/>
      <c r="Q59" s="393"/>
      <c r="R59" s="393"/>
      <c r="S59" s="393"/>
      <c r="T59" s="393"/>
      <c r="U59" s="393"/>
      <c r="V59" s="393"/>
      <c r="W59" s="393"/>
      <c r="X59" s="393"/>
      <c r="Y59" s="393"/>
      <c r="Z59" s="393"/>
      <c r="AA59" s="393"/>
      <c r="AB59" s="393"/>
      <c r="AC59" s="393"/>
      <c r="AD59" s="393"/>
      <c r="AE59" s="393"/>
      <c r="AF59" s="393"/>
      <c r="AG59" s="386">
        <f>ROUND(SUM(AG60:AG72),2)</f>
        <v>0</v>
      </c>
      <c r="AH59" s="385"/>
      <c r="AI59" s="385"/>
      <c r="AJ59" s="385"/>
      <c r="AK59" s="385"/>
      <c r="AL59" s="385"/>
      <c r="AM59" s="385"/>
      <c r="AN59" s="384">
        <f t="shared" si="0"/>
        <v>0</v>
      </c>
      <c r="AO59" s="385"/>
      <c r="AP59" s="385"/>
      <c r="AQ59" s="100" t="s">
        <v>86</v>
      </c>
      <c r="AR59" s="55"/>
      <c r="AS59" s="101">
        <f>ROUND(SUM(AS60:AS72),2)</f>
        <v>0</v>
      </c>
      <c r="AT59" s="102">
        <f t="shared" si="1"/>
        <v>0</v>
      </c>
      <c r="AU59" s="103">
        <f>ROUND(SUM(AU60:AU72),5)</f>
        <v>0</v>
      </c>
      <c r="AV59" s="102">
        <f>ROUND(AZ59*L29,2)</f>
        <v>0</v>
      </c>
      <c r="AW59" s="102">
        <f>ROUND(BA59*L30,2)</f>
        <v>0</v>
      </c>
      <c r="AX59" s="102">
        <f>ROUND(BB59*L29,2)</f>
        <v>0</v>
      </c>
      <c r="AY59" s="102">
        <f>ROUND(BC59*L30,2)</f>
        <v>0</v>
      </c>
      <c r="AZ59" s="102">
        <f>ROUND(SUM(AZ60:AZ72),2)</f>
        <v>0</v>
      </c>
      <c r="BA59" s="102">
        <f>ROUND(SUM(BA60:BA72),2)</f>
        <v>0</v>
      </c>
      <c r="BB59" s="102">
        <f>ROUND(SUM(BB60:BB72),2)</f>
        <v>0</v>
      </c>
      <c r="BC59" s="102">
        <f>ROUND(SUM(BC60:BC72),2)</f>
        <v>0</v>
      </c>
      <c r="BD59" s="104">
        <f>ROUND(SUM(BD60:BD72),2)</f>
        <v>0</v>
      </c>
      <c r="BS59" s="105" t="s">
        <v>71</v>
      </c>
      <c r="BT59" s="105" t="s">
        <v>82</v>
      </c>
      <c r="BU59" s="105" t="s">
        <v>73</v>
      </c>
      <c r="BV59" s="105" t="s">
        <v>74</v>
      </c>
      <c r="BW59" s="105" t="s">
        <v>96</v>
      </c>
      <c r="BX59" s="105" t="s">
        <v>80</v>
      </c>
      <c r="CL59" s="105" t="s">
        <v>19</v>
      </c>
    </row>
    <row r="60" spans="1:91" s="4" customFormat="1" ht="16.5" customHeight="1">
      <c r="A60" s="98" t="s">
        <v>83</v>
      </c>
      <c r="B60" s="53"/>
      <c r="C60" s="99"/>
      <c r="D60" s="99"/>
      <c r="E60" s="99"/>
      <c r="F60" s="393" t="s">
        <v>97</v>
      </c>
      <c r="G60" s="393"/>
      <c r="H60" s="393"/>
      <c r="I60" s="393"/>
      <c r="J60" s="393"/>
      <c r="K60" s="99"/>
      <c r="L60" s="393" t="s">
        <v>98</v>
      </c>
      <c r="M60" s="393"/>
      <c r="N60" s="393"/>
      <c r="O60" s="393"/>
      <c r="P60" s="393"/>
      <c r="Q60" s="393"/>
      <c r="R60" s="393"/>
      <c r="S60" s="393"/>
      <c r="T60" s="393"/>
      <c r="U60" s="393"/>
      <c r="V60" s="393"/>
      <c r="W60" s="393"/>
      <c r="X60" s="393"/>
      <c r="Y60" s="393"/>
      <c r="Z60" s="393"/>
      <c r="AA60" s="393"/>
      <c r="AB60" s="393"/>
      <c r="AC60" s="393"/>
      <c r="AD60" s="393"/>
      <c r="AE60" s="393"/>
      <c r="AF60" s="393"/>
      <c r="AG60" s="384">
        <f>'01 - Kanceláře jih'!J34</f>
        <v>0</v>
      </c>
      <c r="AH60" s="385"/>
      <c r="AI60" s="385"/>
      <c r="AJ60" s="385"/>
      <c r="AK60" s="385"/>
      <c r="AL60" s="385"/>
      <c r="AM60" s="385"/>
      <c r="AN60" s="384">
        <f t="shared" si="0"/>
        <v>0</v>
      </c>
      <c r="AO60" s="385"/>
      <c r="AP60" s="385"/>
      <c r="AQ60" s="100" t="s">
        <v>86</v>
      </c>
      <c r="AR60" s="55"/>
      <c r="AS60" s="101">
        <v>0</v>
      </c>
      <c r="AT60" s="102">
        <f t="shared" si="1"/>
        <v>0</v>
      </c>
      <c r="AU60" s="103">
        <f>'01 - Kanceláře jih'!P95</f>
        <v>0</v>
      </c>
      <c r="AV60" s="102">
        <f>'01 - Kanceláře jih'!J37</f>
        <v>0</v>
      </c>
      <c r="AW60" s="102">
        <f>'01 - Kanceláře jih'!J38</f>
        <v>0</v>
      </c>
      <c r="AX60" s="102">
        <f>'01 - Kanceláře jih'!J39</f>
        <v>0</v>
      </c>
      <c r="AY60" s="102">
        <f>'01 - Kanceláře jih'!J40</f>
        <v>0</v>
      </c>
      <c r="AZ60" s="102">
        <f>'01 - Kanceláře jih'!F37</f>
        <v>0</v>
      </c>
      <c r="BA60" s="102">
        <f>'01 - Kanceláře jih'!F38</f>
        <v>0</v>
      </c>
      <c r="BB60" s="102">
        <f>'01 - Kanceláře jih'!F39</f>
        <v>0</v>
      </c>
      <c r="BC60" s="102">
        <f>'01 - Kanceláře jih'!F40</f>
        <v>0</v>
      </c>
      <c r="BD60" s="104">
        <f>'01 - Kanceláře jih'!F41</f>
        <v>0</v>
      </c>
      <c r="BT60" s="105" t="s">
        <v>99</v>
      </c>
      <c r="BV60" s="105" t="s">
        <v>74</v>
      </c>
      <c r="BW60" s="105" t="s">
        <v>100</v>
      </c>
      <c r="BX60" s="105" t="s">
        <v>96</v>
      </c>
      <c r="CL60" s="105" t="s">
        <v>19</v>
      </c>
    </row>
    <row r="61" spans="1:91" s="4" customFormat="1" ht="16.5" customHeight="1">
      <c r="A61" s="98" t="s">
        <v>83</v>
      </c>
      <c r="B61" s="53"/>
      <c r="C61" s="99"/>
      <c r="D61" s="99"/>
      <c r="E61" s="99"/>
      <c r="F61" s="393" t="s">
        <v>101</v>
      </c>
      <c r="G61" s="393"/>
      <c r="H61" s="393"/>
      <c r="I61" s="393"/>
      <c r="J61" s="393"/>
      <c r="K61" s="99"/>
      <c r="L61" s="393" t="s">
        <v>102</v>
      </c>
      <c r="M61" s="393"/>
      <c r="N61" s="393"/>
      <c r="O61" s="393"/>
      <c r="P61" s="393"/>
      <c r="Q61" s="393"/>
      <c r="R61" s="393"/>
      <c r="S61" s="393"/>
      <c r="T61" s="393"/>
      <c r="U61" s="393"/>
      <c r="V61" s="393"/>
      <c r="W61" s="393"/>
      <c r="X61" s="393"/>
      <c r="Y61" s="393"/>
      <c r="Z61" s="393"/>
      <c r="AA61" s="393"/>
      <c r="AB61" s="393"/>
      <c r="AC61" s="393"/>
      <c r="AD61" s="393"/>
      <c r="AE61" s="393"/>
      <c r="AF61" s="393"/>
      <c r="AG61" s="384">
        <f>'02 - Badatelna a kancelář'!J34</f>
        <v>0</v>
      </c>
      <c r="AH61" s="385"/>
      <c r="AI61" s="385"/>
      <c r="AJ61" s="385"/>
      <c r="AK61" s="385"/>
      <c r="AL61" s="385"/>
      <c r="AM61" s="385"/>
      <c r="AN61" s="384">
        <f t="shared" si="0"/>
        <v>0</v>
      </c>
      <c r="AO61" s="385"/>
      <c r="AP61" s="385"/>
      <c r="AQ61" s="100" t="s">
        <v>86</v>
      </c>
      <c r="AR61" s="55"/>
      <c r="AS61" s="101">
        <v>0</v>
      </c>
      <c r="AT61" s="102">
        <f t="shared" si="1"/>
        <v>0</v>
      </c>
      <c r="AU61" s="103">
        <f>'02 - Badatelna a kancelář'!P96</f>
        <v>0</v>
      </c>
      <c r="AV61" s="102">
        <f>'02 - Badatelna a kancelář'!J37</f>
        <v>0</v>
      </c>
      <c r="AW61" s="102">
        <f>'02 - Badatelna a kancelář'!J38</f>
        <v>0</v>
      </c>
      <c r="AX61" s="102">
        <f>'02 - Badatelna a kancelář'!J39</f>
        <v>0</v>
      </c>
      <c r="AY61" s="102">
        <f>'02 - Badatelna a kancelář'!J40</f>
        <v>0</v>
      </c>
      <c r="AZ61" s="102">
        <f>'02 - Badatelna a kancelář'!F37</f>
        <v>0</v>
      </c>
      <c r="BA61" s="102">
        <f>'02 - Badatelna a kancelář'!F38</f>
        <v>0</v>
      </c>
      <c r="BB61" s="102">
        <f>'02 - Badatelna a kancelář'!F39</f>
        <v>0</v>
      </c>
      <c r="BC61" s="102">
        <f>'02 - Badatelna a kancelář'!F40</f>
        <v>0</v>
      </c>
      <c r="BD61" s="104">
        <f>'02 - Badatelna a kancelář'!F41</f>
        <v>0</v>
      </c>
      <c r="BT61" s="105" t="s">
        <v>99</v>
      </c>
      <c r="BV61" s="105" t="s">
        <v>74</v>
      </c>
      <c r="BW61" s="105" t="s">
        <v>103</v>
      </c>
      <c r="BX61" s="105" t="s">
        <v>96</v>
      </c>
      <c r="CL61" s="105" t="s">
        <v>19</v>
      </c>
    </row>
    <row r="62" spans="1:91" s="4" customFormat="1" ht="16.5" customHeight="1">
      <c r="A62" s="98" t="s">
        <v>83</v>
      </c>
      <c r="B62" s="53"/>
      <c r="C62" s="99"/>
      <c r="D62" s="99"/>
      <c r="E62" s="99"/>
      <c r="F62" s="393" t="s">
        <v>104</v>
      </c>
      <c r="G62" s="393"/>
      <c r="H62" s="393"/>
      <c r="I62" s="393"/>
      <c r="J62" s="393"/>
      <c r="K62" s="99"/>
      <c r="L62" s="393" t="s">
        <v>105</v>
      </c>
      <c r="M62" s="393"/>
      <c r="N62" s="393"/>
      <c r="O62" s="393"/>
      <c r="P62" s="393"/>
      <c r="Q62" s="393"/>
      <c r="R62" s="393"/>
      <c r="S62" s="393"/>
      <c r="T62" s="393"/>
      <c r="U62" s="393"/>
      <c r="V62" s="393"/>
      <c r="W62" s="393"/>
      <c r="X62" s="393"/>
      <c r="Y62" s="393"/>
      <c r="Z62" s="393"/>
      <c r="AA62" s="393"/>
      <c r="AB62" s="393"/>
      <c r="AC62" s="393"/>
      <c r="AD62" s="393"/>
      <c r="AE62" s="393"/>
      <c r="AF62" s="393"/>
      <c r="AG62" s="384">
        <f>'03 - Konferenční sál'!J34</f>
        <v>0</v>
      </c>
      <c r="AH62" s="385"/>
      <c r="AI62" s="385"/>
      <c r="AJ62" s="385"/>
      <c r="AK62" s="385"/>
      <c r="AL62" s="385"/>
      <c r="AM62" s="385"/>
      <c r="AN62" s="384">
        <f t="shared" si="0"/>
        <v>0</v>
      </c>
      <c r="AO62" s="385"/>
      <c r="AP62" s="385"/>
      <c r="AQ62" s="100" t="s">
        <v>86</v>
      </c>
      <c r="AR62" s="55"/>
      <c r="AS62" s="101">
        <v>0</v>
      </c>
      <c r="AT62" s="102">
        <f t="shared" si="1"/>
        <v>0</v>
      </c>
      <c r="AU62" s="103">
        <f>'03 - Konferenční sál'!P96</f>
        <v>0</v>
      </c>
      <c r="AV62" s="102">
        <f>'03 - Konferenční sál'!J37</f>
        <v>0</v>
      </c>
      <c r="AW62" s="102">
        <f>'03 - Konferenční sál'!J38</f>
        <v>0</v>
      </c>
      <c r="AX62" s="102">
        <f>'03 - Konferenční sál'!J39</f>
        <v>0</v>
      </c>
      <c r="AY62" s="102">
        <f>'03 - Konferenční sál'!J40</f>
        <v>0</v>
      </c>
      <c r="AZ62" s="102">
        <f>'03 - Konferenční sál'!F37</f>
        <v>0</v>
      </c>
      <c r="BA62" s="102">
        <f>'03 - Konferenční sál'!F38</f>
        <v>0</v>
      </c>
      <c r="BB62" s="102">
        <f>'03 - Konferenční sál'!F39</f>
        <v>0</v>
      </c>
      <c r="BC62" s="102">
        <f>'03 - Konferenční sál'!F40</f>
        <v>0</v>
      </c>
      <c r="BD62" s="104">
        <f>'03 - Konferenční sál'!F41</f>
        <v>0</v>
      </c>
      <c r="BT62" s="105" t="s">
        <v>99</v>
      </c>
      <c r="BV62" s="105" t="s">
        <v>74</v>
      </c>
      <c r="BW62" s="105" t="s">
        <v>106</v>
      </c>
      <c r="BX62" s="105" t="s">
        <v>96</v>
      </c>
      <c r="CL62" s="105" t="s">
        <v>19</v>
      </c>
    </row>
    <row r="63" spans="1:91" s="4" customFormat="1" ht="16.5" customHeight="1">
      <c r="A63" s="98" t="s">
        <v>83</v>
      </c>
      <c r="B63" s="53"/>
      <c r="C63" s="99"/>
      <c r="D63" s="99"/>
      <c r="E63" s="99"/>
      <c r="F63" s="393" t="s">
        <v>107</v>
      </c>
      <c r="G63" s="393"/>
      <c r="H63" s="393"/>
      <c r="I63" s="393"/>
      <c r="J63" s="393"/>
      <c r="K63" s="99"/>
      <c r="L63" s="393" t="s">
        <v>108</v>
      </c>
      <c r="M63" s="393"/>
      <c r="N63" s="393"/>
      <c r="O63" s="393"/>
      <c r="P63" s="393"/>
      <c r="Q63" s="393"/>
      <c r="R63" s="393"/>
      <c r="S63" s="393"/>
      <c r="T63" s="393"/>
      <c r="U63" s="393"/>
      <c r="V63" s="393"/>
      <c r="W63" s="393"/>
      <c r="X63" s="393"/>
      <c r="Y63" s="393"/>
      <c r="Z63" s="393"/>
      <c r="AA63" s="393"/>
      <c r="AB63" s="393"/>
      <c r="AC63" s="393"/>
      <c r="AD63" s="393"/>
      <c r="AE63" s="393"/>
      <c r="AF63" s="393"/>
      <c r="AG63" s="384">
        <f>'04 - Kanceláře východ a p...'!J34</f>
        <v>0</v>
      </c>
      <c r="AH63" s="385"/>
      <c r="AI63" s="385"/>
      <c r="AJ63" s="385"/>
      <c r="AK63" s="385"/>
      <c r="AL63" s="385"/>
      <c r="AM63" s="385"/>
      <c r="AN63" s="384">
        <f t="shared" si="0"/>
        <v>0</v>
      </c>
      <c r="AO63" s="385"/>
      <c r="AP63" s="385"/>
      <c r="AQ63" s="100" t="s">
        <v>86</v>
      </c>
      <c r="AR63" s="55"/>
      <c r="AS63" s="101">
        <v>0</v>
      </c>
      <c r="AT63" s="102">
        <f t="shared" si="1"/>
        <v>0</v>
      </c>
      <c r="AU63" s="103">
        <f>'04 - Kanceláře východ a p...'!P96</f>
        <v>0</v>
      </c>
      <c r="AV63" s="102">
        <f>'04 - Kanceláře východ a p...'!J37</f>
        <v>0</v>
      </c>
      <c r="AW63" s="102">
        <f>'04 - Kanceláře východ a p...'!J38</f>
        <v>0</v>
      </c>
      <c r="AX63" s="102">
        <f>'04 - Kanceláře východ a p...'!J39</f>
        <v>0</v>
      </c>
      <c r="AY63" s="102">
        <f>'04 - Kanceláře východ a p...'!J40</f>
        <v>0</v>
      </c>
      <c r="AZ63" s="102">
        <f>'04 - Kanceláře východ a p...'!F37</f>
        <v>0</v>
      </c>
      <c r="BA63" s="102">
        <f>'04 - Kanceláře východ a p...'!F38</f>
        <v>0</v>
      </c>
      <c r="BB63" s="102">
        <f>'04 - Kanceláře východ a p...'!F39</f>
        <v>0</v>
      </c>
      <c r="BC63" s="102">
        <f>'04 - Kanceláře východ a p...'!F40</f>
        <v>0</v>
      </c>
      <c r="BD63" s="104">
        <f>'04 - Kanceláře východ a p...'!F41</f>
        <v>0</v>
      </c>
      <c r="BT63" s="105" t="s">
        <v>99</v>
      </c>
      <c r="BV63" s="105" t="s">
        <v>74</v>
      </c>
      <c r="BW63" s="105" t="s">
        <v>109</v>
      </c>
      <c r="BX63" s="105" t="s">
        <v>96</v>
      </c>
      <c r="CL63" s="105" t="s">
        <v>19</v>
      </c>
    </row>
    <row r="64" spans="1:91" s="4" customFormat="1" ht="16.5" customHeight="1">
      <c r="A64" s="98" t="s">
        <v>83</v>
      </c>
      <c r="B64" s="53"/>
      <c r="C64" s="99"/>
      <c r="D64" s="99"/>
      <c r="E64" s="99"/>
      <c r="F64" s="393" t="s">
        <v>110</v>
      </c>
      <c r="G64" s="393"/>
      <c r="H64" s="393"/>
      <c r="I64" s="393"/>
      <c r="J64" s="393"/>
      <c r="K64" s="99"/>
      <c r="L64" s="393" t="s">
        <v>111</v>
      </c>
      <c r="M64" s="393"/>
      <c r="N64" s="393"/>
      <c r="O64" s="393"/>
      <c r="P64" s="393"/>
      <c r="Q64" s="393"/>
      <c r="R64" s="393"/>
      <c r="S64" s="393"/>
      <c r="T64" s="393"/>
      <c r="U64" s="393"/>
      <c r="V64" s="393"/>
      <c r="W64" s="393"/>
      <c r="X64" s="393"/>
      <c r="Y64" s="393"/>
      <c r="Z64" s="393"/>
      <c r="AA64" s="393"/>
      <c r="AB64" s="393"/>
      <c r="AC64" s="393"/>
      <c r="AD64" s="393"/>
      <c r="AE64" s="393"/>
      <c r="AF64" s="393"/>
      <c r="AG64" s="384">
        <f>'06 - Hala 3.NP'!J34</f>
        <v>0</v>
      </c>
      <c r="AH64" s="385"/>
      <c r="AI64" s="385"/>
      <c r="AJ64" s="385"/>
      <c r="AK64" s="385"/>
      <c r="AL64" s="385"/>
      <c r="AM64" s="385"/>
      <c r="AN64" s="384">
        <f t="shared" si="0"/>
        <v>0</v>
      </c>
      <c r="AO64" s="385"/>
      <c r="AP64" s="385"/>
      <c r="AQ64" s="100" t="s">
        <v>86</v>
      </c>
      <c r="AR64" s="55"/>
      <c r="AS64" s="101">
        <v>0</v>
      </c>
      <c r="AT64" s="102">
        <f t="shared" si="1"/>
        <v>0</v>
      </c>
      <c r="AU64" s="103">
        <f>'06 - Hala 3.NP'!P95</f>
        <v>0</v>
      </c>
      <c r="AV64" s="102">
        <f>'06 - Hala 3.NP'!J37</f>
        <v>0</v>
      </c>
      <c r="AW64" s="102">
        <f>'06 - Hala 3.NP'!J38</f>
        <v>0</v>
      </c>
      <c r="AX64" s="102">
        <f>'06 - Hala 3.NP'!J39</f>
        <v>0</v>
      </c>
      <c r="AY64" s="102">
        <f>'06 - Hala 3.NP'!J40</f>
        <v>0</v>
      </c>
      <c r="AZ64" s="102">
        <f>'06 - Hala 3.NP'!F37</f>
        <v>0</v>
      </c>
      <c r="BA64" s="102">
        <f>'06 - Hala 3.NP'!F38</f>
        <v>0</v>
      </c>
      <c r="BB64" s="102">
        <f>'06 - Hala 3.NP'!F39</f>
        <v>0</v>
      </c>
      <c r="BC64" s="102">
        <f>'06 - Hala 3.NP'!F40</f>
        <v>0</v>
      </c>
      <c r="BD64" s="104">
        <f>'06 - Hala 3.NP'!F41</f>
        <v>0</v>
      </c>
      <c r="BT64" s="105" t="s">
        <v>99</v>
      </c>
      <c r="BV64" s="105" t="s">
        <v>74</v>
      </c>
      <c r="BW64" s="105" t="s">
        <v>112</v>
      </c>
      <c r="BX64" s="105" t="s">
        <v>96</v>
      </c>
      <c r="CL64" s="105" t="s">
        <v>19</v>
      </c>
    </row>
    <row r="65" spans="1:90" s="4" customFormat="1" ht="16.5" customHeight="1">
      <c r="A65" s="98" t="s">
        <v>83</v>
      </c>
      <c r="B65" s="53"/>
      <c r="C65" s="99"/>
      <c r="D65" s="99"/>
      <c r="E65" s="99"/>
      <c r="F65" s="393" t="s">
        <v>113</v>
      </c>
      <c r="G65" s="393"/>
      <c r="H65" s="393"/>
      <c r="I65" s="393"/>
      <c r="J65" s="393"/>
      <c r="K65" s="99"/>
      <c r="L65" s="393" t="s">
        <v>114</v>
      </c>
      <c r="M65" s="393"/>
      <c r="N65" s="393"/>
      <c r="O65" s="393"/>
      <c r="P65" s="393"/>
      <c r="Q65" s="393"/>
      <c r="R65" s="393"/>
      <c r="S65" s="393"/>
      <c r="T65" s="393"/>
      <c r="U65" s="393"/>
      <c r="V65" s="393"/>
      <c r="W65" s="393"/>
      <c r="X65" s="393"/>
      <c r="Y65" s="393"/>
      <c r="Z65" s="393"/>
      <c r="AA65" s="393"/>
      <c r="AB65" s="393"/>
      <c r="AC65" s="393"/>
      <c r="AD65" s="393"/>
      <c r="AE65" s="393"/>
      <c r="AF65" s="393"/>
      <c r="AG65" s="384">
        <f>'07 - Větrání depozitářů'!J34</f>
        <v>0</v>
      </c>
      <c r="AH65" s="385"/>
      <c r="AI65" s="385"/>
      <c r="AJ65" s="385"/>
      <c r="AK65" s="385"/>
      <c r="AL65" s="385"/>
      <c r="AM65" s="385"/>
      <c r="AN65" s="384">
        <f t="shared" si="0"/>
        <v>0</v>
      </c>
      <c r="AO65" s="385"/>
      <c r="AP65" s="385"/>
      <c r="AQ65" s="100" t="s">
        <v>86</v>
      </c>
      <c r="AR65" s="55"/>
      <c r="AS65" s="101">
        <v>0</v>
      </c>
      <c r="AT65" s="102">
        <f t="shared" si="1"/>
        <v>0</v>
      </c>
      <c r="AU65" s="103">
        <f>'07 - Větrání depozitářů'!P95</f>
        <v>0</v>
      </c>
      <c r="AV65" s="102">
        <f>'07 - Větrání depozitářů'!J37</f>
        <v>0</v>
      </c>
      <c r="AW65" s="102">
        <f>'07 - Větrání depozitářů'!J38</f>
        <v>0</v>
      </c>
      <c r="AX65" s="102">
        <f>'07 - Větrání depozitářů'!J39</f>
        <v>0</v>
      </c>
      <c r="AY65" s="102">
        <f>'07 - Větrání depozitářů'!J40</f>
        <v>0</v>
      </c>
      <c r="AZ65" s="102">
        <f>'07 - Větrání depozitářů'!F37</f>
        <v>0</v>
      </c>
      <c r="BA65" s="102">
        <f>'07 - Větrání depozitářů'!F38</f>
        <v>0</v>
      </c>
      <c r="BB65" s="102">
        <f>'07 - Větrání depozitářů'!F39</f>
        <v>0</v>
      </c>
      <c r="BC65" s="102">
        <f>'07 - Větrání depozitářů'!F40</f>
        <v>0</v>
      </c>
      <c r="BD65" s="104">
        <f>'07 - Větrání depozitářů'!F41</f>
        <v>0</v>
      </c>
      <c r="BT65" s="105" t="s">
        <v>99</v>
      </c>
      <c r="BV65" s="105" t="s">
        <v>74</v>
      </c>
      <c r="BW65" s="105" t="s">
        <v>115</v>
      </c>
      <c r="BX65" s="105" t="s">
        <v>96</v>
      </c>
      <c r="CL65" s="105" t="s">
        <v>19</v>
      </c>
    </row>
    <row r="66" spans="1:90" s="4" customFormat="1" ht="23.25" customHeight="1">
      <c r="A66" s="98" t="s">
        <v>83</v>
      </c>
      <c r="B66" s="53"/>
      <c r="C66" s="99"/>
      <c r="D66" s="99"/>
      <c r="E66" s="99"/>
      <c r="F66" s="393" t="s">
        <v>116</v>
      </c>
      <c r="G66" s="393"/>
      <c r="H66" s="393"/>
      <c r="I66" s="393"/>
      <c r="J66" s="393"/>
      <c r="K66" s="99"/>
      <c r="L66" s="393" t="s">
        <v>117</v>
      </c>
      <c r="M66" s="393"/>
      <c r="N66" s="393"/>
      <c r="O66" s="393"/>
      <c r="P66" s="393"/>
      <c r="Q66" s="393"/>
      <c r="R66" s="393"/>
      <c r="S66" s="393"/>
      <c r="T66" s="393"/>
      <c r="U66" s="393"/>
      <c r="V66" s="393"/>
      <c r="W66" s="393"/>
      <c r="X66" s="393"/>
      <c r="Y66" s="393"/>
      <c r="Z66" s="393"/>
      <c r="AA66" s="393"/>
      <c r="AB66" s="393"/>
      <c r="AC66" s="393"/>
      <c r="AD66" s="393"/>
      <c r="AE66" s="393"/>
      <c r="AF66" s="393"/>
      <c r="AG66" s="384">
        <f>'08 - Odvětrání hyg. zázem...'!J34</f>
        <v>0</v>
      </c>
      <c r="AH66" s="385"/>
      <c r="AI66" s="385"/>
      <c r="AJ66" s="385"/>
      <c r="AK66" s="385"/>
      <c r="AL66" s="385"/>
      <c r="AM66" s="385"/>
      <c r="AN66" s="384">
        <f t="shared" si="0"/>
        <v>0</v>
      </c>
      <c r="AO66" s="385"/>
      <c r="AP66" s="385"/>
      <c r="AQ66" s="100" t="s">
        <v>86</v>
      </c>
      <c r="AR66" s="55"/>
      <c r="AS66" s="101">
        <v>0</v>
      </c>
      <c r="AT66" s="102">
        <f t="shared" si="1"/>
        <v>0</v>
      </c>
      <c r="AU66" s="103">
        <f>'08 - Odvětrání hyg. zázem...'!P95</f>
        <v>0</v>
      </c>
      <c r="AV66" s="102">
        <f>'08 - Odvětrání hyg. zázem...'!J37</f>
        <v>0</v>
      </c>
      <c r="AW66" s="102">
        <f>'08 - Odvětrání hyg. zázem...'!J38</f>
        <v>0</v>
      </c>
      <c r="AX66" s="102">
        <f>'08 - Odvětrání hyg. zázem...'!J39</f>
        <v>0</v>
      </c>
      <c r="AY66" s="102">
        <f>'08 - Odvětrání hyg. zázem...'!J40</f>
        <v>0</v>
      </c>
      <c r="AZ66" s="102">
        <f>'08 - Odvětrání hyg. zázem...'!F37</f>
        <v>0</v>
      </c>
      <c r="BA66" s="102">
        <f>'08 - Odvětrání hyg. zázem...'!F38</f>
        <v>0</v>
      </c>
      <c r="BB66" s="102">
        <f>'08 - Odvětrání hyg. zázem...'!F39</f>
        <v>0</v>
      </c>
      <c r="BC66" s="102">
        <f>'08 - Odvětrání hyg. zázem...'!F40</f>
        <v>0</v>
      </c>
      <c r="BD66" s="104">
        <f>'08 - Odvětrání hyg. zázem...'!F41</f>
        <v>0</v>
      </c>
      <c r="BT66" s="105" t="s">
        <v>99</v>
      </c>
      <c r="BV66" s="105" t="s">
        <v>74</v>
      </c>
      <c r="BW66" s="105" t="s">
        <v>118</v>
      </c>
      <c r="BX66" s="105" t="s">
        <v>96</v>
      </c>
      <c r="CL66" s="105" t="s">
        <v>19</v>
      </c>
    </row>
    <row r="67" spans="1:90" s="4" customFormat="1" ht="16.5" customHeight="1">
      <c r="A67" s="98" t="s">
        <v>83</v>
      </c>
      <c r="B67" s="53"/>
      <c r="C67" s="99"/>
      <c r="D67" s="99"/>
      <c r="E67" s="99"/>
      <c r="F67" s="393" t="s">
        <v>119</v>
      </c>
      <c r="G67" s="393"/>
      <c r="H67" s="393"/>
      <c r="I67" s="393"/>
      <c r="J67" s="393"/>
      <c r="K67" s="99"/>
      <c r="L67" s="393" t="s">
        <v>120</v>
      </c>
      <c r="M67" s="393"/>
      <c r="N67" s="393"/>
      <c r="O67" s="393"/>
      <c r="P67" s="393"/>
      <c r="Q67" s="393"/>
      <c r="R67" s="393"/>
      <c r="S67" s="393"/>
      <c r="T67" s="393"/>
      <c r="U67" s="393"/>
      <c r="V67" s="393"/>
      <c r="W67" s="393"/>
      <c r="X67" s="393"/>
      <c r="Y67" s="393"/>
      <c r="Z67" s="393"/>
      <c r="AA67" s="393"/>
      <c r="AB67" s="393"/>
      <c r="AC67" s="393"/>
      <c r="AD67" s="393"/>
      <c r="AE67" s="393"/>
      <c r="AF67" s="393"/>
      <c r="AG67" s="384">
        <f>'09 - Odvětrání hyg. zázemí'!J34</f>
        <v>0</v>
      </c>
      <c r="AH67" s="385"/>
      <c r="AI67" s="385"/>
      <c r="AJ67" s="385"/>
      <c r="AK67" s="385"/>
      <c r="AL67" s="385"/>
      <c r="AM67" s="385"/>
      <c r="AN67" s="384">
        <f t="shared" si="0"/>
        <v>0</v>
      </c>
      <c r="AO67" s="385"/>
      <c r="AP67" s="385"/>
      <c r="AQ67" s="100" t="s">
        <v>86</v>
      </c>
      <c r="AR67" s="55"/>
      <c r="AS67" s="101">
        <v>0</v>
      </c>
      <c r="AT67" s="102">
        <f t="shared" si="1"/>
        <v>0</v>
      </c>
      <c r="AU67" s="103">
        <f>'09 - Odvětrání hyg. zázemí'!P95</f>
        <v>0</v>
      </c>
      <c r="AV67" s="102">
        <f>'09 - Odvětrání hyg. zázemí'!J37</f>
        <v>0</v>
      </c>
      <c r="AW67" s="102">
        <f>'09 - Odvětrání hyg. zázemí'!J38</f>
        <v>0</v>
      </c>
      <c r="AX67" s="102">
        <f>'09 - Odvětrání hyg. zázemí'!J39</f>
        <v>0</v>
      </c>
      <c r="AY67" s="102">
        <f>'09 - Odvětrání hyg. zázemí'!J40</f>
        <v>0</v>
      </c>
      <c r="AZ67" s="102">
        <f>'09 - Odvětrání hyg. zázemí'!F37</f>
        <v>0</v>
      </c>
      <c r="BA67" s="102">
        <f>'09 - Odvětrání hyg. zázemí'!F38</f>
        <v>0</v>
      </c>
      <c r="BB67" s="102">
        <f>'09 - Odvětrání hyg. zázemí'!F39</f>
        <v>0</v>
      </c>
      <c r="BC67" s="102">
        <f>'09 - Odvětrání hyg. zázemí'!F40</f>
        <v>0</v>
      </c>
      <c r="BD67" s="104">
        <f>'09 - Odvětrání hyg. zázemí'!F41</f>
        <v>0</v>
      </c>
      <c r="BT67" s="105" t="s">
        <v>99</v>
      </c>
      <c r="BV67" s="105" t="s">
        <v>74</v>
      </c>
      <c r="BW67" s="105" t="s">
        <v>121</v>
      </c>
      <c r="BX67" s="105" t="s">
        <v>96</v>
      </c>
      <c r="CL67" s="105" t="s">
        <v>19</v>
      </c>
    </row>
    <row r="68" spans="1:90" s="4" customFormat="1" ht="16.5" customHeight="1">
      <c r="A68" s="98" t="s">
        <v>83</v>
      </c>
      <c r="B68" s="53"/>
      <c r="C68" s="99"/>
      <c r="D68" s="99"/>
      <c r="E68" s="99"/>
      <c r="F68" s="393" t="s">
        <v>122</v>
      </c>
      <c r="G68" s="393"/>
      <c r="H68" s="393"/>
      <c r="I68" s="393"/>
      <c r="J68" s="393"/>
      <c r="K68" s="99"/>
      <c r="L68" s="393" t="s">
        <v>123</v>
      </c>
      <c r="M68" s="393"/>
      <c r="N68" s="393"/>
      <c r="O68" s="393"/>
      <c r="P68" s="393"/>
      <c r="Q68" s="393"/>
      <c r="R68" s="393"/>
      <c r="S68" s="393"/>
      <c r="T68" s="393"/>
      <c r="U68" s="393"/>
      <c r="V68" s="393"/>
      <c r="W68" s="393"/>
      <c r="X68" s="393"/>
      <c r="Y68" s="393"/>
      <c r="Z68" s="393"/>
      <c r="AA68" s="393"/>
      <c r="AB68" s="393"/>
      <c r="AC68" s="393"/>
      <c r="AD68" s="393"/>
      <c r="AE68" s="393"/>
      <c r="AF68" s="393"/>
      <c r="AG68" s="384">
        <f>'10 - Odvětrání kotelny'!J34</f>
        <v>0</v>
      </c>
      <c r="AH68" s="385"/>
      <c r="AI68" s="385"/>
      <c r="AJ68" s="385"/>
      <c r="AK68" s="385"/>
      <c r="AL68" s="385"/>
      <c r="AM68" s="385"/>
      <c r="AN68" s="384">
        <f t="shared" si="0"/>
        <v>0</v>
      </c>
      <c r="AO68" s="385"/>
      <c r="AP68" s="385"/>
      <c r="AQ68" s="100" t="s">
        <v>86</v>
      </c>
      <c r="AR68" s="55"/>
      <c r="AS68" s="101">
        <v>0</v>
      </c>
      <c r="AT68" s="102">
        <f t="shared" si="1"/>
        <v>0</v>
      </c>
      <c r="AU68" s="103">
        <f>'10 - Odvětrání kotelny'!P95</f>
        <v>0</v>
      </c>
      <c r="AV68" s="102">
        <f>'10 - Odvětrání kotelny'!J37</f>
        <v>0</v>
      </c>
      <c r="AW68" s="102">
        <f>'10 - Odvětrání kotelny'!J38</f>
        <v>0</v>
      </c>
      <c r="AX68" s="102">
        <f>'10 - Odvětrání kotelny'!J39</f>
        <v>0</v>
      </c>
      <c r="AY68" s="102">
        <f>'10 - Odvětrání kotelny'!J40</f>
        <v>0</v>
      </c>
      <c r="AZ68" s="102">
        <f>'10 - Odvětrání kotelny'!F37</f>
        <v>0</v>
      </c>
      <c r="BA68" s="102">
        <f>'10 - Odvětrání kotelny'!F38</f>
        <v>0</v>
      </c>
      <c r="BB68" s="102">
        <f>'10 - Odvětrání kotelny'!F39</f>
        <v>0</v>
      </c>
      <c r="BC68" s="102">
        <f>'10 - Odvětrání kotelny'!F40</f>
        <v>0</v>
      </c>
      <c r="BD68" s="104">
        <f>'10 - Odvětrání kotelny'!F41</f>
        <v>0</v>
      </c>
      <c r="BT68" s="105" t="s">
        <v>99</v>
      </c>
      <c r="BV68" s="105" t="s">
        <v>74</v>
      </c>
      <c r="BW68" s="105" t="s">
        <v>124</v>
      </c>
      <c r="BX68" s="105" t="s">
        <v>96</v>
      </c>
      <c r="CL68" s="105" t="s">
        <v>19</v>
      </c>
    </row>
    <row r="69" spans="1:90" s="4" customFormat="1" ht="16.5" customHeight="1">
      <c r="A69" s="98" t="s">
        <v>83</v>
      </c>
      <c r="B69" s="53"/>
      <c r="C69" s="99"/>
      <c r="D69" s="99"/>
      <c r="E69" s="99"/>
      <c r="F69" s="393" t="s">
        <v>125</v>
      </c>
      <c r="G69" s="393"/>
      <c r="H69" s="393"/>
      <c r="I69" s="393"/>
      <c r="J69" s="393"/>
      <c r="K69" s="99"/>
      <c r="L69" s="393" t="s">
        <v>126</v>
      </c>
      <c r="M69" s="393"/>
      <c r="N69" s="393"/>
      <c r="O69" s="393"/>
      <c r="P69" s="393"/>
      <c r="Q69" s="393"/>
      <c r="R69" s="393"/>
      <c r="S69" s="393"/>
      <c r="T69" s="393"/>
      <c r="U69" s="393"/>
      <c r="V69" s="393"/>
      <c r="W69" s="393"/>
      <c r="X69" s="393"/>
      <c r="Y69" s="393"/>
      <c r="Z69" s="393"/>
      <c r="AA69" s="393"/>
      <c r="AB69" s="393"/>
      <c r="AC69" s="393"/>
      <c r="AD69" s="393"/>
      <c r="AE69" s="393"/>
      <c r="AF69" s="393"/>
      <c r="AG69" s="384">
        <f>'11 - Odvětrání serverů'!J34</f>
        <v>0</v>
      </c>
      <c r="AH69" s="385"/>
      <c r="AI69" s="385"/>
      <c r="AJ69" s="385"/>
      <c r="AK69" s="385"/>
      <c r="AL69" s="385"/>
      <c r="AM69" s="385"/>
      <c r="AN69" s="384">
        <f t="shared" si="0"/>
        <v>0</v>
      </c>
      <c r="AO69" s="385"/>
      <c r="AP69" s="385"/>
      <c r="AQ69" s="100" t="s">
        <v>86</v>
      </c>
      <c r="AR69" s="55"/>
      <c r="AS69" s="101">
        <v>0</v>
      </c>
      <c r="AT69" s="102">
        <f t="shared" si="1"/>
        <v>0</v>
      </c>
      <c r="AU69" s="103">
        <f>'11 - Odvětrání serverů'!P95</f>
        <v>0</v>
      </c>
      <c r="AV69" s="102">
        <f>'11 - Odvětrání serverů'!J37</f>
        <v>0</v>
      </c>
      <c r="AW69" s="102">
        <f>'11 - Odvětrání serverů'!J38</f>
        <v>0</v>
      </c>
      <c r="AX69" s="102">
        <f>'11 - Odvětrání serverů'!J39</f>
        <v>0</v>
      </c>
      <c r="AY69" s="102">
        <f>'11 - Odvětrání serverů'!J40</f>
        <v>0</v>
      </c>
      <c r="AZ69" s="102">
        <f>'11 - Odvětrání serverů'!F37</f>
        <v>0</v>
      </c>
      <c r="BA69" s="102">
        <f>'11 - Odvětrání serverů'!F38</f>
        <v>0</v>
      </c>
      <c r="BB69" s="102">
        <f>'11 - Odvětrání serverů'!F39</f>
        <v>0</v>
      </c>
      <c r="BC69" s="102">
        <f>'11 - Odvětrání serverů'!F40</f>
        <v>0</v>
      </c>
      <c r="BD69" s="104">
        <f>'11 - Odvětrání serverů'!F41</f>
        <v>0</v>
      </c>
      <c r="BT69" s="105" t="s">
        <v>99</v>
      </c>
      <c r="BV69" s="105" t="s">
        <v>74</v>
      </c>
      <c r="BW69" s="105" t="s">
        <v>127</v>
      </c>
      <c r="BX69" s="105" t="s">
        <v>96</v>
      </c>
      <c r="CL69" s="105" t="s">
        <v>19</v>
      </c>
    </row>
    <row r="70" spans="1:90" s="4" customFormat="1" ht="16.5" customHeight="1">
      <c r="A70" s="98" t="s">
        <v>83</v>
      </c>
      <c r="B70" s="53"/>
      <c r="C70" s="99"/>
      <c r="D70" s="99"/>
      <c r="E70" s="99"/>
      <c r="F70" s="393" t="s">
        <v>128</v>
      </c>
      <c r="G70" s="393"/>
      <c r="H70" s="393"/>
      <c r="I70" s="393"/>
      <c r="J70" s="393"/>
      <c r="K70" s="99"/>
      <c r="L70" s="393" t="s">
        <v>129</v>
      </c>
      <c r="M70" s="393"/>
      <c r="N70" s="393"/>
      <c r="O70" s="393"/>
      <c r="P70" s="393"/>
      <c r="Q70" s="393"/>
      <c r="R70" s="393"/>
      <c r="S70" s="393"/>
      <c r="T70" s="393"/>
      <c r="U70" s="393"/>
      <c r="V70" s="393"/>
      <c r="W70" s="393"/>
      <c r="X70" s="393"/>
      <c r="Y70" s="393"/>
      <c r="Z70" s="393"/>
      <c r="AA70" s="393"/>
      <c r="AB70" s="393"/>
      <c r="AC70" s="393"/>
      <c r="AD70" s="393"/>
      <c r="AE70" s="393"/>
      <c r="AF70" s="393"/>
      <c r="AG70" s="384">
        <f>'12 - Odvětrání technickýc...'!J34</f>
        <v>0</v>
      </c>
      <c r="AH70" s="385"/>
      <c r="AI70" s="385"/>
      <c r="AJ70" s="385"/>
      <c r="AK70" s="385"/>
      <c r="AL70" s="385"/>
      <c r="AM70" s="385"/>
      <c r="AN70" s="384">
        <f t="shared" si="0"/>
        <v>0</v>
      </c>
      <c r="AO70" s="385"/>
      <c r="AP70" s="385"/>
      <c r="AQ70" s="100" t="s">
        <v>86</v>
      </c>
      <c r="AR70" s="55"/>
      <c r="AS70" s="101">
        <v>0</v>
      </c>
      <c r="AT70" s="102">
        <f t="shared" si="1"/>
        <v>0</v>
      </c>
      <c r="AU70" s="103">
        <f>'12 - Odvětrání technickýc...'!P95</f>
        <v>0</v>
      </c>
      <c r="AV70" s="102">
        <f>'12 - Odvětrání technickýc...'!J37</f>
        <v>0</v>
      </c>
      <c r="AW70" s="102">
        <f>'12 - Odvětrání technickýc...'!J38</f>
        <v>0</v>
      </c>
      <c r="AX70" s="102">
        <f>'12 - Odvětrání technickýc...'!J39</f>
        <v>0</v>
      </c>
      <c r="AY70" s="102">
        <f>'12 - Odvětrání technickýc...'!J40</f>
        <v>0</v>
      </c>
      <c r="AZ70" s="102">
        <f>'12 - Odvětrání technickýc...'!F37</f>
        <v>0</v>
      </c>
      <c r="BA70" s="102">
        <f>'12 - Odvětrání technickýc...'!F38</f>
        <v>0</v>
      </c>
      <c r="BB70" s="102">
        <f>'12 - Odvětrání technickýc...'!F39</f>
        <v>0</v>
      </c>
      <c r="BC70" s="102">
        <f>'12 - Odvětrání technickýc...'!F40</f>
        <v>0</v>
      </c>
      <c r="BD70" s="104">
        <f>'12 - Odvětrání technickýc...'!F41</f>
        <v>0</v>
      </c>
      <c r="BT70" s="105" t="s">
        <v>99</v>
      </c>
      <c r="BV70" s="105" t="s">
        <v>74</v>
      </c>
      <c r="BW70" s="105" t="s">
        <v>130</v>
      </c>
      <c r="BX70" s="105" t="s">
        <v>96</v>
      </c>
      <c r="CL70" s="105" t="s">
        <v>19</v>
      </c>
    </row>
    <row r="71" spans="1:90" s="4" customFormat="1" ht="16.5" customHeight="1">
      <c r="A71" s="98" t="s">
        <v>83</v>
      </c>
      <c r="B71" s="53"/>
      <c r="C71" s="99"/>
      <c r="D71" s="99"/>
      <c r="E71" s="99"/>
      <c r="F71" s="393" t="s">
        <v>131</v>
      </c>
      <c r="G71" s="393"/>
      <c r="H71" s="393"/>
      <c r="I71" s="393"/>
      <c r="J71" s="393"/>
      <c r="K71" s="99"/>
      <c r="L71" s="393" t="s">
        <v>132</v>
      </c>
      <c r="M71" s="393"/>
      <c r="N71" s="393"/>
      <c r="O71" s="393"/>
      <c r="P71" s="393"/>
      <c r="Q71" s="393"/>
      <c r="R71" s="393"/>
      <c r="S71" s="393"/>
      <c r="T71" s="393"/>
      <c r="U71" s="393"/>
      <c r="V71" s="393"/>
      <c r="W71" s="393"/>
      <c r="X71" s="393"/>
      <c r="Y71" s="393"/>
      <c r="Z71" s="393"/>
      <c r="AA71" s="393"/>
      <c r="AB71" s="393"/>
      <c r="AC71" s="393"/>
      <c r="AD71" s="393"/>
      <c r="AE71" s="393"/>
      <c r="AF71" s="393"/>
      <c r="AG71" s="384">
        <f>'13 - Odvětrání technickýc...'!J34</f>
        <v>0</v>
      </c>
      <c r="AH71" s="385"/>
      <c r="AI71" s="385"/>
      <c r="AJ71" s="385"/>
      <c r="AK71" s="385"/>
      <c r="AL71" s="385"/>
      <c r="AM71" s="385"/>
      <c r="AN71" s="384">
        <f t="shared" si="0"/>
        <v>0</v>
      </c>
      <c r="AO71" s="385"/>
      <c r="AP71" s="385"/>
      <c r="AQ71" s="100" t="s">
        <v>86</v>
      </c>
      <c r="AR71" s="55"/>
      <c r="AS71" s="101">
        <v>0</v>
      </c>
      <c r="AT71" s="102">
        <f t="shared" si="1"/>
        <v>0</v>
      </c>
      <c r="AU71" s="103">
        <f>'13 - Odvětrání technickýc...'!P95</f>
        <v>0</v>
      </c>
      <c r="AV71" s="102">
        <f>'13 - Odvětrání technickýc...'!J37</f>
        <v>0</v>
      </c>
      <c r="AW71" s="102">
        <f>'13 - Odvětrání technickýc...'!J38</f>
        <v>0</v>
      </c>
      <c r="AX71" s="102">
        <f>'13 - Odvětrání technickýc...'!J39</f>
        <v>0</v>
      </c>
      <c r="AY71" s="102">
        <f>'13 - Odvětrání technickýc...'!J40</f>
        <v>0</v>
      </c>
      <c r="AZ71" s="102">
        <f>'13 - Odvětrání technickýc...'!F37</f>
        <v>0</v>
      </c>
      <c r="BA71" s="102">
        <f>'13 - Odvětrání technickýc...'!F38</f>
        <v>0</v>
      </c>
      <c r="BB71" s="102">
        <f>'13 - Odvětrání technickýc...'!F39</f>
        <v>0</v>
      </c>
      <c r="BC71" s="102">
        <f>'13 - Odvětrání technickýc...'!F40</f>
        <v>0</v>
      </c>
      <c r="BD71" s="104">
        <f>'13 - Odvětrání technickýc...'!F41</f>
        <v>0</v>
      </c>
      <c r="BT71" s="105" t="s">
        <v>99</v>
      </c>
      <c r="BV71" s="105" t="s">
        <v>74</v>
      </c>
      <c r="BW71" s="105" t="s">
        <v>133</v>
      </c>
      <c r="BX71" s="105" t="s">
        <v>96</v>
      </c>
      <c r="CL71" s="105" t="s">
        <v>19</v>
      </c>
    </row>
    <row r="72" spans="1:90" s="4" customFormat="1" ht="16.5" customHeight="1">
      <c r="A72" s="98" t="s">
        <v>83</v>
      </c>
      <c r="B72" s="53"/>
      <c r="C72" s="99"/>
      <c r="D72" s="99"/>
      <c r="E72" s="99"/>
      <c r="F72" s="393" t="s">
        <v>134</v>
      </c>
      <c r="G72" s="393"/>
      <c r="H72" s="393"/>
      <c r="I72" s="393"/>
      <c r="J72" s="393"/>
      <c r="K72" s="99"/>
      <c r="L72" s="393" t="s">
        <v>120</v>
      </c>
      <c r="M72" s="393"/>
      <c r="N72" s="393"/>
      <c r="O72" s="393"/>
      <c r="P72" s="393"/>
      <c r="Q72" s="393"/>
      <c r="R72" s="393"/>
      <c r="S72" s="393"/>
      <c r="T72" s="393"/>
      <c r="U72" s="393"/>
      <c r="V72" s="393"/>
      <c r="W72" s="393"/>
      <c r="X72" s="393"/>
      <c r="Y72" s="393"/>
      <c r="Z72" s="393"/>
      <c r="AA72" s="393"/>
      <c r="AB72" s="393"/>
      <c r="AC72" s="393"/>
      <c r="AD72" s="393"/>
      <c r="AE72" s="393"/>
      <c r="AF72" s="393"/>
      <c r="AG72" s="384">
        <f>'14 - Odvětrání hyg. zázemí'!J34</f>
        <v>0</v>
      </c>
      <c r="AH72" s="385"/>
      <c r="AI72" s="385"/>
      <c r="AJ72" s="385"/>
      <c r="AK72" s="385"/>
      <c r="AL72" s="385"/>
      <c r="AM72" s="385"/>
      <c r="AN72" s="384">
        <f t="shared" si="0"/>
        <v>0</v>
      </c>
      <c r="AO72" s="385"/>
      <c r="AP72" s="385"/>
      <c r="AQ72" s="100" t="s">
        <v>86</v>
      </c>
      <c r="AR72" s="55"/>
      <c r="AS72" s="101">
        <v>0</v>
      </c>
      <c r="AT72" s="102">
        <f t="shared" si="1"/>
        <v>0</v>
      </c>
      <c r="AU72" s="103">
        <f>'14 - Odvětrání hyg. zázemí'!P95</f>
        <v>0</v>
      </c>
      <c r="AV72" s="102">
        <f>'14 - Odvětrání hyg. zázemí'!J37</f>
        <v>0</v>
      </c>
      <c r="AW72" s="102">
        <f>'14 - Odvětrání hyg. zázemí'!J38</f>
        <v>0</v>
      </c>
      <c r="AX72" s="102">
        <f>'14 - Odvětrání hyg. zázemí'!J39</f>
        <v>0</v>
      </c>
      <c r="AY72" s="102">
        <f>'14 - Odvětrání hyg. zázemí'!J40</f>
        <v>0</v>
      </c>
      <c r="AZ72" s="102">
        <f>'14 - Odvětrání hyg. zázemí'!F37</f>
        <v>0</v>
      </c>
      <c r="BA72" s="102">
        <f>'14 - Odvětrání hyg. zázemí'!F38</f>
        <v>0</v>
      </c>
      <c r="BB72" s="102">
        <f>'14 - Odvětrání hyg. zázemí'!F39</f>
        <v>0</v>
      </c>
      <c r="BC72" s="102">
        <f>'14 - Odvětrání hyg. zázemí'!F40</f>
        <v>0</v>
      </c>
      <c r="BD72" s="104">
        <f>'14 - Odvětrání hyg. zázemí'!F41</f>
        <v>0</v>
      </c>
      <c r="BT72" s="105" t="s">
        <v>99</v>
      </c>
      <c r="BV72" s="105" t="s">
        <v>74</v>
      </c>
      <c r="BW72" s="105" t="s">
        <v>135</v>
      </c>
      <c r="BX72" s="105" t="s">
        <v>96</v>
      </c>
      <c r="CL72" s="105" t="s">
        <v>19</v>
      </c>
    </row>
    <row r="73" spans="1:90" s="4" customFormat="1" ht="23.25" customHeight="1">
      <c r="A73" s="98" t="s">
        <v>83</v>
      </c>
      <c r="B73" s="53"/>
      <c r="C73" s="99"/>
      <c r="D73" s="99"/>
      <c r="E73" s="393" t="s">
        <v>136</v>
      </c>
      <c r="F73" s="393"/>
      <c r="G73" s="393"/>
      <c r="H73" s="393"/>
      <c r="I73" s="393"/>
      <c r="J73" s="99"/>
      <c r="K73" s="393" t="s">
        <v>137</v>
      </c>
      <c r="L73" s="393"/>
      <c r="M73" s="393"/>
      <c r="N73" s="393"/>
      <c r="O73" s="393"/>
      <c r="P73" s="393"/>
      <c r="Q73" s="393"/>
      <c r="R73" s="393"/>
      <c r="S73" s="393"/>
      <c r="T73" s="393"/>
      <c r="U73" s="393"/>
      <c r="V73" s="393"/>
      <c r="W73" s="393"/>
      <c r="X73" s="393"/>
      <c r="Y73" s="393"/>
      <c r="Z73" s="393"/>
      <c r="AA73" s="393"/>
      <c r="AB73" s="393"/>
      <c r="AC73" s="393"/>
      <c r="AD73" s="393"/>
      <c r="AE73" s="393"/>
      <c r="AF73" s="393"/>
      <c r="AG73" s="384">
        <f>'SIL - ZAŘÍZENÍ SILNOPROUD...'!J32</f>
        <v>0</v>
      </c>
      <c r="AH73" s="385"/>
      <c r="AI73" s="385"/>
      <c r="AJ73" s="385"/>
      <c r="AK73" s="385"/>
      <c r="AL73" s="385"/>
      <c r="AM73" s="385"/>
      <c r="AN73" s="384">
        <f t="shared" si="0"/>
        <v>0</v>
      </c>
      <c r="AO73" s="385"/>
      <c r="AP73" s="385"/>
      <c r="AQ73" s="100" t="s">
        <v>86</v>
      </c>
      <c r="AR73" s="55"/>
      <c r="AS73" s="101">
        <v>0</v>
      </c>
      <c r="AT73" s="102">
        <f t="shared" si="1"/>
        <v>0</v>
      </c>
      <c r="AU73" s="103">
        <f>'SIL - ZAŘÍZENÍ SILNOPROUD...'!P92</f>
        <v>0</v>
      </c>
      <c r="AV73" s="102">
        <f>'SIL - ZAŘÍZENÍ SILNOPROUD...'!J35</f>
        <v>0</v>
      </c>
      <c r="AW73" s="102">
        <f>'SIL - ZAŘÍZENÍ SILNOPROUD...'!J36</f>
        <v>0</v>
      </c>
      <c r="AX73" s="102">
        <f>'SIL - ZAŘÍZENÍ SILNOPROUD...'!J37</f>
        <v>0</v>
      </c>
      <c r="AY73" s="102">
        <f>'SIL - ZAŘÍZENÍ SILNOPROUD...'!J38</f>
        <v>0</v>
      </c>
      <c r="AZ73" s="102">
        <f>'SIL - ZAŘÍZENÍ SILNOPROUD...'!F35</f>
        <v>0</v>
      </c>
      <c r="BA73" s="102">
        <f>'SIL - ZAŘÍZENÍ SILNOPROUD...'!F36</f>
        <v>0</v>
      </c>
      <c r="BB73" s="102">
        <f>'SIL - ZAŘÍZENÍ SILNOPROUD...'!F37</f>
        <v>0</v>
      </c>
      <c r="BC73" s="102">
        <f>'SIL - ZAŘÍZENÍ SILNOPROUD...'!F38</f>
        <v>0</v>
      </c>
      <c r="BD73" s="104">
        <f>'SIL - ZAŘÍZENÍ SILNOPROUD...'!F39</f>
        <v>0</v>
      </c>
      <c r="BT73" s="105" t="s">
        <v>82</v>
      </c>
      <c r="BV73" s="105" t="s">
        <v>74</v>
      </c>
      <c r="BW73" s="105" t="s">
        <v>138</v>
      </c>
      <c r="BX73" s="105" t="s">
        <v>80</v>
      </c>
      <c r="CL73" s="105" t="s">
        <v>19</v>
      </c>
    </row>
    <row r="74" spans="1:90" s="4" customFormat="1" ht="16.5" customHeight="1">
      <c r="A74" s="98" t="s">
        <v>83</v>
      </c>
      <c r="B74" s="53"/>
      <c r="C74" s="99"/>
      <c r="D74" s="99"/>
      <c r="E74" s="393" t="s">
        <v>139</v>
      </c>
      <c r="F74" s="393"/>
      <c r="G74" s="393"/>
      <c r="H74" s="393"/>
      <c r="I74" s="393"/>
      <c r="J74" s="99"/>
      <c r="K74" s="393" t="s">
        <v>140</v>
      </c>
      <c r="L74" s="393"/>
      <c r="M74" s="393"/>
      <c r="N74" s="393"/>
      <c r="O74" s="393"/>
      <c r="P74" s="393"/>
      <c r="Q74" s="393"/>
      <c r="R74" s="393"/>
      <c r="S74" s="393"/>
      <c r="T74" s="393"/>
      <c r="U74" s="393"/>
      <c r="V74" s="393"/>
      <c r="W74" s="393"/>
      <c r="X74" s="393"/>
      <c r="Y74" s="393"/>
      <c r="Z74" s="393"/>
      <c r="AA74" s="393"/>
      <c r="AB74" s="393"/>
      <c r="AC74" s="393"/>
      <c r="AD74" s="393"/>
      <c r="AE74" s="393"/>
      <c r="AF74" s="393"/>
      <c r="AG74" s="384">
        <f>'SLP - SLABOPROUD'!J32</f>
        <v>0</v>
      </c>
      <c r="AH74" s="385"/>
      <c r="AI74" s="385"/>
      <c r="AJ74" s="385"/>
      <c r="AK74" s="385"/>
      <c r="AL74" s="385"/>
      <c r="AM74" s="385"/>
      <c r="AN74" s="384">
        <f t="shared" si="0"/>
        <v>0</v>
      </c>
      <c r="AO74" s="385"/>
      <c r="AP74" s="385"/>
      <c r="AQ74" s="100" t="s">
        <v>86</v>
      </c>
      <c r="AR74" s="55"/>
      <c r="AS74" s="101">
        <v>0</v>
      </c>
      <c r="AT74" s="102">
        <f t="shared" si="1"/>
        <v>0</v>
      </c>
      <c r="AU74" s="103">
        <f>'SLP - SLABOPROUD'!P97</f>
        <v>0</v>
      </c>
      <c r="AV74" s="102">
        <f>'SLP - SLABOPROUD'!J35</f>
        <v>0</v>
      </c>
      <c r="AW74" s="102">
        <f>'SLP - SLABOPROUD'!J36</f>
        <v>0</v>
      </c>
      <c r="AX74" s="102">
        <f>'SLP - SLABOPROUD'!J37</f>
        <v>0</v>
      </c>
      <c r="AY74" s="102">
        <f>'SLP - SLABOPROUD'!J38</f>
        <v>0</v>
      </c>
      <c r="AZ74" s="102">
        <f>'SLP - SLABOPROUD'!F35</f>
        <v>0</v>
      </c>
      <c r="BA74" s="102">
        <f>'SLP - SLABOPROUD'!F36</f>
        <v>0</v>
      </c>
      <c r="BB74" s="102">
        <f>'SLP - SLABOPROUD'!F37</f>
        <v>0</v>
      </c>
      <c r="BC74" s="102">
        <f>'SLP - SLABOPROUD'!F38</f>
        <v>0</v>
      </c>
      <c r="BD74" s="104">
        <f>'SLP - SLABOPROUD'!F39</f>
        <v>0</v>
      </c>
      <c r="BT74" s="105" t="s">
        <v>82</v>
      </c>
      <c r="BV74" s="105" t="s">
        <v>74</v>
      </c>
      <c r="BW74" s="105" t="s">
        <v>141</v>
      </c>
      <c r="BX74" s="105" t="s">
        <v>80</v>
      </c>
      <c r="CL74" s="105" t="s">
        <v>19</v>
      </c>
    </row>
    <row r="75" spans="1:90" s="4" customFormat="1" ht="16.5" customHeight="1">
      <c r="A75" s="98" t="s">
        <v>83</v>
      </c>
      <c r="B75" s="53"/>
      <c r="C75" s="99"/>
      <c r="D75" s="99"/>
      <c r="E75" s="393" t="s">
        <v>142</v>
      </c>
      <c r="F75" s="393"/>
      <c r="G75" s="393"/>
      <c r="H75" s="393"/>
      <c r="I75" s="393"/>
      <c r="J75" s="99"/>
      <c r="K75" s="393" t="s">
        <v>143</v>
      </c>
      <c r="L75" s="393"/>
      <c r="M75" s="393"/>
      <c r="N75" s="393"/>
      <c r="O75" s="393"/>
      <c r="P75" s="393"/>
      <c r="Q75" s="393"/>
      <c r="R75" s="393"/>
      <c r="S75" s="393"/>
      <c r="T75" s="393"/>
      <c r="U75" s="393"/>
      <c r="V75" s="393"/>
      <c r="W75" s="393"/>
      <c r="X75" s="393"/>
      <c r="Y75" s="393"/>
      <c r="Z75" s="393"/>
      <c r="AA75" s="393"/>
      <c r="AB75" s="393"/>
      <c r="AC75" s="393"/>
      <c r="AD75" s="393"/>
      <c r="AE75" s="393"/>
      <c r="AF75" s="393"/>
      <c r="AG75" s="384">
        <f>'MAR - ZAŘÍZENÍ PRO MĚŘENÍ...'!J32</f>
        <v>0</v>
      </c>
      <c r="AH75" s="385"/>
      <c r="AI75" s="385"/>
      <c r="AJ75" s="385"/>
      <c r="AK75" s="385"/>
      <c r="AL75" s="385"/>
      <c r="AM75" s="385"/>
      <c r="AN75" s="384">
        <f t="shared" si="0"/>
        <v>0</v>
      </c>
      <c r="AO75" s="385"/>
      <c r="AP75" s="385"/>
      <c r="AQ75" s="100" t="s">
        <v>86</v>
      </c>
      <c r="AR75" s="55"/>
      <c r="AS75" s="101">
        <v>0</v>
      </c>
      <c r="AT75" s="102">
        <f t="shared" si="1"/>
        <v>0</v>
      </c>
      <c r="AU75" s="103">
        <f>'MAR - ZAŘÍZENÍ PRO MĚŘENÍ...'!P91</f>
        <v>0</v>
      </c>
      <c r="AV75" s="102">
        <f>'MAR - ZAŘÍZENÍ PRO MĚŘENÍ...'!J35</f>
        <v>0</v>
      </c>
      <c r="AW75" s="102">
        <f>'MAR - ZAŘÍZENÍ PRO MĚŘENÍ...'!J36</f>
        <v>0</v>
      </c>
      <c r="AX75" s="102">
        <f>'MAR - ZAŘÍZENÍ PRO MĚŘENÍ...'!J37</f>
        <v>0</v>
      </c>
      <c r="AY75" s="102">
        <f>'MAR - ZAŘÍZENÍ PRO MĚŘENÍ...'!J38</f>
        <v>0</v>
      </c>
      <c r="AZ75" s="102">
        <f>'MAR - ZAŘÍZENÍ PRO MĚŘENÍ...'!F35</f>
        <v>0</v>
      </c>
      <c r="BA75" s="102">
        <f>'MAR - ZAŘÍZENÍ PRO MĚŘENÍ...'!F36</f>
        <v>0</v>
      </c>
      <c r="BB75" s="102">
        <f>'MAR - ZAŘÍZENÍ PRO MĚŘENÍ...'!F37</f>
        <v>0</v>
      </c>
      <c r="BC75" s="102">
        <f>'MAR - ZAŘÍZENÍ PRO MĚŘENÍ...'!F38</f>
        <v>0</v>
      </c>
      <c r="BD75" s="104">
        <f>'MAR - ZAŘÍZENÍ PRO MĚŘENÍ...'!F39</f>
        <v>0</v>
      </c>
      <c r="BT75" s="105" t="s">
        <v>82</v>
      </c>
      <c r="BV75" s="105" t="s">
        <v>74</v>
      </c>
      <c r="BW75" s="105" t="s">
        <v>144</v>
      </c>
      <c r="BX75" s="105" t="s">
        <v>80</v>
      </c>
      <c r="CL75" s="105" t="s">
        <v>19</v>
      </c>
    </row>
    <row r="76" spans="1:90" s="4" customFormat="1" ht="16.5" customHeight="1">
      <c r="A76" s="98" t="s">
        <v>83</v>
      </c>
      <c r="B76" s="53"/>
      <c r="C76" s="99"/>
      <c r="D76" s="99"/>
      <c r="E76" s="393" t="s">
        <v>145</v>
      </c>
      <c r="F76" s="393"/>
      <c r="G76" s="393"/>
      <c r="H76" s="393"/>
      <c r="I76" s="393"/>
      <c r="J76" s="99"/>
      <c r="K76" s="393" t="s">
        <v>146</v>
      </c>
      <c r="L76" s="393"/>
      <c r="M76" s="393"/>
      <c r="N76" s="393"/>
      <c r="O76" s="393"/>
      <c r="P76" s="393"/>
      <c r="Q76" s="393"/>
      <c r="R76" s="393"/>
      <c r="S76" s="393"/>
      <c r="T76" s="393"/>
      <c r="U76" s="393"/>
      <c r="V76" s="393"/>
      <c r="W76" s="393"/>
      <c r="X76" s="393"/>
      <c r="Y76" s="393"/>
      <c r="Z76" s="393"/>
      <c r="AA76" s="393"/>
      <c r="AB76" s="393"/>
      <c r="AC76" s="393"/>
      <c r="AD76" s="393"/>
      <c r="AE76" s="393"/>
      <c r="AF76" s="393"/>
      <c r="AG76" s="384">
        <f>'PLYN - PLYNOINSTALACE'!J32</f>
        <v>0</v>
      </c>
      <c r="AH76" s="385"/>
      <c r="AI76" s="385"/>
      <c r="AJ76" s="385"/>
      <c r="AK76" s="385"/>
      <c r="AL76" s="385"/>
      <c r="AM76" s="385"/>
      <c r="AN76" s="384">
        <f t="shared" si="0"/>
        <v>0</v>
      </c>
      <c r="AO76" s="385"/>
      <c r="AP76" s="385"/>
      <c r="AQ76" s="100" t="s">
        <v>86</v>
      </c>
      <c r="AR76" s="55"/>
      <c r="AS76" s="101">
        <v>0</v>
      </c>
      <c r="AT76" s="102">
        <f t="shared" si="1"/>
        <v>0</v>
      </c>
      <c r="AU76" s="103">
        <f>'PLYN - PLYNOINSTALACE'!P88</f>
        <v>0</v>
      </c>
      <c r="AV76" s="102">
        <f>'PLYN - PLYNOINSTALACE'!J35</f>
        <v>0</v>
      </c>
      <c r="AW76" s="102">
        <f>'PLYN - PLYNOINSTALACE'!J36</f>
        <v>0</v>
      </c>
      <c r="AX76" s="102">
        <f>'PLYN - PLYNOINSTALACE'!J37</f>
        <v>0</v>
      </c>
      <c r="AY76" s="102">
        <f>'PLYN - PLYNOINSTALACE'!J38</f>
        <v>0</v>
      </c>
      <c r="AZ76" s="102">
        <f>'PLYN - PLYNOINSTALACE'!F35</f>
        <v>0</v>
      </c>
      <c r="BA76" s="102">
        <f>'PLYN - PLYNOINSTALACE'!F36</f>
        <v>0</v>
      </c>
      <c r="BB76" s="102">
        <f>'PLYN - PLYNOINSTALACE'!F37</f>
        <v>0</v>
      </c>
      <c r="BC76" s="102">
        <f>'PLYN - PLYNOINSTALACE'!F38</f>
        <v>0</v>
      </c>
      <c r="BD76" s="104">
        <f>'PLYN - PLYNOINSTALACE'!F39</f>
        <v>0</v>
      </c>
      <c r="BT76" s="105" t="s">
        <v>82</v>
      </c>
      <c r="BV76" s="105" t="s">
        <v>74</v>
      </c>
      <c r="BW76" s="105" t="s">
        <v>147</v>
      </c>
      <c r="BX76" s="105" t="s">
        <v>80</v>
      </c>
      <c r="CL76" s="105" t="s">
        <v>19</v>
      </c>
    </row>
    <row r="77" spans="1:90" s="4" customFormat="1" ht="16.5" customHeight="1">
      <c r="B77" s="53"/>
      <c r="C77" s="99"/>
      <c r="D77" s="99"/>
      <c r="E77" s="393" t="s">
        <v>148</v>
      </c>
      <c r="F77" s="393"/>
      <c r="G77" s="393"/>
      <c r="H77" s="393"/>
      <c r="I77" s="393"/>
      <c r="J77" s="99"/>
      <c r="K77" s="393" t="s">
        <v>149</v>
      </c>
      <c r="L77" s="393"/>
      <c r="M77" s="393"/>
      <c r="N77" s="393"/>
      <c r="O77" s="393"/>
      <c r="P77" s="393"/>
      <c r="Q77" s="393"/>
      <c r="R77" s="393"/>
      <c r="S77" s="393"/>
      <c r="T77" s="393"/>
      <c r="U77" s="393"/>
      <c r="V77" s="393"/>
      <c r="W77" s="393"/>
      <c r="X77" s="393"/>
      <c r="Y77" s="393"/>
      <c r="Z77" s="393"/>
      <c r="AA77" s="393"/>
      <c r="AB77" s="393"/>
      <c r="AC77" s="393"/>
      <c r="AD77" s="393"/>
      <c r="AE77" s="393"/>
      <c r="AF77" s="393"/>
      <c r="AG77" s="386">
        <f>ROUND(SUM(AG78:AG105),2)</f>
        <v>0</v>
      </c>
      <c r="AH77" s="385"/>
      <c r="AI77" s="385"/>
      <c r="AJ77" s="385"/>
      <c r="AK77" s="385"/>
      <c r="AL77" s="385"/>
      <c r="AM77" s="385"/>
      <c r="AN77" s="384">
        <f t="shared" si="0"/>
        <v>0</v>
      </c>
      <c r="AO77" s="385"/>
      <c r="AP77" s="385"/>
      <c r="AQ77" s="100" t="s">
        <v>86</v>
      </c>
      <c r="AR77" s="55"/>
      <c r="AS77" s="101">
        <f>ROUND(SUM(AS78:AS105),2)</f>
        <v>0</v>
      </c>
      <c r="AT77" s="102">
        <f t="shared" si="1"/>
        <v>0</v>
      </c>
      <c r="AU77" s="103">
        <f>ROUND(SUM(AU78:AU105),5)</f>
        <v>0</v>
      </c>
      <c r="AV77" s="102">
        <f>ROUND(AZ77*L29,2)</f>
        <v>0</v>
      </c>
      <c r="AW77" s="102">
        <f>ROUND(BA77*L30,2)</f>
        <v>0</v>
      </c>
      <c r="AX77" s="102">
        <f>ROUND(BB77*L29,2)</f>
        <v>0</v>
      </c>
      <c r="AY77" s="102">
        <f>ROUND(BC77*L30,2)</f>
        <v>0</v>
      </c>
      <c r="AZ77" s="102">
        <f>ROUND(SUM(AZ78:AZ105),2)</f>
        <v>0</v>
      </c>
      <c r="BA77" s="102">
        <f>ROUND(SUM(BA78:BA105),2)</f>
        <v>0</v>
      </c>
      <c r="BB77" s="102">
        <f>ROUND(SUM(BB78:BB105),2)</f>
        <v>0</v>
      </c>
      <c r="BC77" s="102">
        <f>ROUND(SUM(BC78:BC105),2)</f>
        <v>0</v>
      </c>
      <c r="BD77" s="104">
        <f>ROUND(SUM(BD78:BD105),2)</f>
        <v>0</v>
      </c>
      <c r="BS77" s="105" t="s">
        <v>71</v>
      </c>
      <c r="BT77" s="105" t="s">
        <v>82</v>
      </c>
      <c r="BU77" s="105" t="s">
        <v>73</v>
      </c>
      <c r="BV77" s="105" t="s">
        <v>74</v>
      </c>
      <c r="BW77" s="105" t="s">
        <v>150</v>
      </c>
      <c r="BX77" s="105" t="s">
        <v>80</v>
      </c>
      <c r="CL77" s="105" t="s">
        <v>19</v>
      </c>
    </row>
    <row r="78" spans="1:90" s="4" customFormat="1" ht="16.5" customHeight="1">
      <c r="A78" s="98" t="s">
        <v>83</v>
      </c>
      <c r="B78" s="53"/>
      <c r="C78" s="99"/>
      <c r="D78" s="99"/>
      <c r="E78" s="99"/>
      <c r="F78" s="393" t="s">
        <v>151</v>
      </c>
      <c r="G78" s="393"/>
      <c r="H78" s="393"/>
      <c r="I78" s="393"/>
      <c r="J78" s="393"/>
      <c r="K78" s="99"/>
      <c r="L78" s="393" t="s">
        <v>152</v>
      </c>
      <c r="M78" s="393"/>
      <c r="N78" s="393"/>
      <c r="O78" s="393"/>
      <c r="P78" s="393"/>
      <c r="Q78" s="393"/>
      <c r="R78" s="393"/>
      <c r="S78" s="393"/>
      <c r="T78" s="393"/>
      <c r="U78" s="393"/>
      <c r="V78" s="393"/>
      <c r="W78" s="393"/>
      <c r="X78" s="393"/>
      <c r="Y78" s="393"/>
      <c r="Z78" s="393"/>
      <c r="AA78" s="393"/>
      <c r="AB78" s="393"/>
      <c r="AC78" s="393"/>
      <c r="AD78" s="393"/>
      <c r="AE78" s="393"/>
      <c r="AF78" s="393"/>
      <c r="AG78" s="384">
        <f>'101 - Chlazení pro VZT je...'!J34</f>
        <v>0</v>
      </c>
      <c r="AH78" s="385"/>
      <c r="AI78" s="385"/>
      <c r="AJ78" s="385"/>
      <c r="AK78" s="385"/>
      <c r="AL78" s="385"/>
      <c r="AM78" s="385"/>
      <c r="AN78" s="384">
        <f t="shared" si="0"/>
        <v>0</v>
      </c>
      <c r="AO78" s="385"/>
      <c r="AP78" s="385"/>
      <c r="AQ78" s="100" t="s">
        <v>86</v>
      </c>
      <c r="AR78" s="55"/>
      <c r="AS78" s="101">
        <v>0</v>
      </c>
      <c r="AT78" s="102">
        <f t="shared" si="1"/>
        <v>0</v>
      </c>
      <c r="AU78" s="103">
        <f>'101 - Chlazení pro VZT je...'!P96</f>
        <v>0</v>
      </c>
      <c r="AV78" s="102">
        <f>'101 - Chlazení pro VZT je...'!J37</f>
        <v>0</v>
      </c>
      <c r="AW78" s="102">
        <f>'101 - Chlazení pro VZT je...'!J38</f>
        <v>0</v>
      </c>
      <c r="AX78" s="102">
        <f>'101 - Chlazení pro VZT je...'!J39</f>
        <v>0</v>
      </c>
      <c r="AY78" s="102">
        <f>'101 - Chlazení pro VZT je...'!J40</f>
        <v>0</v>
      </c>
      <c r="AZ78" s="102">
        <f>'101 - Chlazení pro VZT je...'!F37</f>
        <v>0</v>
      </c>
      <c r="BA78" s="102">
        <f>'101 - Chlazení pro VZT je...'!F38</f>
        <v>0</v>
      </c>
      <c r="BB78" s="102">
        <f>'101 - Chlazení pro VZT je...'!F39</f>
        <v>0</v>
      </c>
      <c r="BC78" s="102">
        <f>'101 - Chlazení pro VZT je...'!F40</f>
        <v>0</v>
      </c>
      <c r="BD78" s="104">
        <f>'101 - Chlazení pro VZT je...'!F41</f>
        <v>0</v>
      </c>
      <c r="BT78" s="105" t="s">
        <v>99</v>
      </c>
      <c r="BV78" s="105" t="s">
        <v>74</v>
      </c>
      <c r="BW78" s="105" t="s">
        <v>153</v>
      </c>
      <c r="BX78" s="105" t="s">
        <v>150</v>
      </c>
      <c r="CL78" s="105" t="s">
        <v>19</v>
      </c>
    </row>
    <row r="79" spans="1:90" s="4" customFormat="1" ht="16.5" customHeight="1">
      <c r="A79" s="98" t="s">
        <v>83</v>
      </c>
      <c r="B79" s="53"/>
      <c r="C79" s="99"/>
      <c r="D79" s="99"/>
      <c r="E79" s="99"/>
      <c r="F79" s="393" t="s">
        <v>154</v>
      </c>
      <c r="G79" s="393"/>
      <c r="H79" s="393"/>
      <c r="I79" s="393"/>
      <c r="J79" s="393"/>
      <c r="K79" s="99"/>
      <c r="L79" s="393" t="s">
        <v>155</v>
      </c>
      <c r="M79" s="393"/>
      <c r="N79" s="393"/>
      <c r="O79" s="393"/>
      <c r="P79" s="393"/>
      <c r="Q79" s="393"/>
      <c r="R79" s="393"/>
      <c r="S79" s="393"/>
      <c r="T79" s="393"/>
      <c r="U79" s="393"/>
      <c r="V79" s="393"/>
      <c r="W79" s="393"/>
      <c r="X79" s="393"/>
      <c r="Y79" s="393"/>
      <c r="Z79" s="393"/>
      <c r="AA79" s="393"/>
      <c r="AB79" s="393"/>
      <c r="AC79" s="393"/>
      <c r="AD79" s="393"/>
      <c r="AE79" s="393"/>
      <c r="AF79" s="393"/>
      <c r="AG79" s="384">
        <f>'102 - Chlazení pro VZT je...'!J34</f>
        <v>0</v>
      </c>
      <c r="AH79" s="385"/>
      <c r="AI79" s="385"/>
      <c r="AJ79" s="385"/>
      <c r="AK79" s="385"/>
      <c r="AL79" s="385"/>
      <c r="AM79" s="385"/>
      <c r="AN79" s="384">
        <f t="shared" si="0"/>
        <v>0</v>
      </c>
      <c r="AO79" s="385"/>
      <c r="AP79" s="385"/>
      <c r="AQ79" s="100" t="s">
        <v>86</v>
      </c>
      <c r="AR79" s="55"/>
      <c r="AS79" s="101">
        <v>0</v>
      </c>
      <c r="AT79" s="102">
        <f t="shared" si="1"/>
        <v>0</v>
      </c>
      <c r="AU79" s="103">
        <f>'102 - Chlazení pro VZT je...'!P96</f>
        <v>0</v>
      </c>
      <c r="AV79" s="102">
        <f>'102 - Chlazení pro VZT je...'!J37</f>
        <v>0</v>
      </c>
      <c r="AW79" s="102">
        <f>'102 - Chlazení pro VZT je...'!J38</f>
        <v>0</v>
      </c>
      <c r="AX79" s="102">
        <f>'102 - Chlazení pro VZT je...'!J39</f>
        <v>0</v>
      </c>
      <c r="AY79" s="102">
        <f>'102 - Chlazení pro VZT je...'!J40</f>
        <v>0</v>
      </c>
      <c r="AZ79" s="102">
        <f>'102 - Chlazení pro VZT je...'!F37</f>
        <v>0</v>
      </c>
      <c r="BA79" s="102">
        <f>'102 - Chlazení pro VZT je...'!F38</f>
        <v>0</v>
      </c>
      <c r="BB79" s="102">
        <f>'102 - Chlazení pro VZT je...'!F39</f>
        <v>0</v>
      </c>
      <c r="BC79" s="102">
        <f>'102 - Chlazení pro VZT je...'!F40</f>
        <v>0</v>
      </c>
      <c r="BD79" s="104">
        <f>'102 - Chlazení pro VZT je...'!F41</f>
        <v>0</v>
      </c>
      <c r="BT79" s="105" t="s">
        <v>99</v>
      </c>
      <c r="BV79" s="105" t="s">
        <v>74</v>
      </c>
      <c r="BW79" s="105" t="s">
        <v>156</v>
      </c>
      <c r="BX79" s="105" t="s">
        <v>150</v>
      </c>
      <c r="CL79" s="105" t="s">
        <v>19</v>
      </c>
    </row>
    <row r="80" spans="1:90" s="4" customFormat="1" ht="16.5" customHeight="1">
      <c r="A80" s="98" t="s">
        <v>83</v>
      </c>
      <c r="B80" s="53"/>
      <c r="C80" s="99"/>
      <c r="D80" s="99"/>
      <c r="E80" s="99"/>
      <c r="F80" s="393" t="s">
        <v>157</v>
      </c>
      <c r="G80" s="393"/>
      <c r="H80" s="393"/>
      <c r="I80" s="393"/>
      <c r="J80" s="393"/>
      <c r="K80" s="99"/>
      <c r="L80" s="393" t="s">
        <v>158</v>
      </c>
      <c r="M80" s="393"/>
      <c r="N80" s="393"/>
      <c r="O80" s="393"/>
      <c r="P80" s="393"/>
      <c r="Q80" s="393"/>
      <c r="R80" s="393"/>
      <c r="S80" s="393"/>
      <c r="T80" s="393"/>
      <c r="U80" s="393"/>
      <c r="V80" s="393"/>
      <c r="W80" s="393"/>
      <c r="X80" s="393"/>
      <c r="Y80" s="393"/>
      <c r="Z80" s="393"/>
      <c r="AA80" s="393"/>
      <c r="AB80" s="393"/>
      <c r="AC80" s="393"/>
      <c r="AD80" s="393"/>
      <c r="AE80" s="393"/>
      <c r="AF80" s="393"/>
      <c r="AG80" s="384">
        <f>'103 - Chlazení pro VZT je...'!J34</f>
        <v>0</v>
      </c>
      <c r="AH80" s="385"/>
      <c r="AI80" s="385"/>
      <c r="AJ80" s="385"/>
      <c r="AK80" s="385"/>
      <c r="AL80" s="385"/>
      <c r="AM80" s="385"/>
      <c r="AN80" s="384">
        <f t="shared" si="0"/>
        <v>0</v>
      </c>
      <c r="AO80" s="385"/>
      <c r="AP80" s="385"/>
      <c r="AQ80" s="100" t="s">
        <v>86</v>
      </c>
      <c r="AR80" s="55"/>
      <c r="AS80" s="101">
        <v>0</v>
      </c>
      <c r="AT80" s="102">
        <f t="shared" si="1"/>
        <v>0</v>
      </c>
      <c r="AU80" s="103">
        <f>'103 - Chlazení pro VZT je...'!P96</f>
        <v>0</v>
      </c>
      <c r="AV80" s="102">
        <f>'103 - Chlazení pro VZT je...'!J37</f>
        <v>0</v>
      </c>
      <c r="AW80" s="102">
        <f>'103 - Chlazení pro VZT je...'!J38</f>
        <v>0</v>
      </c>
      <c r="AX80" s="102">
        <f>'103 - Chlazení pro VZT je...'!J39</f>
        <v>0</v>
      </c>
      <c r="AY80" s="102">
        <f>'103 - Chlazení pro VZT je...'!J40</f>
        <v>0</v>
      </c>
      <c r="AZ80" s="102">
        <f>'103 - Chlazení pro VZT je...'!F37</f>
        <v>0</v>
      </c>
      <c r="BA80" s="102">
        <f>'103 - Chlazení pro VZT je...'!F38</f>
        <v>0</v>
      </c>
      <c r="BB80" s="102">
        <f>'103 - Chlazení pro VZT je...'!F39</f>
        <v>0</v>
      </c>
      <c r="BC80" s="102">
        <f>'103 - Chlazení pro VZT je...'!F40</f>
        <v>0</v>
      </c>
      <c r="BD80" s="104">
        <f>'103 - Chlazení pro VZT je...'!F41</f>
        <v>0</v>
      </c>
      <c r="BT80" s="105" t="s">
        <v>99</v>
      </c>
      <c r="BV80" s="105" t="s">
        <v>74</v>
      </c>
      <c r="BW80" s="105" t="s">
        <v>159</v>
      </c>
      <c r="BX80" s="105" t="s">
        <v>150</v>
      </c>
      <c r="CL80" s="105" t="s">
        <v>19</v>
      </c>
    </row>
    <row r="81" spans="1:90" s="4" customFormat="1" ht="16.5" customHeight="1">
      <c r="A81" s="98" t="s">
        <v>83</v>
      </c>
      <c r="B81" s="53"/>
      <c r="C81" s="99"/>
      <c r="D81" s="99"/>
      <c r="E81" s="99"/>
      <c r="F81" s="393" t="s">
        <v>160</v>
      </c>
      <c r="G81" s="393"/>
      <c r="H81" s="393"/>
      <c r="I81" s="393"/>
      <c r="J81" s="393"/>
      <c r="K81" s="99"/>
      <c r="L81" s="393" t="s">
        <v>161</v>
      </c>
      <c r="M81" s="393"/>
      <c r="N81" s="393"/>
      <c r="O81" s="393"/>
      <c r="P81" s="393"/>
      <c r="Q81" s="393"/>
      <c r="R81" s="393"/>
      <c r="S81" s="393"/>
      <c r="T81" s="393"/>
      <c r="U81" s="393"/>
      <c r="V81" s="393"/>
      <c r="W81" s="393"/>
      <c r="X81" s="393"/>
      <c r="Y81" s="393"/>
      <c r="Z81" s="393"/>
      <c r="AA81" s="393"/>
      <c r="AB81" s="393"/>
      <c r="AC81" s="393"/>
      <c r="AD81" s="393"/>
      <c r="AE81" s="393"/>
      <c r="AF81" s="393"/>
      <c r="AG81" s="384">
        <f>'104 - Chlazení pro VZT je...'!J34</f>
        <v>0</v>
      </c>
      <c r="AH81" s="385"/>
      <c r="AI81" s="385"/>
      <c r="AJ81" s="385"/>
      <c r="AK81" s="385"/>
      <c r="AL81" s="385"/>
      <c r="AM81" s="385"/>
      <c r="AN81" s="384">
        <f t="shared" si="0"/>
        <v>0</v>
      </c>
      <c r="AO81" s="385"/>
      <c r="AP81" s="385"/>
      <c r="AQ81" s="100" t="s">
        <v>86</v>
      </c>
      <c r="AR81" s="55"/>
      <c r="AS81" s="101">
        <v>0</v>
      </c>
      <c r="AT81" s="102">
        <f t="shared" si="1"/>
        <v>0</v>
      </c>
      <c r="AU81" s="103">
        <f>'104 - Chlazení pro VZT je...'!P96</f>
        <v>0</v>
      </c>
      <c r="AV81" s="102">
        <f>'104 - Chlazení pro VZT je...'!J37</f>
        <v>0</v>
      </c>
      <c r="AW81" s="102">
        <f>'104 - Chlazení pro VZT je...'!J38</f>
        <v>0</v>
      </c>
      <c r="AX81" s="102">
        <f>'104 - Chlazení pro VZT je...'!J39</f>
        <v>0</v>
      </c>
      <c r="AY81" s="102">
        <f>'104 - Chlazení pro VZT je...'!J40</f>
        <v>0</v>
      </c>
      <c r="AZ81" s="102">
        <f>'104 - Chlazení pro VZT je...'!F37</f>
        <v>0</v>
      </c>
      <c r="BA81" s="102">
        <f>'104 - Chlazení pro VZT je...'!F38</f>
        <v>0</v>
      </c>
      <c r="BB81" s="102">
        <f>'104 - Chlazení pro VZT je...'!F39</f>
        <v>0</v>
      </c>
      <c r="BC81" s="102">
        <f>'104 - Chlazení pro VZT je...'!F40</f>
        <v>0</v>
      </c>
      <c r="BD81" s="104">
        <f>'104 - Chlazení pro VZT je...'!F41</f>
        <v>0</v>
      </c>
      <c r="BT81" s="105" t="s">
        <v>99</v>
      </c>
      <c r="BV81" s="105" t="s">
        <v>74</v>
      </c>
      <c r="BW81" s="105" t="s">
        <v>162</v>
      </c>
      <c r="BX81" s="105" t="s">
        <v>150</v>
      </c>
      <c r="CL81" s="105" t="s">
        <v>19</v>
      </c>
    </row>
    <row r="82" spans="1:90" s="4" customFormat="1" ht="16.5" customHeight="1">
      <c r="A82" s="98" t="s">
        <v>83</v>
      </c>
      <c r="B82" s="53"/>
      <c r="C82" s="99"/>
      <c r="D82" s="99"/>
      <c r="E82" s="99"/>
      <c r="F82" s="393" t="s">
        <v>163</v>
      </c>
      <c r="G82" s="393"/>
      <c r="H82" s="393"/>
      <c r="I82" s="393"/>
      <c r="J82" s="393"/>
      <c r="K82" s="99"/>
      <c r="L82" s="393" t="s">
        <v>164</v>
      </c>
      <c r="M82" s="393"/>
      <c r="N82" s="393"/>
      <c r="O82" s="393"/>
      <c r="P82" s="393"/>
      <c r="Q82" s="393"/>
      <c r="R82" s="393"/>
      <c r="S82" s="393"/>
      <c r="T82" s="393"/>
      <c r="U82" s="393"/>
      <c r="V82" s="393"/>
      <c r="W82" s="393"/>
      <c r="X82" s="393"/>
      <c r="Y82" s="393"/>
      <c r="Z82" s="393"/>
      <c r="AA82" s="393"/>
      <c r="AB82" s="393"/>
      <c r="AC82" s="393"/>
      <c r="AD82" s="393"/>
      <c r="AE82" s="393"/>
      <c r="AF82" s="393"/>
      <c r="AG82" s="384">
        <f>'106 - Chlazení pro VZT je...'!J34</f>
        <v>0</v>
      </c>
      <c r="AH82" s="385"/>
      <c r="AI82" s="385"/>
      <c r="AJ82" s="385"/>
      <c r="AK82" s="385"/>
      <c r="AL82" s="385"/>
      <c r="AM82" s="385"/>
      <c r="AN82" s="384">
        <f t="shared" si="0"/>
        <v>0</v>
      </c>
      <c r="AO82" s="385"/>
      <c r="AP82" s="385"/>
      <c r="AQ82" s="100" t="s">
        <v>86</v>
      </c>
      <c r="AR82" s="55"/>
      <c r="AS82" s="101">
        <v>0</v>
      </c>
      <c r="AT82" s="102">
        <f t="shared" si="1"/>
        <v>0</v>
      </c>
      <c r="AU82" s="103">
        <f>'106 - Chlazení pro VZT je...'!P96</f>
        <v>0</v>
      </c>
      <c r="AV82" s="102">
        <f>'106 - Chlazení pro VZT je...'!J37</f>
        <v>0</v>
      </c>
      <c r="AW82" s="102">
        <f>'106 - Chlazení pro VZT je...'!J38</f>
        <v>0</v>
      </c>
      <c r="AX82" s="102">
        <f>'106 - Chlazení pro VZT je...'!J39</f>
        <v>0</v>
      </c>
      <c r="AY82" s="102">
        <f>'106 - Chlazení pro VZT je...'!J40</f>
        <v>0</v>
      </c>
      <c r="AZ82" s="102">
        <f>'106 - Chlazení pro VZT je...'!F37</f>
        <v>0</v>
      </c>
      <c r="BA82" s="102">
        <f>'106 - Chlazení pro VZT je...'!F38</f>
        <v>0</v>
      </c>
      <c r="BB82" s="102">
        <f>'106 - Chlazení pro VZT je...'!F39</f>
        <v>0</v>
      </c>
      <c r="BC82" s="102">
        <f>'106 - Chlazení pro VZT je...'!F40</f>
        <v>0</v>
      </c>
      <c r="BD82" s="104">
        <f>'106 - Chlazení pro VZT je...'!F41</f>
        <v>0</v>
      </c>
      <c r="BT82" s="105" t="s">
        <v>99</v>
      </c>
      <c r="BV82" s="105" t="s">
        <v>74</v>
      </c>
      <c r="BW82" s="105" t="s">
        <v>165</v>
      </c>
      <c r="BX82" s="105" t="s">
        <v>150</v>
      </c>
      <c r="CL82" s="105" t="s">
        <v>19</v>
      </c>
    </row>
    <row r="83" spans="1:90" s="4" customFormat="1" ht="16.5" customHeight="1">
      <c r="A83" s="98" t="s">
        <v>83</v>
      </c>
      <c r="B83" s="53"/>
      <c r="C83" s="99"/>
      <c r="D83" s="99"/>
      <c r="E83" s="99"/>
      <c r="F83" s="393" t="s">
        <v>166</v>
      </c>
      <c r="G83" s="393"/>
      <c r="H83" s="393"/>
      <c r="I83" s="393"/>
      <c r="J83" s="393"/>
      <c r="K83" s="99"/>
      <c r="L83" s="393" t="s">
        <v>167</v>
      </c>
      <c r="M83" s="393"/>
      <c r="N83" s="393"/>
      <c r="O83" s="393"/>
      <c r="P83" s="393"/>
      <c r="Q83" s="393"/>
      <c r="R83" s="393"/>
      <c r="S83" s="393"/>
      <c r="T83" s="393"/>
      <c r="U83" s="393"/>
      <c r="V83" s="393"/>
      <c r="W83" s="393"/>
      <c r="X83" s="393"/>
      <c r="Y83" s="393"/>
      <c r="Z83" s="393"/>
      <c r="AA83" s="393"/>
      <c r="AB83" s="393"/>
      <c r="AC83" s="393"/>
      <c r="AD83" s="393"/>
      <c r="AE83" s="393"/>
      <c r="AF83" s="393"/>
      <c r="AG83" s="384">
        <f>'107.1 - Chlazení pro VZT ...'!J34</f>
        <v>0</v>
      </c>
      <c r="AH83" s="385"/>
      <c r="AI83" s="385"/>
      <c r="AJ83" s="385"/>
      <c r="AK83" s="385"/>
      <c r="AL83" s="385"/>
      <c r="AM83" s="385"/>
      <c r="AN83" s="384">
        <f t="shared" si="0"/>
        <v>0</v>
      </c>
      <c r="AO83" s="385"/>
      <c r="AP83" s="385"/>
      <c r="AQ83" s="100" t="s">
        <v>86</v>
      </c>
      <c r="AR83" s="55"/>
      <c r="AS83" s="101">
        <v>0</v>
      </c>
      <c r="AT83" s="102">
        <f t="shared" si="1"/>
        <v>0</v>
      </c>
      <c r="AU83" s="103">
        <f>'107.1 - Chlazení pro VZT ...'!P96</f>
        <v>0</v>
      </c>
      <c r="AV83" s="102">
        <f>'107.1 - Chlazení pro VZT ...'!J37</f>
        <v>0</v>
      </c>
      <c r="AW83" s="102">
        <f>'107.1 - Chlazení pro VZT ...'!J38</f>
        <v>0</v>
      </c>
      <c r="AX83" s="102">
        <f>'107.1 - Chlazení pro VZT ...'!J39</f>
        <v>0</v>
      </c>
      <c r="AY83" s="102">
        <f>'107.1 - Chlazení pro VZT ...'!J40</f>
        <v>0</v>
      </c>
      <c r="AZ83" s="102">
        <f>'107.1 - Chlazení pro VZT ...'!F37</f>
        <v>0</v>
      </c>
      <c r="BA83" s="102">
        <f>'107.1 - Chlazení pro VZT ...'!F38</f>
        <v>0</v>
      </c>
      <c r="BB83" s="102">
        <f>'107.1 - Chlazení pro VZT ...'!F39</f>
        <v>0</v>
      </c>
      <c r="BC83" s="102">
        <f>'107.1 - Chlazení pro VZT ...'!F40</f>
        <v>0</v>
      </c>
      <c r="BD83" s="104">
        <f>'107.1 - Chlazení pro VZT ...'!F41</f>
        <v>0</v>
      </c>
      <c r="BT83" s="105" t="s">
        <v>99</v>
      </c>
      <c r="BV83" s="105" t="s">
        <v>74</v>
      </c>
      <c r="BW83" s="105" t="s">
        <v>168</v>
      </c>
      <c r="BX83" s="105" t="s">
        <v>150</v>
      </c>
      <c r="CL83" s="105" t="s">
        <v>19</v>
      </c>
    </row>
    <row r="84" spans="1:90" s="4" customFormat="1" ht="16.5" customHeight="1">
      <c r="A84" s="98" t="s">
        <v>83</v>
      </c>
      <c r="B84" s="53"/>
      <c r="C84" s="99"/>
      <c r="D84" s="99"/>
      <c r="E84" s="99"/>
      <c r="F84" s="393" t="s">
        <v>169</v>
      </c>
      <c r="G84" s="393"/>
      <c r="H84" s="393"/>
      <c r="I84" s="393"/>
      <c r="J84" s="393"/>
      <c r="K84" s="99"/>
      <c r="L84" s="393" t="s">
        <v>170</v>
      </c>
      <c r="M84" s="393"/>
      <c r="N84" s="393"/>
      <c r="O84" s="393"/>
      <c r="P84" s="393"/>
      <c r="Q84" s="393"/>
      <c r="R84" s="393"/>
      <c r="S84" s="393"/>
      <c r="T84" s="393"/>
      <c r="U84" s="393"/>
      <c r="V84" s="393"/>
      <c r="W84" s="393"/>
      <c r="X84" s="393"/>
      <c r="Y84" s="393"/>
      <c r="Z84" s="393"/>
      <c r="AA84" s="393"/>
      <c r="AB84" s="393"/>
      <c r="AC84" s="393"/>
      <c r="AD84" s="393"/>
      <c r="AE84" s="393"/>
      <c r="AF84" s="393"/>
      <c r="AG84" s="384">
        <f>'107.2 - Chlazení pro VZT ...'!J34</f>
        <v>0</v>
      </c>
      <c r="AH84" s="385"/>
      <c r="AI84" s="385"/>
      <c r="AJ84" s="385"/>
      <c r="AK84" s="385"/>
      <c r="AL84" s="385"/>
      <c r="AM84" s="385"/>
      <c r="AN84" s="384">
        <f t="shared" si="0"/>
        <v>0</v>
      </c>
      <c r="AO84" s="385"/>
      <c r="AP84" s="385"/>
      <c r="AQ84" s="100" t="s">
        <v>86</v>
      </c>
      <c r="AR84" s="55"/>
      <c r="AS84" s="101">
        <v>0</v>
      </c>
      <c r="AT84" s="102">
        <f t="shared" si="1"/>
        <v>0</v>
      </c>
      <c r="AU84" s="103">
        <f>'107.2 - Chlazení pro VZT ...'!P96</f>
        <v>0</v>
      </c>
      <c r="AV84" s="102">
        <f>'107.2 - Chlazení pro VZT ...'!J37</f>
        <v>0</v>
      </c>
      <c r="AW84" s="102">
        <f>'107.2 - Chlazení pro VZT ...'!J38</f>
        <v>0</v>
      </c>
      <c r="AX84" s="102">
        <f>'107.2 - Chlazení pro VZT ...'!J39</f>
        <v>0</v>
      </c>
      <c r="AY84" s="102">
        <f>'107.2 - Chlazení pro VZT ...'!J40</f>
        <v>0</v>
      </c>
      <c r="AZ84" s="102">
        <f>'107.2 - Chlazení pro VZT ...'!F37</f>
        <v>0</v>
      </c>
      <c r="BA84" s="102">
        <f>'107.2 - Chlazení pro VZT ...'!F38</f>
        <v>0</v>
      </c>
      <c r="BB84" s="102">
        <f>'107.2 - Chlazení pro VZT ...'!F39</f>
        <v>0</v>
      </c>
      <c r="BC84" s="102">
        <f>'107.2 - Chlazení pro VZT ...'!F40</f>
        <v>0</v>
      </c>
      <c r="BD84" s="104">
        <f>'107.2 - Chlazení pro VZT ...'!F41</f>
        <v>0</v>
      </c>
      <c r="BT84" s="105" t="s">
        <v>99</v>
      </c>
      <c r="BV84" s="105" t="s">
        <v>74</v>
      </c>
      <c r="BW84" s="105" t="s">
        <v>171</v>
      </c>
      <c r="BX84" s="105" t="s">
        <v>150</v>
      </c>
      <c r="CL84" s="105" t="s">
        <v>19</v>
      </c>
    </row>
    <row r="85" spans="1:90" s="4" customFormat="1" ht="16.5" customHeight="1">
      <c r="A85" s="98" t="s">
        <v>83</v>
      </c>
      <c r="B85" s="53"/>
      <c r="C85" s="99"/>
      <c r="D85" s="99"/>
      <c r="E85" s="99"/>
      <c r="F85" s="393" t="s">
        <v>172</v>
      </c>
      <c r="G85" s="393"/>
      <c r="H85" s="393"/>
      <c r="I85" s="393"/>
      <c r="J85" s="393"/>
      <c r="K85" s="99"/>
      <c r="L85" s="393" t="s">
        <v>173</v>
      </c>
      <c r="M85" s="393"/>
      <c r="N85" s="393"/>
      <c r="O85" s="393"/>
      <c r="P85" s="393"/>
      <c r="Q85" s="393"/>
      <c r="R85" s="393"/>
      <c r="S85" s="393"/>
      <c r="T85" s="393"/>
      <c r="U85" s="393"/>
      <c r="V85" s="393"/>
      <c r="W85" s="393"/>
      <c r="X85" s="393"/>
      <c r="Y85" s="393"/>
      <c r="Z85" s="393"/>
      <c r="AA85" s="393"/>
      <c r="AB85" s="393"/>
      <c r="AC85" s="393"/>
      <c r="AD85" s="393"/>
      <c r="AE85" s="393"/>
      <c r="AF85" s="393"/>
      <c r="AG85" s="384">
        <f>'107.3 - Chlazení pro VZT ...'!J34</f>
        <v>0</v>
      </c>
      <c r="AH85" s="385"/>
      <c r="AI85" s="385"/>
      <c r="AJ85" s="385"/>
      <c r="AK85" s="385"/>
      <c r="AL85" s="385"/>
      <c r="AM85" s="385"/>
      <c r="AN85" s="384">
        <f t="shared" si="0"/>
        <v>0</v>
      </c>
      <c r="AO85" s="385"/>
      <c r="AP85" s="385"/>
      <c r="AQ85" s="100" t="s">
        <v>86</v>
      </c>
      <c r="AR85" s="55"/>
      <c r="AS85" s="101">
        <v>0</v>
      </c>
      <c r="AT85" s="102">
        <f t="shared" si="1"/>
        <v>0</v>
      </c>
      <c r="AU85" s="103">
        <f>'107.3 - Chlazení pro VZT ...'!P96</f>
        <v>0</v>
      </c>
      <c r="AV85" s="102">
        <f>'107.3 - Chlazení pro VZT ...'!J37</f>
        <v>0</v>
      </c>
      <c r="AW85" s="102">
        <f>'107.3 - Chlazení pro VZT ...'!J38</f>
        <v>0</v>
      </c>
      <c r="AX85" s="102">
        <f>'107.3 - Chlazení pro VZT ...'!J39</f>
        <v>0</v>
      </c>
      <c r="AY85" s="102">
        <f>'107.3 - Chlazení pro VZT ...'!J40</f>
        <v>0</v>
      </c>
      <c r="AZ85" s="102">
        <f>'107.3 - Chlazení pro VZT ...'!F37</f>
        <v>0</v>
      </c>
      <c r="BA85" s="102">
        <f>'107.3 - Chlazení pro VZT ...'!F38</f>
        <v>0</v>
      </c>
      <c r="BB85" s="102">
        <f>'107.3 - Chlazení pro VZT ...'!F39</f>
        <v>0</v>
      </c>
      <c r="BC85" s="102">
        <f>'107.3 - Chlazení pro VZT ...'!F40</f>
        <v>0</v>
      </c>
      <c r="BD85" s="104">
        <f>'107.3 - Chlazení pro VZT ...'!F41</f>
        <v>0</v>
      </c>
      <c r="BT85" s="105" t="s">
        <v>99</v>
      </c>
      <c r="BV85" s="105" t="s">
        <v>74</v>
      </c>
      <c r="BW85" s="105" t="s">
        <v>174</v>
      </c>
      <c r="BX85" s="105" t="s">
        <v>150</v>
      </c>
      <c r="CL85" s="105" t="s">
        <v>19</v>
      </c>
    </row>
    <row r="86" spans="1:90" s="4" customFormat="1" ht="16.5" customHeight="1">
      <c r="A86" s="98" t="s">
        <v>83</v>
      </c>
      <c r="B86" s="53"/>
      <c r="C86" s="99"/>
      <c r="D86" s="99"/>
      <c r="E86" s="99"/>
      <c r="F86" s="393" t="s">
        <v>175</v>
      </c>
      <c r="G86" s="393"/>
      <c r="H86" s="393"/>
      <c r="I86" s="393"/>
      <c r="J86" s="393"/>
      <c r="K86" s="99"/>
      <c r="L86" s="393" t="s">
        <v>176</v>
      </c>
      <c r="M86" s="393"/>
      <c r="N86" s="393"/>
      <c r="O86" s="393"/>
      <c r="P86" s="393"/>
      <c r="Q86" s="393"/>
      <c r="R86" s="393"/>
      <c r="S86" s="393"/>
      <c r="T86" s="393"/>
      <c r="U86" s="393"/>
      <c r="V86" s="393"/>
      <c r="W86" s="393"/>
      <c r="X86" s="393"/>
      <c r="Y86" s="393"/>
      <c r="Z86" s="393"/>
      <c r="AA86" s="393"/>
      <c r="AB86" s="393"/>
      <c r="AC86" s="393"/>
      <c r="AD86" s="393"/>
      <c r="AE86" s="393"/>
      <c r="AF86" s="393"/>
      <c r="AG86" s="384">
        <f>'107.4 - Chlazení pro VZT ...'!J34</f>
        <v>0</v>
      </c>
      <c r="AH86" s="385"/>
      <c r="AI86" s="385"/>
      <c r="AJ86" s="385"/>
      <c r="AK86" s="385"/>
      <c r="AL86" s="385"/>
      <c r="AM86" s="385"/>
      <c r="AN86" s="384">
        <f t="shared" ref="AN86:AN116" si="2">SUM(AG86,AT86)</f>
        <v>0</v>
      </c>
      <c r="AO86" s="385"/>
      <c r="AP86" s="385"/>
      <c r="AQ86" s="100" t="s">
        <v>86</v>
      </c>
      <c r="AR86" s="55"/>
      <c r="AS86" s="101">
        <v>0</v>
      </c>
      <c r="AT86" s="102">
        <f t="shared" ref="AT86:AT116" si="3">ROUND(SUM(AV86:AW86),2)</f>
        <v>0</v>
      </c>
      <c r="AU86" s="103">
        <f>'107.4 - Chlazení pro VZT ...'!P96</f>
        <v>0</v>
      </c>
      <c r="AV86" s="102">
        <f>'107.4 - Chlazení pro VZT ...'!J37</f>
        <v>0</v>
      </c>
      <c r="AW86" s="102">
        <f>'107.4 - Chlazení pro VZT ...'!J38</f>
        <v>0</v>
      </c>
      <c r="AX86" s="102">
        <f>'107.4 - Chlazení pro VZT ...'!J39</f>
        <v>0</v>
      </c>
      <c r="AY86" s="102">
        <f>'107.4 - Chlazení pro VZT ...'!J40</f>
        <v>0</v>
      </c>
      <c r="AZ86" s="102">
        <f>'107.4 - Chlazení pro VZT ...'!F37</f>
        <v>0</v>
      </c>
      <c r="BA86" s="102">
        <f>'107.4 - Chlazení pro VZT ...'!F38</f>
        <v>0</v>
      </c>
      <c r="BB86" s="102">
        <f>'107.4 - Chlazení pro VZT ...'!F39</f>
        <v>0</v>
      </c>
      <c r="BC86" s="102">
        <f>'107.4 - Chlazení pro VZT ...'!F40</f>
        <v>0</v>
      </c>
      <c r="BD86" s="104">
        <f>'107.4 - Chlazení pro VZT ...'!F41</f>
        <v>0</v>
      </c>
      <c r="BT86" s="105" t="s">
        <v>99</v>
      </c>
      <c r="BV86" s="105" t="s">
        <v>74</v>
      </c>
      <c r="BW86" s="105" t="s">
        <v>177</v>
      </c>
      <c r="BX86" s="105" t="s">
        <v>150</v>
      </c>
      <c r="CL86" s="105" t="s">
        <v>19</v>
      </c>
    </row>
    <row r="87" spans="1:90" s="4" customFormat="1" ht="16.5" customHeight="1">
      <c r="A87" s="98" t="s">
        <v>83</v>
      </c>
      <c r="B87" s="53"/>
      <c r="C87" s="99"/>
      <c r="D87" s="99"/>
      <c r="E87" s="99"/>
      <c r="F87" s="393" t="s">
        <v>178</v>
      </c>
      <c r="G87" s="393"/>
      <c r="H87" s="393"/>
      <c r="I87" s="393"/>
      <c r="J87" s="393"/>
      <c r="K87" s="99"/>
      <c r="L87" s="393" t="s">
        <v>179</v>
      </c>
      <c r="M87" s="393"/>
      <c r="N87" s="393"/>
      <c r="O87" s="393"/>
      <c r="P87" s="393"/>
      <c r="Q87" s="393"/>
      <c r="R87" s="393"/>
      <c r="S87" s="393"/>
      <c r="T87" s="393"/>
      <c r="U87" s="393"/>
      <c r="V87" s="393"/>
      <c r="W87" s="393"/>
      <c r="X87" s="393"/>
      <c r="Y87" s="393"/>
      <c r="Z87" s="393"/>
      <c r="AA87" s="393"/>
      <c r="AB87" s="393"/>
      <c r="AC87" s="393"/>
      <c r="AD87" s="393"/>
      <c r="AE87" s="393"/>
      <c r="AF87" s="393"/>
      <c r="AG87" s="384">
        <f>'107.5 - Chlazení pro VZT ...'!J34</f>
        <v>0</v>
      </c>
      <c r="AH87" s="385"/>
      <c r="AI87" s="385"/>
      <c r="AJ87" s="385"/>
      <c r="AK87" s="385"/>
      <c r="AL87" s="385"/>
      <c r="AM87" s="385"/>
      <c r="AN87" s="384">
        <f t="shared" si="2"/>
        <v>0</v>
      </c>
      <c r="AO87" s="385"/>
      <c r="AP87" s="385"/>
      <c r="AQ87" s="100" t="s">
        <v>86</v>
      </c>
      <c r="AR87" s="55"/>
      <c r="AS87" s="101">
        <v>0</v>
      </c>
      <c r="AT87" s="102">
        <f t="shared" si="3"/>
        <v>0</v>
      </c>
      <c r="AU87" s="103">
        <f>'107.5 - Chlazení pro VZT ...'!P96</f>
        <v>0</v>
      </c>
      <c r="AV87" s="102">
        <f>'107.5 - Chlazení pro VZT ...'!J37</f>
        <v>0</v>
      </c>
      <c r="AW87" s="102">
        <f>'107.5 - Chlazení pro VZT ...'!J38</f>
        <v>0</v>
      </c>
      <c r="AX87" s="102">
        <f>'107.5 - Chlazení pro VZT ...'!J39</f>
        <v>0</v>
      </c>
      <c r="AY87" s="102">
        <f>'107.5 - Chlazení pro VZT ...'!J40</f>
        <v>0</v>
      </c>
      <c r="AZ87" s="102">
        <f>'107.5 - Chlazení pro VZT ...'!F37</f>
        <v>0</v>
      </c>
      <c r="BA87" s="102">
        <f>'107.5 - Chlazení pro VZT ...'!F38</f>
        <v>0</v>
      </c>
      <c r="BB87" s="102">
        <f>'107.5 - Chlazení pro VZT ...'!F39</f>
        <v>0</v>
      </c>
      <c r="BC87" s="102">
        <f>'107.5 - Chlazení pro VZT ...'!F40</f>
        <v>0</v>
      </c>
      <c r="BD87" s="104">
        <f>'107.5 - Chlazení pro VZT ...'!F41</f>
        <v>0</v>
      </c>
      <c r="BT87" s="105" t="s">
        <v>99</v>
      </c>
      <c r="BV87" s="105" t="s">
        <v>74</v>
      </c>
      <c r="BW87" s="105" t="s">
        <v>180</v>
      </c>
      <c r="BX87" s="105" t="s">
        <v>150</v>
      </c>
      <c r="CL87" s="105" t="s">
        <v>19</v>
      </c>
    </row>
    <row r="88" spans="1:90" s="4" customFormat="1" ht="16.5" customHeight="1">
      <c r="A88" s="98" t="s">
        <v>83</v>
      </c>
      <c r="B88" s="53"/>
      <c r="C88" s="99"/>
      <c r="D88" s="99"/>
      <c r="E88" s="99"/>
      <c r="F88" s="393" t="s">
        <v>181</v>
      </c>
      <c r="G88" s="393"/>
      <c r="H88" s="393"/>
      <c r="I88" s="393"/>
      <c r="J88" s="393"/>
      <c r="K88" s="99"/>
      <c r="L88" s="393" t="s">
        <v>182</v>
      </c>
      <c r="M88" s="393"/>
      <c r="N88" s="393"/>
      <c r="O88" s="393"/>
      <c r="P88" s="393"/>
      <c r="Q88" s="393"/>
      <c r="R88" s="393"/>
      <c r="S88" s="393"/>
      <c r="T88" s="393"/>
      <c r="U88" s="393"/>
      <c r="V88" s="393"/>
      <c r="W88" s="393"/>
      <c r="X88" s="393"/>
      <c r="Y88" s="393"/>
      <c r="Z88" s="393"/>
      <c r="AA88" s="393"/>
      <c r="AB88" s="393"/>
      <c r="AC88" s="393"/>
      <c r="AD88" s="393"/>
      <c r="AE88" s="393"/>
      <c r="AF88" s="393"/>
      <c r="AG88" s="384">
        <f>'107.6 - Chlazení pro VZT ...'!J34</f>
        <v>0</v>
      </c>
      <c r="AH88" s="385"/>
      <c r="AI88" s="385"/>
      <c r="AJ88" s="385"/>
      <c r="AK88" s="385"/>
      <c r="AL88" s="385"/>
      <c r="AM88" s="385"/>
      <c r="AN88" s="384">
        <f t="shared" si="2"/>
        <v>0</v>
      </c>
      <c r="AO88" s="385"/>
      <c r="AP88" s="385"/>
      <c r="AQ88" s="100" t="s">
        <v>86</v>
      </c>
      <c r="AR88" s="55"/>
      <c r="AS88" s="101">
        <v>0</v>
      </c>
      <c r="AT88" s="102">
        <f t="shared" si="3"/>
        <v>0</v>
      </c>
      <c r="AU88" s="103">
        <f>'107.6 - Chlazení pro VZT ...'!P96</f>
        <v>0</v>
      </c>
      <c r="AV88" s="102">
        <f>'107.6 - Chlazení pro VZT ...'!J37</f>
        <v>0</v>
      </c>
      <c r="AW88" s="102">
        <f>'107.6 - Chlazení pro VZT ...'!J38</f>
        <v>0</v>
      </c>
      <c r="AX88" s="102">
        <f>'107.6 - Chlazení pro VZT ...'!J39</f>
        <v>0</v>
      </c>
      <c r="AY88" s="102">
        <f>'107.6 - Chlazení pro VZT ...'!J40</f>
        <v>0</v>
      </c>
      <c r="AZ88" s="102">
        <f>'107.6 - Chlazení pro VZT ...'!F37</f>
        <v>0</v>
      </c>
      <c r="BA88" s="102">
        <f>'107.6 - Chlazení pro VZT ...'!F38</f>
        <v>0</v>
      </c>
      <c r="BB88" s="102">
        <f>'107.6 - Chlazení pro VZT ...'!F39</f>
        <v>0</v>
      </c>
      <c r="BC88" s="102">
        <f>'107.6 - Chlazení pro VZT ...'!F40</f>
        <v>0</v>
      </c>
      <c r="BD88" s="104">
        <f>'107.6 - Chlazení pro VZT ...'!F41</f>
        <v>0</v>
      </c>
      <c r="BT88" s="105" t="s">
        <v>99</v>
      </c>
      <c r="BV88" s="105" t="s">
        <v>74</v>
      </c>
      <c r="BW88" s="105" t="s">
        <v>183</v>
      </c>
      <c r="BX88" s="105" t="s">
        <v>150</v>
      </c>
      <c r="CL88" s="105" t="s">
        <v>19</v>
      </c>
    </row>
    <row r="89" spans="1:90" s="4" customFormat="1" ht="16.5" customHeight="1">
      <c r="A89" s="98" t="s">
        <v>83</v>
      </c>
      <c r="B89" s="53"/>
      <c r="C89" s="99"/>
      <c r="D89" s="99"/>
      <c r="E89" s="99"/>
      <c r="F89" s="393" t="s">
        <v>184</v>
      </c>
      <c r="G89" s="393"/>
      <c r="H89" s="393"/>
      <c r="I89" s="393"/>
      <c r="J89" s="393"/>
      <c r="K89" s="99"/>
      <c r="L89" s="393" t="s">
        <v>185</v>
      </c>
      <c r="M89" s="393"/>
      <c r="N89" s="393"/>
      <c r="O89" s="393"/>
      <c r="P89" s="393"/>
      <c r="Q89" s="393"/>
      <c r="R89" s="393"/>
      <c r="S89" s="393"/>
      <c r="T89" s="393"/>
      <c r="U89" s="393"/>
      <c r="V89" s="393"/>
      <c r="W89" s="393"/>
      <c r="X89" s="393"/>
      <c r="Y89" s="393"/>
      <c r="Z89" s="393"/>
      <c r="AA89" s="393"/>
      <c r="AB89" s="393"/>
      <c r="AC89" s="393"/>
      <c r="AD89" s="393"/>
      <c r="AE89" s="393"/>
      <c r="AF89" s="393"/>
      <c r="AG89" s="384">
        <f>'107.7 - Chlazení pro VZT ...'!J34</f>
        <v>0</v>
      </c>
      <c r="AH89" s="385"/>
      <c r="AI89" s="385"/>
      <c r="AJ89" s="385"/>
      <c r="AK89" s="385"/>
      <c r="AL89" s="385"/>
      <c r="AM89" s="385"/>
      <c r="AN89" s="384">
        <f t="shared" si="2"/>
        <v>0</v>
      </c>
      <c r="AO89" s="385"/>
      <c r="AP89" s="385"/>
      <c r="AQ89" s="100" t="s">
        <v>86</v>
      </c>
      <c r="AR89" s="55"/>
      <c r="AS89" s="101">
        <v>0</v>
      </c>
      <c r="AT89" s="102">
        <f t="shared" si="3"/>
        <v>0</v>
      </c>
      <c r="AU89" s="103">
        <f>'107.7 - Chlazení pro VZT ...'!P96</f>
        <v>0</v>
      </c>
      <c r="AV89" s="102">
        <f>'107.7 - Chlazení pro VZT ...'!J37</f>
        <v>0</v>
      </c>
      <c r="AW89" s="102">
        <f>'107.7 - Chlazení pro VZT ...'!J38</f>
        <v>0</v>
      </c>
      <c r="AX89" s="102">
        <f>'107.7 - Chlazení pro VZT ...'!J39</f>
        <v>0</v>
      </c>
      <c r="AY89" s="102">
        <f>'107.7 - Chlazení pro VZT ...'!J40</f>
        <v>0</v>
      </c>
      <c r="AZ89" s="102">
        <f>'107.7 - Chlazení pro VZT ...'!F37</f>
        <v>0</v>
      </c>
      <c r="BA89" s="102">
        <f>'107.7 - Chlazení pro VZT ...'!F38</f>
        <v>0</v>
      </c>
      <c r="BB89" s="102">
        <f>'107.7 - Chlazení pro VZT ...'!F39</f>
        <v>0</v>
      </c>
      <c r="BC89" s="102">
        <f>'107.7 - Chlazení pro VZT ...'!F40</f>
        <v>0</v>
      </c>
      <c r="BD89" s="104">
        <f>'107.7 - Chlazení pro VZT ...'!F41</f>
        <v>0</v>
      </c>
      <c r="BT89" s="105" t="s">
        <v>99</v>
      </c>
      <c r="BV89" s="105" t="s">
        <v>74</v>
      </c>
      <c r="BW89" s="105" t="s">
        <v>186</v>
      </c>
      <c r="BX89" s="105" t="s">
        <v>150</v>
      </c>
      <c r="CL89" s="105" t="s">
        <v>19</v>
      </c>
    </row>
    <row r="90" spans="1:90" s="4" customFormat="1" ht="16.5" customHeight="1">
      <c r="A90" s="98" t="s">
        <v>83</v>
      </c>
      <c r="B90" s="53"/>
      <c r="C90" s="99"/>
      <c r="D90" s="99"/>
      <c r="E90" s="99"/>
      <c r="F90" s="393" t="s">
        <v>187</v>
      </c>
      <c r="G90" s="393"/>
      <c r="H90" s="393"/>
      <c r="I90" s="393"/>
      <c r="J90" s="393"/>
      <c r="K90" s="99"/>
      <c r="L90" s="393" t="s">
        <v>188</v>
      </c>
      <c r="M90" s="393"/>
      <c r="N90" s="393"/>
      <c r="O90" s="393"/>
      <c r="P90" s="393"/>
      <c r="Q90" s="393"/>
      <c r="R90" s="393"/>
      <c r="S90" s="393"/>
      <c r="T90" s="393"/>
      <c r="U90" s="393"/>
      <c r="V90" s="393"/>
      <c r="W90" s="393"/>
      <c r="X90" s="393"/>
      <c r="Y90" s="393"/>
      <c r="Z90" s="393"/>
      <c r="AA90" s="393"/>
      <c r="AB90" s="393"/>
      <c r="AC90" s="393"/>
      <c r="AD90" s="393"/>
      <c r="AE90" s="393"/>
      <c r="AF90" s="393"/>
      <c r="AG90" s="384">
        <f>'107.8 - Chlazení pro VZT ...'!J34</f>
        <v>0</v>
      </c>
      <c r="AH90" s="385"/>
      <c r="AI90" s="385"/>
      <c r="AJ90" s="385"/>
      <c r="AK90" s="385"/>
      <c r="AL90" s="385"/>
      <c r="AM90" s="385"/>
      <c r="AN90" s="384">
        <f t="shared" si="2"/>
        <v>0</v>
      </c>
      <c r="AO90" s="385"/>
      <c r="AP90" s="385"/>
      <c r="AQ90" s="100" t="s">
        <v>86</v>
      </c>
      <c r="AR90" s="55"/>
      <c r="AS90" s="101">
        <v>0</v>
      </c>
      <c r="AT90" s="102">
        <f t="shared" si="3"/>
        <v>0</v>
      </c>
      <c r="AU90" s="103">
        <f>'107.8 - Chlazení pro VZT ...'!P96</f>
        <v>0</v>
      </c>
      <c r="AV90" s="102">
        <f>'107.8 - Chlazení pro VZT ...'!J37</f>
        <v>0</v>
      </c>
      <c r="AW90" s="102">
        <f>'107.8 - Chlazení pro VZT ...'!J38</f>
        <v>0</v>
      </c>
      <c r="AX90" s="102">
        <f>'107.8 - Chlazení pro VZT ...'!J39</f>
        <v>0</v>
      </c>
      <c r="AY90" s="102">
        <f>'107.8 - Chlazení pro VZT ...'!J40</f>
        <v>0</v>
      </c>
      <c r="AZ90" s="102">
        <f>'107.8 - Chlazení pro VZT ...'!F37</f>
        <v>0</v>
      </c>
      <c r="BA90" s="102">
        <f>'107.8 - Chlazení pro VZT ...'!F38</f>
        <v>0</v>
      </c>
      <c r="BB90" s="102">
        <f>'107.8 - Chlazení pro VZT ...'!F39</f>
        <v>0</v>
      </c>
      <c r="BC90" s="102">
        <f>'107.8 - Chlazení pro VZT ...'!F40</f>
        <v>0</v>
      </c>
      <c r="BD90" s="104">
        <f>'107.8 - Chlazení pro VZT ...'!F41</f>
        <v>0</v>
      </c>
      <c r="BT90" s="105" t="s">
        <v>99</v>
      </c>
      <c r="BV90" s="105" t="s">
        <v>74</v>
      </c>
      <c r="BW90" s="105" t="s">
        <v>189</v>
      </c>
      <c r="BX90" s="105" t="s">
        <v>150</v>
      </c>
      <c r="CL90" s="105" t="s">
        <v>19</v>
      </c>
    </row>
    <row r="91" spans="1:90" s="4" customFormat="1" ht="16.5" customHeight="1">
      <c r="A91" s="98" t="s">
        <v>83</v>
      </c>
      <c r="B91" s="53"/>
      <c r="C91" s="99"/>
      <c r="D91" s="99"/>
      <c r="E91" s="99"/>
      <c r="F91" s="393" t="s">
        <v>190</v>
      </c>
      <c r="G91" s="393"/>
      <c r="H91" s="393"/>
      <c r="I91" s="393"/>
      <c r="J91" s="393"/>
      <c r="K91" s="99"/>
      <c r="L91" s="393" t="s">
        <v>191</v>
      </c>
      <c r="M91" s="393"/>
      <c r="N91" s="393"/>
      <c r="O91" s="393"/>
      <c r="P91" s="393"/>
      <c r="Q91" s="393"/>
      <c r="R91" s="393"/>
      <c r="S91" s="393"/>
      <c r="T91" s="393"/>
      <c r="U91" s="393"/>
      <c r="V91" s="393"/>
      <c r="W91" s="393"/>
      <c r="X91" s="393"/>
      <c r="Y91" s="393"/>
      <c r="Z91" s="393"/>
      <c r="AA91" s="393"/>
      <c r="AB91" s="393"/>
      <c r="AC91" s="393"/>
      <c r="AD91" s="393"/>
      <c r="AE91" s="393"/>
      <c r="AF91" s="393"/>
      <c r="AG91" s="384">
        <f>'208 - Okruh server - M3.17'!J34</f>
        <v>0</v>
      </c>
      <c r="AH91" s="385"/>
      <c r="AI91" s="385"/>
      <c r="AJ91" s="385"/>
      <c r="AK91" s="385"/>
      <c r="AL91" s="385"/>
      <c r="AM91" s="385"/>
      <c r="AN91" s="384">
        <f t="shared" si="2"/>
        <v>0</v>
      </c>
      <c r="AO91" s="385"/>
      <c r="AP91" s="385"/>
      <c r="AQ91" s="100" t="s">
        <v>86</v>
      </c>
      <c r="AR91" s="55"/>
      <c r="AS91" s="101">
        <v>0</v>
      </c>
      <c r="AT91" s="102">
        <f t="shared" si="3"/>
        <v>0</v>
      </c>
      <c r="AU91" s="103">
        <f>'208 - Okruh server - M3.17'!P97</f>
        <v>0</v>
      </c>
      <c r="AV91" s="102">
        <f>'208 - Okruh server - M3.17'!J37</f>
        <v>0</v>
      </c>
      <c r="AW91" s="102">
        <f>'208 - Okruh server - M3.17'!J38</f>
        <v>0</v>
      </c>
      <c r="AX91" s="102">
        <f>'208 - Okruh server - M3.17'!J39</f>
        <v>0</v>
      </c>
      <c r="AY91" s="102">
        <f>'208 - Okruh server - M3.17'!J40</f>
        <v>0</v>
      </c>
      <c r="AZ91" s="102">
        <f>'208 - Okruh server - M3.17'!F37</f>
        <v>0</v>
      </c>
      <c r="BA91" s="102">
        <f>'208 - Okruh server - M3.17'!F38</f>
        <v>0</v>
      </c>
      <c r="BB91" s="102">
        <f>'208 - Okruh server - M3.17'!F39</f>
        <v>0</v>
      </c>
      <c r="BC91" s="102">
        <f>'208 - Okruh server - M3.17'!F40</f>
        <v>0</v>
      </c>
      <c r="BD91" s="104">
        <f>'208 - Okruh server - M3.17'!F41</f>
        <v>0</v>
      </c>
      <c r="BT91" s="105" t="s">
        <v>99</v>
      </c>
      <c r="BV91" s="105" t="s">
        <v>74</v>
      </c>
      <c r="BW91" s="105" t="s">
        <v>192</v>
      </c>
      <c r="BX91" s="105" t="s">
        <v>150</v>
      </c>
      <c r="CL91" s="105" t="s">
        <v>19</v>
      </c>
    </row>
    <row r="92" spans="1:90" s="4" customFormat="1" ht="16.5" customHeight="1">
      <c r="A92" s="98" t="s">
        <v>83</v>
      </c>
      <c r="B92" s="53"/>
      <c r="C92" s="99"/>
      <c r="D92" s="99"/>
      <c r="E92" s="99"/>
      <c r="F92" s="393" t="s">
        <v>193</v>
      </c>
      <c r="G92" s="393"/>
      <c r="H92" s="393"/>
      <c r="I92" s="393"/>
      <c r="J92" s="393"/>
      <c r="K92" s="99"/>
      <c r="L92" s="393" t="s">
        <v>194</v>
      </c>
      <c r="M92" s="393"/>
      <c r="N92" s="393"/>
      <c r="O92" s="393"/>
      <c r="P92" s="393"/>
      <c r="Q92" s="393"/>
      <c r="R92" s="393"/>
      <c r="S92" s="393"/>
      <c r="T92" s="393"/>
      <c r="U92" s="393"/>
      <c r="V92" s="393"/>
      <c r="W92" s="393"/>
      <c r="X92" s="393"/>
      <c r="Y92" s="393"/>
      <c r="Z92" s="393"/>
      <c r="AA92" s="393"/>
      <c r="AB92" s="393"/>
      <c r="AC92" s="393"/>
      <c r="AD92" s="393"/>
      <c r="AE92" s="393"/>
      <c r="AF92" s="393"/>
      <c r="AG92" s="384">
        <f>'209 - Okruh server - M2.16'!J34</f>
        <v>0</v>
      </c>
      <c r="AH92" s="385"/>
      <c r="AI92" s="385"/>
      <c r="AJ92" s="385"/>
      <c r="AK92" s="385"/>
      <c r="AL92" s="385"/>
      <c r="AM92" s="385"/>
      <c r="AN92" s="384">
        <f t="shared" si="2"/>
        <v>0</v>
      </c>
      <c r="AO92" s="385"/>
      <c r="AP92" s="385"/>
      <c r="AQ92" s="100" t="s">
        <v>86</v>
      </c>
      <c r="AR92" s="55"/>
      <c r="AS92" s="101">
        <v>0</v>
      </c>
      <c r="AT92" s="102">
        <f t="shared" si="3"/>
        <v>0</v>
      </c>
      <c r="AU92" s="103">
        <f>'209 - Okruh server - M2.16'!P97</f>
        <v>0</v>
      </c>
      <c r="AV92" s="102">
        <f>'209 - Okruh server - M2.16'!J37</f>
        <v>0</v>
      </c>
      <c r="AW92" s="102">
        <f>'209 - Okruh server - M2.16'!J38</f>
        <v>0</v>
      </c>
      <c r="AX92" s="102">
        <f>'209 - Okruh server - M2.16'!J39</f>
        <v>0</v>
      </c>
      <c r="AY92" s="102">
        <f>'209 - Okruh server - M2.16'!J40</f>
        <v>0</v>
      </c>
      <c r="AZ92" s="102">
        <f>'209 - Okruh server - M2.16'!F37</f>
        <v>0</v>
      </c>
      <c r="BA92" s="102">
        <f>'209 - Okruh server - M2.16'!F38</f>
        <v>0</v>
      </c>
      <c r="BB92" s="102">
        <f>'209 - Okruh server - M2.16'!F39</f>
        <v>0</v>
      </c>
      <c r="BC92" s="102">
        <f>'209 - Okruh server - M2.16'!F40</f>
        <v>0</v>
      </c>
      <c r="BD92" s="104">
        <f>'209 - Okruh server - M2.16'!F41</f>
        <v>0</v>
      </c>
      <c r="BT92" s="105" t="s">
        <v>99</v>
      </c>
      <c r="BV92" s="105" t="s">
        <v>74</v>
      </c>
      <c r="BW92" s="105" t="s">
        <v>195</v>
      </c>
      <c r="BX92" s="105" t="s">
        <v>150</v>
      </c>
      <c r="CL92" s="105" t="s">
        <v>19</v>
      </c>
    </row>
    <row r="93" spans="1:90" s="4" customFormat="1" ht="23.25" customHeight="1">
      <c r="A93" s="98" t="s">
        <v>83</v>
      </c>
      <c r="B93" s="53"/>
      <c r="C93" s="99"/>
      <c r="D93" s="99"/>
      <c r="E93" s="99"/>
      <c r="F93" s="393" t="s">
        <v>196</v>
      </c>
      <c r="G93" s="393"/>
      <c r="H93" s="393"/>
      <c r="I93" s="393"/>
      <c r="J93" s="393"/>
      <c r="K93" s="99"/>
      <c r="L93" s="393" t="s">
        <v>197</v>
      </c>
      <c r="M93" s="393"/>
      <c r="N93" s="393"/>
      <c r="O93" s="393"/>
      <c r="P93" s="393"/>
      <c r="Q93" s="393"/>
      <c r="R93" s="393"/>
      <c r="S93" s="393"/>
      <c r="T93" s="393"/>
      <c r="U93" s="393"/>
      <c r="V93" s="393"/>
      <c r="W93" s="393"/>
      <c r="X93" s="393"/>
      <c r="Y93" s="393"/>
      <c r="Z93" s="393"/>
      <c r="AA93" s="393"/>
      <c r="AB93" s="393"/>
      <c r="AC93" s="393"/>
      <c r="AD93" s="393"/>
      <c r="AE93" s="393"/>
      <c r="AF93" s="393"/>
      <c r="AG93" s="384">
        <f>'313 - Okruh badatelna a k...'!J34</f>
        <v>0</v>
      </c>
      <c r="AH93" s="385"/>
      <c r="AI93" s="385"/>
      <c r="AJ93" s="385"/>
      <c r="AK93" s="385"/>
      <c r="AL93" s="385"/>
      <c r="AM93" s="385"/>
      <c r="AN93" s="384">
        <f t="shared" si="2"/>
        <v>0</v>
      </c>
      <c r="AO93" s="385"/>
      <c r="AP93" s="385"/>
      <c r="AQ93" s="100" t="s">
        <v>86</v>
      </c>
      <c r="AR93" s="55"/>
      <c r="AS93" s="101">
        <v>0</v>
      </c>
      <c r="AT93" s="102">
        <f t="shared" si="3"/>
        <v>0</v>
      </c>
      <c r="AU93" s="103">
        <f>'313 - Okruh badatelna a k...'!P96</f>
        <v>0</v>
      </c>
      <c r="AV93" s="102">
        <f>'313 - Okruh badatelna a k...'!J37</f>
        <v>0</v>
      </c>
      <c r="AW93" s="102">
        <f>'313 - Okruh badatelna a k...'!J38</f>
        <v>0</v>
      </c>
      <c r="AX93" s="102">
        <f>'313 - Okruh badatelna a k...'!J39</f>
        <v>0</v>
      </c>
      <c r="AY93" s="102">
        <f>'313 - Okruh badatelna a k...'!J40</f>
        <v>0</v>
      </c>
      <c r="AZ93" s="102">
        <f>'313 - Okruh badatelna a k...'!F37</f>
        <v>0</v>
      </c>
      <c r="BA93" s="102">
        <f>'313 - Okruh badatelna a k...'!F38</f>
        <v>0</v>
      </c>
      <c r="BB93" s="102">
        <f>'313 - Okruh badatelna a k...'!F39</f>
        <v>0</v>
      </c>
      <c r="BC93" s="102">
        <f>'313 - Okruh badatelna a k...'!F40</f>
        <v>0</v>
      </c>
      <c r="BD93" s="104">
        <f>'313 - Okruh badatelna a k...'!F41</f>
        <v>0</v>
      </c>
      <c r="BT93" s="105" t="s">
        <v>99</v>
      </c>
      <c r="BV93" s="105" t="s">
        <v>74</v>
      </c>
      <c r="BW93" s="105" t="s">
        <v>198</v>
      </c>
      <c r="BX93" s="105" t="s">
        <v>150</v>
      </c>
      <c r="CL93" s="105" t="s">
        <v>19</v>
      </c>
    </row>
    <row r="94" spans="1:90" s="4" customFormat="1" ht="16.5" customHeight="1">
      <c r="A94" s="98" t="s">
        <v>83</v>
      </c>
      <c r="B94" s="53"/>
      <c r="C94" s="99"/>
      <c r="D94" s="99"/>
      <c r="E94" s="99"/>
      <c r="F94" s="393" t="s">
        <v>199</v>
      </c>
      <c r="G94" s="393"/>
      <c r="H94" s="393"/>
      <c r="I94" s="393"/>
      <c r="J94" s="393"/>
      <c r="K94" s="99"/>
      <c r="L94" s="393" t="s">
        <v>200</v>
      </c>
      <c r="M94" s="393"/>
      <c r="N94" s="393"/>
      <c r="O94" s="393"/>
      <c r="P94" s="393"/>
      <c r="Q94" s="393"/>
      <c r="R94" s="393"/>
      <c r="S94" s="393"/>
      <c r="T94" s="393"/>
      <c r="U94" s="393"/>
      <c r="V94" s="393"/>
      <c r="W94" s="393"/>
      <c r="X94" s="393"/>
      <c r="Y94" s="393"/>
      <c r="Z94" s="393"/>
      <c r="AA94" s="393"/>
      <c r="AB94" s="393"/>
      <c r="AC94" s="393"/>
      <c r="AD94" s="393"/>
      <c r="AE94" s="393"/>
      <c r="AF94" s="393"/>
      <c r="AG94" s="384">
        <f>'314 - Okruh konferenční m...'!J34</f>
        <v>0</v>
      </c>
      <c r="AH94" s="385"/>
      <c r="AI94" s="385"/>
      <c r="AJ94" s="385"/>
      <c r="AK94" s="385"/>
      <c r="AL94" s="385"/>
      <c r="AM94" s="385"/>
      <c r="AN94" s="384">
        <f t="shared" si="2"/>
        <v>0</v>
      </c>
      <c r="AO94" s="385"/>
      <c r="AP94" s="385"/>
      <c r="AQ94" s="100" t="s">
        <v>86</v>
      </c>
      <c r="AR94" s="55"/>
      <c r="AS94" s="101">
        <v>0</v>
      </c>
      <c r="AT94" s="102">
        <f t="shared" si="3"/>
        <v>0</v>
      </c>
      <c r="AU94" s="103">
        <f>'314 - Okruh konferenční m...'!P96</f>
        <v>0</v>
      </c>
      <c r="AV94" s="102">
        <f>'314 - Okruh konferenční m...'!J37</f>
        <v>0</v>
      </c>
      <c r="AW94" s="102">
        <f>'314 - Okruh konferenční m...'!J38</f>
        <v>0</v>
      </c>
      <c r="AX94" s="102">
        <f>'314 - Okruh konferenční m...'!J39</f>
        <v>0</v>
      </c>
      <c r="AY94" s="102">
        <f>'314 - Okruh konferenční m...'!J40</f>
        <v>0</v>
      </c>
      <c r="AZ94" s="102">
        <f>'314 - Okruh konferenční m...'!F37</f>
        <v>0</v>
      </c>
      <c r="BA94" s="102">
        <f>'314 - Okruh konferenční m...'!F38</f>
        <v>0</v>
      </c>
      <c r="BB94" s="102">
        <f>'314 - Okruh konferenční m...'!F39</f>
        <v>0</v>
      </c>
      <c r="BC94" s="102">
        <f>'314 - Okruh konferenční m...'!F40</f>
        <v>0</v>
      </c>
      <c r="BD94" s="104">
        <f>'314 - Okruh konferenční m...'!F41</f>
        <v>0</v>
      </c>
      <c r="BT94" s="105" t="s">
        <v>99</v>
      </c>
      <c r="BV94" s="105" t="s">
        <v>74</v>
      </c>
      <c r="BW94" s="105" t="s">
        <v>201</v>
      </c>
      <c r="BX94" s="105" t="s">
        <v>150</v>
      </c>
      <c r="CL94" s="105" t="s">
        <v>19</v>
      </c>
    </row>
    <row r="95" spans="1:90" s="4" customFormat="1" ht="16.5" customHeight="1">
      <c r="A95" s="98" t="s">
        <v>83</v>
      </c>
      <c r="B95" s="53"/>
      <c r="C95" s="99"/>
      <c r="D95" s="99"/>
      <c r="E95" s="99"/>
      <c r="F95" s="393" t="s">
        <v>202</v>
      </c>
      <c r="G95" s="393"/>
      <c r="H95" s="393"/>
      <c r="I95" s="393"/>
      <c r="J95" s="393"/>
      <c r="K95" s="99"/>
      <c r="L95" s="393" t="s">
        <v>203</v>
      </c>
      <c r="M95" s="393"/>
      <c r="N95" s="393"/>
      <c r="O95" s="393"/>
      <c r="P95" s="393"/>
      <c r="Q95" s="393"/>
      <c r="R95" s="393"/>
      <c r="S95" s="393"/>
      <c r="T95" s="393"/>
      <c r="U95" s="393"/>
      <c r="V95" s="393"/>
      <c r="W95" s="393"/>
      <c r="X95" s="393"/>
      <c r="Y95" s="393"/>
      <c r="Z95" s="393"/>
      <c r="AA95" s="393"/>
      <c r="AB95" s="393"/>
      <c r="AC95" s="393"/>
      <c r="AD95" s="393"/>
      <c r="AE95" s="393"/>
      <c r="AF95" s="393"/>
      <c r="AG95" s="384">
        <f>'316 - Okruh kanceláře - M...'!J34</f>
        <v>0</v>
      </c>
      <c r="AH95" s="385"/>
      <c r="AI95" s="385"/>
      <c r="AJ95" s="385"/>
      <c r="AK95" s="385"/>
      <c r="AL95" s="385"/>
      <c r="AM95" s="385"/>
      <c r="AN95" s="384">
        <f t="shared" si="2"/>
        <v>0</v>
      </c>
      <c r="AO95" s="385"/>
      <c r="AP95" s="385"/>
      <c r="AQ95" s="100" t="s">
        <v>86</v>
      </c>
      <c r="AR95" s="55"/>
      <c r="AS95" s="101">
        <v>0</v>
      </c>
      <c r="AT95" s="102">
        <f t="shared" si="3"/>
        <v>0</v>
      </c>
      <c r="AU95" s="103">
        <f>'316 - Okruh kanceláře - M...'!P96</f>
        <v>0</v>
      </c>
      <c r="AV95" s="102">
        <f>'316 - Okruh kanceláře - M...'!J37</f>
        <v>0</v>
      </c>
      <c r="AW95" s="102">
        <f>'316 - Okruh kanceláře - M...'!J38</f>
        <v>0</v>
      </c>
      <c r="AX95" s="102">
        <f>'316 - Okruh kanceláře - M...'!J39</f>
        <v>0</v>
      </c>
      <c r="AY95" s="102">
        <f>'316 - Okruh kanceláře - M...'!J40</f>
        <v>0</v>
      </c>
      <c r="AZ95" s="102">
        <f>'316 - Okruh kanceláře - M...'!F37</f>
        <v>0</v>
      </c>
      <c r="BA95" s="102">
        <f>'316 - Okruh kanceláře - M...'!F38</f>
        <v>0</v>
      </c>
      <c r="BB95" s="102">
        <f>'316 - Okruh kanceláře - M...'!F39</f>
        <v>0</v>
      </c>
      <c r="BC95" s="102">
        <f>'316 - Okruh kanceláře - M...'!F40</f>
        <v>0</v>
      </c>
      <c r="BD95" s="104">
        <f>'316 - Okruh kanceláře - M...'!F41</f>
        <v>0</v>
      </c>
      <c r="BT95" s="105" t="s">
        <v>99</v>
      </c>
      <c r="BV95" s="105" t="s">
        <v>74</v>
      </c>
      <c r="BW95" s="105" t="s">
        <v>204</v>
      </c>
      <c r="BX95" s="105" t="s">
        <v>150</v>
      </c>
      <c r="CL95" s="105" t="s">
        <v>19</v>
      </c>
    </row>
    <row r="96" spans="1:90" s="4" customFormat="1" ht="16.5" customHeight="1">
      <c r="A96" s="98" t="s">
        <v>83</v>
      </c>
      <c r="B96" s="53"/>
      <c r="C96" s="99"/>
      <c r="D96" s="99"/>
      <c r="E96" s="99"/>
      <c r="F96" s="393" t="s">
        <v>205</v>
      </c>
      <c r="G96" s="393"/>
      <c r="H96" s="393"/>
      <c r="I96" s="393"/>
      <c r="J96" s="393"/>
      <c r="K96" s="99"/>
      <c r="L96" s="393" t="s">
        <v>206</v>
      </c>
      <c r="M96" s="393"/>
      <c r="N96" s="393"/>
      <c r="O96" s="393"/>
      <c r="P96" s="393"/>
      <c r="Q96" s="393"/>
      <c r="R96" s="393"/>
      <c r="S96" s="393"/>
      <c r="T96" s="393"/>
      <c r="U96" s="393"/>
      <c r="V96" s="393"/>
      <c r="W96" s="393"/>
      <c r="X96" s="393"/>
      <c r="Y96" s="393"/>
      <c r="Z96" s="393"/>
      <c r="AA96" s="393"/>
      <c r="AB96" s="393"/>
      <c r="AC96" s="393"/>
      <c r="AD96" s="393"/>
      <c r="AE96" s="393"/>
      <c r="AF96" s="393"/>
      <c r="AG96" s="384">
        <f>'410 - Okruh kanceláře - M...'!J34</f>
        <v>0</v>
      </c>
      <c r="AH96" s="385"/>
      <c r="AI96" s="385"/>
      <c r="AJ96" s="385"/>
      <c r="AK96" s="385"/>
      <c r="AL96" s="385"/>
      <c r="AM96" s="385"/>
      <c r="AN96" s="384">
        <f t="shared" si="2"/>
        <v>0</v>
      </c>
      <c r="AO96" s="385"/>
      <c r="AP96" s="385"/>
      <c r="AQ96" s="100" t="s">
        <v>86</v>
      </c>
      <c r="AR96" s="55"/>
      <c r="AS96" s="101">
        <v>0</v>
      </c>
      <c r="AT96" s="102">
        <f t="shared" si="3"/>
        <v>0</v>
      </c>
      <c r="AU96" s="103">
        <f>'410 - Okruh kanceláře - M...'!P97</f>
        <v>0</v>
      </c>
      <c r="AV96" s="102">
        <f>'410 - Okruh kanceláře - M...'!J37</f>
        <v>0</v>
      </c>
      <c r="AW96" s="102">
        <f>'410 - Okruh kanceláře - M...'!J38</f>
        <v>0</v>
      </c>
      <c r="AX96" s="102">
        <f>'410 - Okruh kanceláře - M...'!J39</f>
        <v>0</v>
      </c>
      <c r="AY96" s="102">
        <f>'410 - Okruh kanceláře - M...'!J40</f>
        <v>0</v>
      </c>
      <c r="AZ96" s="102">
        <f>'410 - Okruh kanceláře - M...'!F37</f>
        <v>0</v>
      </c>
      <c r="BA96" s="102">
        <f>'410 - Okruh kanceláře - M...'!F38</f>
        <v>0</v>
      </c>
      <c r="BB96" s="102">
        <f>'410 - Okruh kanceláře - M...'!F39</f>
        <v>0</v>
      </c>
      <c r="BC96" s="102">
        <f>'410 - Okruh kanceláře - M...'!F40</f>
        <v>0</v>
      </c>
      <c r="BD96" s="104">
        <f>'410 - Okruh kanceláře - M...'!F41</f>
        <v>0</v>
      </c>
      <c r="BT96" s="105" t="s">
        <v>99</v>
      </c>
      <c r="BV96" s="105" t="s">
        <v>74</v>
      </c>
      <c r="BW96" s="105" t="s">
        <v>207</v>
      </c>
      <c r="BX96" s="105" t="s">
        <v>150</v>
      </c>
      <c r="CL96" s="105" t="s">
        <v>19</v>
      </c>
    </row>
    <row r="97" spans="1:91" s="4" customFormat="1" ht="16.5" customHeight="1">
      <c r="A97" s="98" t="s">
        <v>83</v>
      </c>
      <c r="B97" s="53"/>
      <c r="C97" s="99"/>
      <c r="D97" s="99"/>
      <c r="E97" s="99"/>
      <c r="F97" s="393" t="s">
        <v>208</v>
      </c>
      <c r="G97" s="393"/>
      <c r="H97" s="393"/>
      <c r="I97" s="393"/>
      <c r="J97" s="393"/>
      <c r="K97" s="99"/>
      <c r="L97" s="393" t="s">
        <v>209</v>
      </c>
      <c r="M97" s="393"/>
      <c r="N97" s="393"/>
      <c r="O97" s="393"/>
      <c r="P97" s="393"/>
      <c r="Q97" s="393"/>
      <c r="R97" s="393"/>
      <c r="S97" s="393"/>
      <c r="T97" s="393"/>
      <c r="U97" s="393"/>
      <c r="V97" s="393"/>
      <c r="W97" s="393"/>
      <c r="X97" s="393"/>
      <c r="Y97" s="393"/>
      <c r="Z97" s="393"/>
      <c r="AA97" s="393"/>
      <c r="AB97" s="393"/>
      <c r="AC97" s="393"/>
      <c r="AD97" s="393"/>
      <c r="AE97" s="393"/>
      <c r="AF97" s="393"/>
      <c r="AG97" s="384">
        <f>'411 - Okruh kanceláře - M...'!J34</f>
        <v>0</v>
      </c>
      <c r="AH97" s="385"/>
      <c r="AI97" s="385"/>
      <c r="AJ97" s="385"/>
      <c r="AK97" s="385"/>
      <c r="AL97" s="385"/>
      <c r="AM97" s="385"/>
      <c r="AN97" s="384">
        <f t="shared" si="2"/>
        <v>0</v>
      </c>
      <c r="AO97" s="385"/>
      <c r="AP97" s="385"/>
      <c r="AQ97" s="100" t="s">
        <v>86</v>
      </c>
      <c r="AR97" s="55"/>
      <c r="AS97" s="101">
        <v>0</v>
      </c>
      <c r="AT97" s="102">
        <f t="shared" si="3"/>
        <v>0</v>
      </c>
      <c r="AU97" s="103">
        <f>'411 - Okruh kanceláře - M...'!P97</f>
        <v>0</v>
      </c>
      <c r="AV97" s="102">
        <f>'411 - Okruh kanceláře - M...'!J37</f>
        <v>0</v>
      </c>
      <c r="AW97" s="102">
        <f>'411 - Okruh kanceláře - M...'!J38</f>
        <v>0</v>
      </c>
      <c r="AX97" s="102">
        <f>'411 - Okruh kanceláře - M...'!J39</f>
        <v>0</v>
      </c>
      <c r="AY97" s="102">
        <f>'411 - Okruh kanceláře - M...'!J40</f>
        <v>0</v>
      </c>
      <c r="AZ97" s="102">
        <f>'411 - Okruh kanceláře - M...'!F37</f>
        <v>0</v>
      </c>
      <c r="BA97" s="102">
        <f>'411 - Okruh kanceláře - M...'!F38</f>
        <v>0</v>
      </c>
      <c r="BB97" s="102">
        <f>'411 - Okruh kanceláře - M...'!F39</f>
        <v>0</v>
      </c>
      <c r="BC97" s="102">
        <f>'411 - Okruh kanceláře - M...'!F40</f>
        <v>0</v>
      </c>
      <c r="BD97" s="104">
        <f>'411 - Okruh kanceláře - M...'!F41</f>
        <v>0</v>
      </c>
      <c r="BT97" s="105" t="s">
        <v>99</v>
      </c>
      <c r="BV97" s="105" t="s">
        <v>74</v>
      </c>
      <c r="BW97" s="105" t="s">
        <v>210</v>
      </c>
      <c r="BX97" s="105" t="s">
        <v>150</v>
      </c>
      <c r="CL97" s="105" t="s">
        <v>19</v>
      </c>
    </row>
    <row r="98" spans="1:91" s="4" customFormat="1" ht="23.25" customHeight="1">
      <c r="A98" s="98" t="s">
        <v>83</v>
      </c>
      <c r="B98" s="53"/>
      <c r="C98" s="99"/>
      <c r="D98" s="99"/>
      <c r="E98" s="99"/>
      <c r="F98" s="393" t="s">
        <v>211</v>
      </c>
      <c r="G98" s="393"/>
      <c r="H98" s="393"/>
      <c r="I98" s="393"/>
      <c r="J98" s="393"/>
      <c r="K98" s="99"/>
      <c r="L98" s="393" t="s">
        <v>212</v>
      </c>
      <c r="M98" s="393"/>
      <c r="N98" s="393"/>
      <c r="O98" s="393"/>
      <c r="P98" s="393"/>
      <c r="Q98" s="393"/>
      <c r="R98" s="393"/>
      <c r="S98" s="393"/>
      <c r="T98" s="393"/>
      <c r="U98" s="393"/>
      <c r="V98" s="393"/>
      <c r="W98" s="393"/>
      <c r="X98" s="393"/>
      <c r="Y98" s="393"/>
      <c r="Z98" s="393"/>
      <c r="AA98" s="393"/>
      <c r="AB98" s="393"/>
      <c r="AC98" s="393"/>
      <c r="AD98" s="393"/>
      <c r="AE98" s="393"/>
      <c r="AF98" s="393"/>
      <c r="AG98" s="384">
        <f>'412 - Okruh kanceláře - M...'!J34</f>
        <v>0</v>
      </c>
      <c r="AH98" s="385"/>
      <c r="AI98" s="385"/>
      <c r="AJ98" s="385"/>
      <c r="AK98" s="385"/>
      <c r="AL98" s="385"/>
      <c r="AM98" s="385"/>
      <c r="AN98" s="384">
        <f t="shared" si="2"/>
        <v>0</v>
      </c>
      <c r="AO98" s="385"/>
      <c r="AP98" s="385"/>
      <c r="AQ98" s="100" t="s">
        <v>86</v>
      </c>
      <c r="AR98" s="55"/>
      <c r="AS98" s="101">
        <v>0</v>
      </c>
      <c r="AT98" s="102">
        <f t="shared" si="3"/>
        <v>0</v>
      </c>
      <c r="AU98" s="103">
        <f>'412 - Okruh kanceláře - M...'!P97</f>
        <v>0</v>
      </c>
      <c r="AV98" s="102">
        <f>'412 - Okruh kanceláře - M...'!J37</f>
        <v>0</v>
      </c>
      <c r="AW98" s="102">
        <f>'412 - Okruh kanceláře - M...'!J38</f>
        <v>0</v>
      </c>
      <c r="AX98" s="102">
        <f>'412 - Okruh kanceláře - M...'!J39</f>
        <v>0</v>
      </c>
      <c r="AY98" s="102">
        <f>'412 - Okruh kanceláře - M...'!J40</f>
        <v>0</v>
      </c>
      <c r="AZ98" s="102">
        <f>'412 - Okruh kanceláře - M...'!F37</f>
        <v>0</v>
      </c>
      <c r="BA98" s="102">
        <f>'412 - Okruh kanceláře - M...'!F38</f>
        <v>0</v>
      </c>
      <c r="BB98" s="102">
        <f>'412 - Okruh kanceláře - M...'!F39</f>
        <v>0</v>
      </c>
      <c r="BC98" s="102">
        <f>'412 - Okruh kanceláře - M...'!F40</f>
        <v>0</v>
      </c>
      <c r="BD98" s="104">
        <f>'412 - Okruh kanceláře - M...'!F41</f>
        <v>0</v>
      </c>
      <c r="BT98" s="105" t="s">
        <v>99</v>
      </c>
      <c r="BV98" s="105" t="s">
        <v>74</v>
      </c>
      <c r="BW98" s="105" t="s">
        <v>213</v>
      </c>
      <c r="BX98" s="105" t="s">
        <v>150</v>
      </c>
      <c r="CL98" s="105" t="s">
        <v>19</v>
      </c>
    </row>
    <row r="99" spans="1:91" s="4" customFormat="1" ht="16.5" customHeight="1">
      <c r="A99" s="98" t="s">
        <v>83</v>
      </c>
      <c r="B99" s="53"/>
      <c r="C99" s="99"/>
      <c r="D99" s="99"/>
      <c r="E99" s="99"/>
      <c r="F99" s="393" t="s">
        <v>214</v>
      </c>
      <c r="G99" s="393"/>
      <c r="H99" s="393"/>
      <c r="I99" s="393"/>
      <c r="J99" s="393"/>
      <c r="K99" s="99"/>
      <c r="L99" s="393" t="s">
        <v>215</v>
      </c>
      <c r="M99" s="393"/>
      <c r="N99" s="393"/>
      <c r="O99" s="393"/>
      <c r="P99" s="393"/>
      <c r="Q99" s="393"/>
      <c r="R99" s="393"/>
      <c r="S99" s="393"/>
      <c r="T99" s="393"/>
      <c r="U99" s="393"/>
      <c r="V99" s="393"/>
      <c r="W99" s="393"/>
      <c r="X99" s="393"/>
      <c r="Y99" s="393"/>
      <c r="Z99" s="393"/>
      <c r="AA99" s="393"/>
      <c r="AB99" s="393"/>
      <c r="AC99" s="393"/>
      <c r="AD99" s="393"/>
      <c r="AE99" s="393"/>
      <c r="AF99" s="393"/>
      <c r="AG99" s="384">
        <f>'415 - Okruh depozitáře - ...'!J34</f>
        <v>0</v>
      </c>
      <c r="AH99" s="385"/>
      <c r="AI99" s="385"/>
      <c r="AJ99" s="385"/>
      <c r="AK99" s="385"/>
      <c r="AL99" s="385"/>
      <c r="AM99" s="385"/>
      <c r="AN99" s="384">
        <f t="shared" si="2"/>
        <v>0</v>
      </c>
      <c r="AO99" s="385"/>
      <c r="AP99" s="385"/>
      <c r="AQ99" s="100" t="s">
        <v>86</v>
      </c>
      <c r="AR99" s="55"/>
      <c r="AS99" s="101">
        <v>0</v>
      </c>
      <c r="AT99" s="102">
        <f t="shared" si="3"/>
        <v>0</v>
      </c>
      <c r="AU99" s="103">
        <f>'415 - Okruh depozitáře - ...'!P96</f>
        <v>0</v>
      </c>
      <c r="AV99" s="102">
        <f>'415 - Okruh depozitáře - ...'!J37</f>
        <v>0</v>
      </c>
      <c r="AW99" s="102">
        <f>'415 - Okruh depozitáře - ...'!J38</f>
        <v>0</v>
      </c>
      <c r="AX99" s="102">
        <f>'415 - Okruh depozitáře - ...'!J39</f>
        <v>0</v>
      </c>
      <c r="AY99" s="102">
        <f>'415 - Okruh depozitáře - ...'!J40</f>
        <v>0</v>
      </c>
      <c r="AZ99" s="102">
        <f>'415 - Okruh depozitáře - ...'!F37</f>
        <v>0</v>
      </c>
      <c r="BA99" s="102">
        <f>'415 - Okruh depozitáře - ...'!F38</f>
        <v>0</v>
      </c>
      <c r="BB99" s="102">
        <f>'415 - Okruh depozitáře - ...'!F39</f>
        <v>0</v>
      </c>
      <c r="BC99" s="102">
        <f>'415 - Okruh depozitáře - ...'!F40</f>
        <v>0</v>
      </c>
      <c r="BD99" s="104">
        <f>'415 - Okruh depozitáře - ...'!F41</f>
        <v>0</v>
      </c>
      <c r="BT99" s="105" t="s">
        <v>99</v>
      </c>
      <c r="BV99" s="105" t="s">
        <v>74</v>
      </c>
      <c r="BW99" s="105" t="s">
        <v>216</v>
      </c>
      <c r="BX99" s="105" t="s">
        <v>150</v>
      </c>
      <c r="CL99" s="105" t="s">
        <v>19</v>
      </c>
    </row>
    <row r="100" spans="1:91" s="4" customFormat="1" ht="16.5" customHeight="1">
      <c r="A100" s="98" t="s">
        <v>83</v>
      </c>
      <c r="B100" s="53"/>
      <c r="C100" s="99"/>
      <c r="D100" s="99"/>
      <c r="E100" s="99"/>
      <c r="F100" s="393" t="s">
        <v>217</v>
      </c>
      <c r="G100" s="393"/>
      <c r="H100" s="393"/>
      <c r="I100" s="393"/>
      <c r="J100" s="393"/>
      <c r="K100" s="99"/>
      <c r="L100" s="393" t="s">
        <v>218</v>
      </c>
      <c r="M100" s="393"/>
      <c r="N100" s="393"/>
      <c r="O100" s="393"/>
      <c r="P100" s="393"/>
      <c r="Q100" s="393"/>
      <c r="R100" s="393"/>
      <c r="S100" s="393"/>
      <c r="T100" s="393"/>
      <c r="U100" s="393"/>
      <c r="V100" s="393"/>
      <c r="W100" s="393"/>
      <c r="X100" s="393"/>
      <c r="Y100" s="393"/>
      <c r="Z100" s="393"/>
      <c r="AA100" s="393"/>
      <c r="AB100" s="393"/>
      <c r="AC100" s="393"/>
      <c r="AD100" s="393"/>
      <c r="AE100" s="393"/>
      <c r="AF100" s="393"/>
      <c r="AG100" s="384">
        <f>'417 - Okruh depozitáře - ...'!J34</f>
        <v>0</v>
      </c>
      <c r="AH100" s="385"/>
      <c r="AI100" s="385"/>
      <c r="AJ100" s="385"/>
      <c r="AK100" s="385"/>
      <c r="AL100" s="385"/>
      <c r="AM100" s="385"/>
      <c r="AN100" s="384">
        <f t="shared" si="2"/>
        <v>0</v>
      </c>
      <c r="AO100" s="385"/>
      <c r="AP100" s="385"/>
      <c r="AQ100" s="100" t="s">
        <v>86</v>
      </c>
      <c r="AR100" s="55"/>
      <c r="AS100" s="101">
        <v>0</v>
      </c>
      <c r="AT100" s="102">
        <f t="shared" si="3"/>
        <v>0</v>
      </c>
      <c r="AU100" s="103">
        <f>'417 - Okruh depozitáře - ...'!P97</f>
        <v>0</v>
      </c>
      <c r="AV100" s="102">
        <f>'417 - Okruh depozitáře - ...'!J37</f>
        <v>0</v>
      </c>
      <c r="AW100" s="102">
        <f>'417 - Okruh depozitáře - ...'!J38</f>
        <v>0</v>
      </c>
      <c r="AX100" s="102">
        <f>'417 - Okruh depozitáře - ...'!J39</f>
        <v>0</v>
      </c>
      <c r="AY100" s="102">
        <f>'417 - Okruh depozitáře - ...'!J40</f>
        <v>0</v>
      </c>
      <c r="AZ100" s="102">
        <f>'417 - Okruh depozitáře - ...'!F37</f>
        <v>0</v>
      </c>
      <c r="BA100" s="102">
        <f>'417 - Okruh depozitáře - ...'!F38</f>
        <v>0</v>
      </c>
      <c r="BB100" s="102">
        <f>'417 - Okruh depozitáře - ...'!F39</f>
        <v>0</v>
      </c>
      <c r="BC100" s="102">
        <f>'417 - Okruh depozitáře - ...'!F40</f>
        <v>0</v>
      </c>
      <c r="BD100" s="104">
        <f>'417 - Okruh depozitáře - ...'!F41</f>
        <v>0</v>
      </c>
      <c r="BT100" s="105" t="s">
        <v>99</v>
      </c>
      <c r="BV100" s="105" t="s">
        <v>74</v>
      </c>
      <c r="BW100" s="105" t="s">
        <v>219</v>
      </c>
      <c r="BX100" s="105" t="s">
        <v>150</v>
      </c>
      <c r="CL100" s="105" t="s">
        <v>19</v>
      </c>
    </row>
    <row r="101" spans="1:91" s="4" customFormat="1" ht="16.5" customHeight="1">
      <c r="A101" s="98" t="s">
        <v>83</v>
      </c>
      <c r="B101" s="53"/>
      <c r="C101" s="99"/>
      <c r="D101" s="99"/>
      <c r="E101" s="99"/>
      <c r="F101" s="393" t="s">
        <v>220</v>
      </c>
      <c r="G101" s="393"/>
      <c r="H101" s="393"/>
      <c r="I101" s="393"/>
      <c r="J101" s="393"/>
      <c r="K101" s="99"/>
      <c r="L101" s="393" t="s">
        <v>221</v>
      </c>
      <c r="M101" s="393"/>
      <c r="N101" s="393"/>
      <c r="O101" s="393"/>
      <c r="P101" s="393"/>
      <c r="Q101" s="393"/>
      <c r="R101" s="393"/>
      <c r="S101" s="393"/>
      <c r="T101" s="393"/>
      <c r="U101" s="393"/>
      <c r="V101" s="393"/>
      <c r="W101" s="393"/>
      <c r="X101" s="393"/>
      <c r="Y101" s="393"/>
      <c r="Z101" s="393"/>
      <c r="AA101" s="393"/>
      <c r="AB101" s="393"/>
      <c r="AC101" s="393"/>
      <c r="AD101" s="393"/>
      <c r="AE101" s="393"/>
      <c r="AF101" s="393"/>
      <c r="AG101" s="384">
        <f>'418 - Okruh depozitáře - ...'!J34</f>
        <v>0</v>
      </c>
      <c r="AH101" s="385"/>
      <c r="AI101" s="385"/>
      <c r="AJ101" s="385"/>
      <c r="AK101" s="385"/>
      <c r="AL101" s="385"/>
      <c r="AM101" s="385"/>
      <c r="AN101" s="384">
        <f t="shared" si="2"/>
        <v>0</v>
      </c>
      <c r="AO101" s="385"/>
      <c r="AP101" s="385"/>
      <c r="AQ101" s="100" t="s">
        <v>86</v>
      </c>
      <c r="AR101" s="55"/>
      <c r="AS101" s="101">
        <v>0</v>
      </c>
      <c r="AT101" s="102">
        <f t="shared" si="3"/>
        <v>0</v>
      </c>
      <c r="AU101" s="103">
        <f>'418 - Okruh depozitáře - ...'!P97</f>
        <v>0</v>
      </c>
      <c r="AV101" s="102">
        <f>'418 - Okruh depozitáře - ...'!J37</f>
        <v>0</v>
      </c>
      <c r="AW101" s="102">
        <f>'418 - Okruh depozitáře - ...'!J38</f>
        <v>0</v>
      </c>
      <c r="AX101" s="102">
        <f>'418 - Okruh depozitáře - ...'!J39</f>
        <v>0</v>
      </c>
      <c r="AY101" s="102">
        <f>'418 - Okruh depozitáře - ...'!J40</f>
        <v>0</v>
      </c>
      <c r="AZ101" s="102">
        <f>'418 - Okruh depozitáře - ...'!F37</f>
        <v>0</v>
      </c>
      <c r="BA101" s="102">
        <f>'418 - Okruh depozitáře - ...'!F38</f>
        <v>0</v>
      </c>
      <c r="BB101" s="102">
        <f>'418 - Okruh depozitáře - ...'!F39</f>
        <v>0</v>
      </c>
      <c r="BC101" s="102">
        <f>'418 - Okruh depozitáře - ...'!F40</f>
        <v>0</v>
      </c>
      <c r="BD101" s="104">
        <f>'418 - Okruh depozitáře - ...'!F41</f>
        <v>0</v>
      </c>
      <c r="BT101" s="105" t="s">
        <v>99</v>
      </c>
      <c r="BV101" s="105" t="s">
        <v>74</v>
      </c>
      <c r="BW101" s="105" t="s">
        <v>222</v>
      </c>
      <c r="BX101" s="105" t="s">
        <v>150</v>
      </c>
      <c r="CL101" s="105" t="s">
        <v>19</v>
      </c>
    </row>
    <row r="102" spans="1:91" s="4" customFormat="1" ht="16.5" customHeight="1">
      <c r="A102" s="98" t="s">
        <v>83</v>
      </c>
      <c r="B102" s="53"/>
      <c r="C102" s="99"/>
      <c r="D102" s="99"/>
      <c r="E102" s="99"/>
      <c r="F102" s="393" t="s">
        <v>223</v>
      </c>
      <c r="G102" s="393"/>
      <c r="H102" s="393"/>
      <c r="I102" s="393"/>
      <c r="J102" s="393"/>
      <c r="K102" s="99"/>
      <c r="L102" s="393" t="s">
        <v>224</v>
      </c>
      <c r="M102" s="393"/>
      <c r="N102" s="393"/>
      <c r="O102" s="393"/>
      <c r="P102" s="393"/>
      <c r="Q102" s="393"/>
      <c r="R102" s="393"/>
      <c r="S102" s="393"/>
      <c r="T102" s="393"/>
      <c r="U102" s="393"/>
      <c r="V102" s="393"/>
      <c r="W102" s="393"/>
      <c r="X102" s="393"/>
      <c r="Y102" s="393"/>
      <c r="Z102" s="393"/>
      <c r="AA102" s="393"/>
      <c r="AB102" s="393"/>
      <c r="AC102" s="393"/>
      <c r="AD102" s="393"/>
      <c r="AE102" s="393"/>
      <c r="AF102" s="393"/>
      <c r="AG102" s="384">
        <f>'419 - Okruh depozitáře - ...'!J34</f>
        <v>0</v>
      </c>
      <c r="AH102" s="385"/>
      <c r="AI102" s="385"/>
      <c r="AJ102" s="385"/>
      <c r="AK102" s="385"/>
      <c r="AL102" s="385"/>
      <c r="AM102" s="385"/>
      <c r="AN102" s="384">
        <f t="shared" si="2"/>
        <v>0</v>
      </c>
      <c r="AO102" s="385"/>
      <c r="AP102" s="385"/>
      <c r="AQ102" s="100" t="s">
        <v>86</v>
      </c>
      <c r="AR102" s="55"/>
      <c r="AS102" s="101">
        <v>0</v>
      </c>
      <c r="AT102" s="102">
        <f t="shared" si="3"/>
        <v>0</v>
      </c>
      <c r="AU102" s="103">
        <f>'419 - Okruh depozitáře - ...'!P97</f>
        <v>0</v>
      </c>
      <c r="AV102" s="102">
        <f>'419 - Okruh depozitáře - ...'!J37</f>
        <v>0</v>
      </c>
      <c r="AW102" s="102">
        <f>'419 - Okruh depozitáře - ...'!J38</f>
        <v>0</v>
      </c>
      <c r="AX102" s="102">
        <f>'419 - Okruh depozitáře - ...'!J39</f>
        <v>0</v>
      </c>
      <c r="AY102" s="102">
        <f>'419 - Okruh depozitáře - ...'!J40</f>
        <v>0</v>
      </c>
      <c r="AZ102" s="102">
        <f>'419 - Okruh depozitáře - ...'!F37</f>
        <v>0</v>
      </c>
      <c r="BA102" s="102">
        <f>'419 - Okruh depozitáře - ...'!F38</f>
        <v>0</v>
      </c>
      <c r="BB102" s="102">
        <f>'419 - Okruh depozitáře - ...'!F39</f>
        <v>0</v>
      </c>
      <c r="BC102" s="102">
        <f>'419 - Okruh depozitáře - ...'!F40</f>
        <v>0</v>
      </c>
      <c r="BD102" s="104">
        <f>'419 - Okruh depozitáře - ...'!F41</f>
        <v>0</v>
      </c>
      <c r="BT102" s="105" t="s">
        <v>99</v>
      </c>
      <c r="BV102" s="105" t="s">
        <v>74</v>
      </c>
      <c r="BW102" s="105" t="s">
        <v>225</v>
      </c>
      <c r="BX102" s="105" t="s">
        <v>150</v>
      </c>
      <c r="CL102" s="105" t="s">
        <v>19</v>
      </c>
    </row>
    <row r="103" spans="1:91" s="4" customFormat="1" ht="16.5" customHeight="1">
      <c r="A103" s="98" t="s">
        <v>83</v>
      </c>
      <c r="B103" s="53"/>
      <c r="C103" s="99"/>
      <c r="D103" s="99"/>
      <c r="E103" s="99"/>
      <c r="F103" s="393" t="s">
        <v>226</v>
      </c>
      <c r="G103" s="393"/>
      <c r="H103" s="393"/>
      <c r="I103" s="393"/>
      <c r="J103" s="393"/>
      <c r="K103" s="99"/>
      <c r="L103" s="393" t="s">
        <v>227</v>
      </c>
      <c r="M103" s="393"/>
      <c r="N103" s="393"/>
      <c r="O103" s="393"/>
      <c r="P103" s="393"/>
      <c r="Q103" s="393"/>
      <c r="R103" s="393"/>
      <c r="S103" s="393"/>
      <c r="T103" s="393"/>
      <c r="U103" s="393"/>
      <c r="V103" s="393"/>
      <c r="W103" s="393"/>
      <c r="X103" s="393"/>
      <c r="Y103" s="393"/>
      <c r="Z103" s="393"/>
      <c r="AA103" s="393"/>
      <c r="AB103" s="393"/>
      <c r="AC103" s="393"/>
      <c r="AD103" s="393"/>
      <c r="AE103" s="393"/>
      <c r="AF103" s="393"/>
      <c r="AG103" s="384">
        <f>'420 - Okruh depozitáře - ...'!J34</f>
        <v>0</v>
      </c>
      <c r="AH103" s="385"/>
      <c r="AI103" s="385"/>
      <c r="AJ103" s="385"/>
      <c r="AK103" s="385"/>
      <c r="AL103" s="385"/>
      <c r="AM103" s="385"/>
      <c r="AN103" s="384">
        <f t="shared" si="2"/>
        <v>0</v>
      </c>
      <c r="AO103" s="385"/>
      <c r="AP103" s="385"/>
      <c r="AQ103" s="100" t="s">
        <v>86</v>
      </c>
      <c r="AR103" s="55"/>
      <c r="AS103" s="101">
        <v>0</v>
      </c>
      <c r="AT103" s="102">
        <f t="shared" si="3"/>
        <v>0</v>
      </c>
      <c r="AU103" s="103">
        <f>'420 - Okruh depozitáře - ...'!P97</f>
        <v>0</v>
      </c>
      <c r="AV103" s="102">
        <f>'420 - Okruh depozitáře - ...'!J37</f>
        <v>0</v>
      </c>
      <c r="AW103" s="102">
        <f>'420 - Okruh depozitáře - ...'!J38</f>
        <v>0</v>
      </c>
      <c r="AX103" s="102">
        <f>'420 - Okruh depozitáře - ...'!J39</f>
        <v>0</v>
      </c>
      <c r="AY103" s="102">
        <f>'420 - Okruh depozitáře - ...'!J40</f>
        <v>0</v>
      </c>
      <c r="AZ103" s="102">
        <f>'420 - Okruh depozitáře - ...'!F37</f>
        <v>0</v>
      </c>
      <c r="BA103" s="102">
        <f>'420 - Okruh depozitáře - ...'!F38</f>
        <v>0</v>
      </c>
      <c r="BB103" s="102">
        <f>'420 - Okruh depozitáře - ...'!F39</f>
        <v>0</v>
      </c>
      <c r="BC103" s="102">
        <f>'420 - Okruh depozitáře - ...'!F40</f>
        <v>0</v>
      </c>
      <c r="BD103" s="104">
        <f>'420 - Okruh depozitáře - ...'!F41</f>
        <v>0</v>
      </c>
      <c r="BT103" s="105" t="s">
        <v>99</v>
      </c>
      <c r="BV103" s="105" t="s">
        <v>74</v>
      </c>
      <c r="BW103" s="105" t="s">
        <v>228</v>
      </c>
      <c r="BX103" s="105" t="s">
        <v>150</v>
      </c>
      <c r="CL103" s="105" t="s">
        <v>19</v>
      </c>
    </row>
    <row r="104" spans="1:91" s="4" customFormat="1" ht="16.5" customHeight="1">
      <c r="A104" s="98" t="s">
        <v>83</v>
      </c>
      <c r="B104" s="53"/>
      <c r="C104" s="99"/>
      <c r="D104" s="99"/>
      <c r="E104" s="99"/>
      <c r="F104" s="393" t="s">
        <v>229</v>
      </c>
      <c r="G104" s="393"/>
      <c r="H104" s="393"/>
      <c r="I104" s="393"/>
      <c r="J104" s="393"/>
      <c r="K104" s="99"/>
      <c r="L104" s="393" t="s">
        <v>230</v>
      </c>
      <c r="M104" s="393"/>
      <c r="N104" s="393"/>
      <c r="O104" s="393"/>
      <c r="P104" s="393"/>
      <c r="Q104" s="393"/>
      <c r="R104" s="393"/>
      <c r="S104" s="393"/>
      <c r="T104" s="393"/>
      <c r="U104" s="393"/>
      <c r="V104" s="393"/>
      <c r="W104" s="393"/>
      <c r="X104" s="393"/>
      <c r="Y104" s="393"/>
      <c r="Z104" s="393"/>
      <c r="AA104" s="393"/>
      <c r="AB104" s="393"/>
      <c r="AC104" s="393"/>
      <c r="AD104" s="393"/>
      <c r="AE104" s="393"/>
      <c r="AF104" s="393"/>
      <c r="AG104" s="384">
        <f>'421 - Okruh depozitáře - ...'!J34</f>
        <v>0</v>
      </c>
      <c r="AH104" s="385"/>
      <c r="AI104" s="385"/>
      <c r="AJ104" s="385"/>
      <c r="AK104" s="385"/>
      <c r="AL104" s="385"/>
      <c r="AM104" s="385"/>
      <c r="AN104" s="384">
        <f t="shared" si="2"/>
        <v>0</v>
      </c>
      <c r="AO104" s="385"/>
      <c r="AP104" s="385"/>
      <c r="AQ104" s="100" t="s">
        <v>86</v>
      </c>
      <c r="AR104" s="55"/>
      <c r="AS104" s="101">
        <v>0</v>
      </c>
      <c r="AT104" s="102">
        <f t="shared" si="3"/>
        <v>0</v>
      </c>
      <c r="AU104" s="103">
        <f>'421 - Okruh depozitáře - ...'!P97</f>
        <v>0</v>
      </c>
      <c r="AV104" s="102">
        <f>'421 - Okruh depozitáře - ...'!J37</f>
        <v>0</v>
      </c>
      <c r="AW104" s="102">
        <f>'421 - Okruh depozitáře - ...'!J38</f>
        <v>0</v>
      </c>
      <c r="AX104" s="102">
        <f>'421 - Okruh depozitáře - ...'!J39</f>
        <v>0</v>
      </c>
      <c r="AY104" s="102">
        <f>'421 - Okruh depozitáře - ...'!J40</f>
        <v>0</v>
      </c>
      <c r="AZ104" s="102">
        <f>'421 - Okruh depozitáře - ...'!F37</f>
        <v>0</v>
      </c>
      <c r="BA104" s="102">
        <f>'421 - Okruh depozitáře - ...'!F38</f>
        <v>0</v>
      </c>
      <c r="BB104" s="102">
        <f>'421 - Okruh depozitáře - ...'!F39</f>
        <v>0</v>
      </c>
      <c r="BC104" s="102">
        <f>'421 - Okruh depozitáře - ...'!F40</f>
        <v>0</v>
      </c>
      <c r="BD104" s="104">
        <f>'421 - Okruh depozitáře - ...'!F41</f>
        <v>0</v>
      </c>
      <c r="BT104" s="105" t="s">
        <v>99</v>
      </c>
      <c r="BV104" s="105" t="s">
        <v>74</v>
      </c>
      <c r="BW104" s="105" t="s">
        <v>231</v>
      </c>
      <c r="BX104" s="105" t="s">
        <v>150</v>
      </c>
      <c r="CL104" s="105" t="s">
        <v>19</v>
      </c>
    </row>
    <row r="105" spans="1:91" s="4" customFormat="1" ht="16.5" customHeight="1">
      <c r="A105" s="98" t="s">
        <v>83</v>
      </c>
      <c r="B105" s="53"/>
      <c r="C105" s="99"/>
      <c r="D105" s="99"/>
      <c r="E105" s="99"/>
      <c r="F105" s="393" t="s">
        <v>232</v>
      </c>
      <c r="G105" s="393"/>
      <c r="H105" s="393"/>
      <c r="I105" s="393"/>
      <c r="J105" s="393"/>
      <c r="K105" s="99"/>
      <c r="L105" s="393" t="s">
        <v>233</v>
      </c>
      <c r="M105" s="393"/>
      <c r="N105" s="393"/>
      <c r="O105" s="393"/>
      <c r="P105" s="393"/>
      <c r="Q105" s="393"/>
      <c r="R105" s="393"/>
      <c r="S105" s="393"/>
      <c r="T105" s="393"/>
      <c r="U105" s="393"/>
      <c r="V105" s="393"/>
      <c r="W105" s="393"/>
      <c r="X105" s="393"/>
      <c r="Y105" s="393"/>
      <c r="Z105" s="393"/>
      <c r="AA105" s="393"/>
      <c r="AB105" s="393"/>
      <c r="AC105" s="393"/>
      <c r="AD105" s="393"/>
      <c r="AE105" s="393"/>
      <c r="AF105" s="393"/>
      <c r="AG105" s="384">
        <f>'422 - Okruh depozitáře - ...'!J34</f>
        <v>0</v>
      </c>
      <c r="AH105" s="385"/>
      <c r="AI105" s="385"/>
      <c r="AJ105" s="385"/>
      <c r="AK105" s="385"/>
      <c r="AL105" s="385"/>
      <c r="AM105" s="385"/>
      <c r="AN105" s="384">
        <f t="shared" si="2"/>
        <v>0</v>
      </c>
      <c r="AO105" s="385"/>
      <c r="AP105" s="385"/>
      <c r="AQ105" s="100" t="s">
        <v>86</v>
      </c>
      <c r="AR105" s="55"/>
      <c r="AS105" s="101">
        <v>0</v>
      </c>
      <c r="AT105" s="102">
        <f t="shared" si="3"/>
        <v>0</v>
      </c>
      <c r="AU105" s="103">
        <f>'422 - Okruh depozitáře - ...'!P97</f>
        <v>0</v>
      </c>
      <c r="AV105" s="102">
        <f>'422 - Okruh depozitáře - ...'!J37</f>
        <v>0</v>
      </c>
      <c r="AW105" s="102">
        <f>'422 - Okruh depozitáře - ...'!J38</f>
        <v>0</v>
      </c>
      <c r="AX105" s="102">
        <f>'422 - Okruh depozitáře - ...'!J39</f>
        <v>0</v>
      </c>
      <c r="AY105" s="102">
        <f>'422 - Okruh depozitáře - ...'!J40</f>
        <v>0</v>
      </c>
      <c r="AZ105" s="102">
        <f>'422 - Okruh depozitáře - ...'!F37</f>
        <v>0</v>
      </c>
      <c r="BA105" s="102">
        <f>'422 - Okruh depozitáře - ...'!F38</f>
        <v>0</v>
      </c>
      <c r="BB105" s="102">
        <f>'422 - Okruh depozitáře - ...'!F39</f>
        <v>0</v>
      </c>
      <c r="BC105" s="102">
        <f>'422 - Okruh depozitáře - ...'!F40</f>
        <v>0</v>
      </c>
      <c r="BD105" s="104">
        <f>'422 - Okruh depozitáře - ...'!F41</f>
        <v>0</v>
      </c>
      <c r="BT105" s="105" t="s">
        <v>99</v>
      </c>
      <c r="BV105" s="105" t="s">
        <v>74</v>
      </c>
      <c r="BW105" s="105" t="s">
        <v>234</v>
      </c>
      <c r="BX105" s="105" t="s">
        <v>150</v>
      </c>
      <c r="CL105" s="105" t="s">
        <v>19</v>
      </c>
    </row>
    <row r="106" spans="1:91" s="4" customFormat="1" ht="16.5" customHeight="1">
      <c r="A106" s="98" t="s">
        <v>83</v>
      </c>
      <c r="B106" s="53"/>
      <c r="C106" s="99"/>
      <c r="D106" s="99"/>
      <c r="E106" s="393" t="s">
        <v>235</v>
      </c>
      <c r="F106" s="393"/>
      <c r="G106" s="393"/>
      <c r="H106" s="393"/>
      <c r="I106" s="393"/>
      <c r="J106" s="99"/>
      <c r="K106" s="393" t="s">
        <v>236</v>
      </c>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84">
        <f>'EPS - ELEKTRONICKÁ POŽÁRN...'!J32</f>
        <v>0</v>
      </c>
      <c r="AH106" s="385"/>
      <c r="AI106" s="385"/>
      <c r="AJ106" s="385"/>
      <c r="AK106" s="385"/>
      <c r="AL106" s="385"/>
      <c r="AM106" s="385"/>
      <c r="AN106" s="384">
        <f t="shared" si="2"/>
        <v>0</v>
      </c>
      <c r="AO106" s="385"/>
      <c r="AP106" s="385"/>
      <c r="AQ106" s="100" t="s">
        <v>86</v>
      </c>
      <c r="AR106" s="55"/>
      <c r="AS106" s="101">
        <v>0</v>
      </c>
      <c r="AT106" s="102">
        <f t="shared" si="3"/>
        <v>0</v>
      </c>
      <c r="AU106" s="103">
        <f>'EPS - ELEKTRONICKÁ POŽÁRN...'!P87</f>
        <v>0</v>
      </c>
      <c r="AV106" s="102">
        <f>'EPS - ELEKTRONICKÁ POŽÁRN...'!J35</f>
        <v>0</v>
      </c>
      <c r="AW106" s="102">
        <f>'EPS - ELEKTRONICKÁ POŽÁRN...'!J36</f>
        <v>0</v>
      </c>
      <c r="AX106" s="102">
        <f>'EPS - ELEKTRONICKÁ POŽÁRN...'!J37</f>
        <v>0</v>
      </c>
      <c r="AY106" s="102">
        <f>'EPS - ELEKTRONICKÁ POŽÁRN...'!J38</f>
        <v>0</v>
      </c>
      <c r="AZ106" s="102">
        <f>'EPS - ELEKTRONICKÁ POŽÁRN...'!F35</f>
        <v>0</v>
      </c>
      <c r="BA106" s="102">
        <f>'EPS - ELEKTRONICKÁ POŽÁRN...'!F36</f>
        <v>0</v>
      </c>
      <c r="BB106" s="102">
        <f>'EPS - ELEKTRONICKÁ POŽÁRN...'!F37</f>
        <v>0</v>
      </c>
      <c r="BC106" s="102">
        <f>'EPS - ELEKTRONICKÁ POŽÁRN...'!F38</f>
        <v>0</v>
      </c>
      <c r="BD106" s="104">
        <f>'EPS - ELEKTRONICKÁ POŽÁRN...'!F39</f>
        <v>0</v>
      </c>
      <c r="BT106" s="105" t="s">
        <v>82</v>
      </c>
      <c r="BV106" s="105" t="s">
        <v>74</v>
      </c>
      <c r="BW106" s="105" t="s">
        <v>237</v>
      </c>
      <c r="BX106" s="105" t="s">
        <v>80</v>
      </c>
      <c r="CL106" s="105" t="s">
        <v>19</v>
      </c>
    </row>
    <row r="107" spans="1:91" s="7" customFormat="1" ht="16.5" customHeight="1">
      <c r="A107" s="98" t="s">
        <v>83</v>
      </c>
      <c r="B107" s="88"/>
      <c r="C107" s="89"/>
      <c r="D107" s="392" t="s">
        <v>238</v>
      </c>
      <c r="E107" s="392"/>
      <c r="F107" s="392"/>
      <c r="G107" s="392"/>
      <c r="H107" s="392"/>
      <c r="I107" s="90"/>
      <c r="J107" s="392" t="s">
        <v>239</v>
      </c>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404">
        <f>'SO 02 - DEMOLICE'!J30</f>
        <v>0</v>
      </c>
      <c r="AH107" s="405"/>
      <c r="AI107" s="405"/>
      <c r="AJ107" s="405"/>
      <c r="AK107" s="405"/>
      <c r="AL107" s="405"/>
      <c r="AM107" s="405"/>
      <c r="AN107" s="404">
        <f t="shared" si="2"/>
        <v>0</v>
      </c>
      <c r="AO107" s="405"/>
      <c r="AP107" s="405"/>
      <c r="AQ107" s="91" t="s">
        <v>78</v>
      </c>
      <c r="AR107" s="92"/>
      <c r="AS107" s="93">
        <v>0</v>
      </c>
      <c r="AT107" s="94">
        <f t="shared" si="3"/>
        <v>0</v>
      </c>
      <c r="AU107" s="95">
        <f>'SO 02 - DEMOLICE'!P83</f>
        <v>0</v>
      </c>
      <c r="AV107" s="94">
        <f>'SO 02 - DEMOLICE'!J33</f>
        <v>0</v>
      </c>
      <c r="AW107" s="94">
        <f>'SO 02 - DEMOLICE'!J34</f>
        <v>0</v>
      </c>
      <c r="AX107" s="94">
        <f>'SO 02 - DEMOLICE'!J35</f>
        <v>0</v>
      </c>
      <c r="AY107" s="94">
        <f>'SO 02 - DEMOLICE'!J36</f>
        <v>0</v>
      </c>
      <c r="AZ107" s="94">
        <f>'SO 02 - DEMOLICE'!F33</f>
        <v>0</v>
      </c>
      <c r="BA107" s="94">
        <f>'SO 02 - DEMOLICE'!F34</f>
        <v>0</v>
      </c>
      <c r="BB107" s="94">
        <f>'SO 02 - DEMOLICE'!F35</f>
        <v>0</v>
      </c>
      <c r="BC107" s="94">
        <f>'SO 02 - DEMOLICE'!F36</f>
        <v>0</v>
      </c>
      <c r="BD107" s="96">
        <f>'SO 02 - DEMOLICE'!F37</f>
        <v>0</v>
      </c>
      <c r="BT107" s="97" t="s">
        <v>79</v>
      </c>
      <c r="BV107" s="97" t="s">
        <v>74</v>
      </c>
      <c r="BW107" s="97" t="s">
        <v>240</v>
      </c>
      <c r="BX107" s="97" t="s">
        <v>5</v>
      </c>
      <c r="CL107" s="97" t="s">
        <v>19</v>
      </c>
      <c r="CM107" s="97" t="s">
        <v>82</v>
      </c>
    </row>
    <row r="108" spans="1:91" s="7" customFormat="1" ht="16.5" customHeight="1">
      <c r="A108" s="98" t="s">
        <v>83</v>
      </c>
      <c r="B108" s="88"/>
      <c r="C108" s="89"/>
      <c r="D108" s="392" t="s">
        <v>241</v>
      </c>
      <c r="E108" s="392"/>
      <c r="F108" s="392"/>
      <c r="G108" s="392"/>
      <c r="H108" s="392"/>
      <c r="I108" s="90"/>
      <c r="J108" s="392" t="s">
        <v>242</v>
      </c>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404">
        <f>'IO 01 - KOMUNIKACE A ZPEV...'!J30</f>
        <v>0</v>
      </c>
      <c r="AH108" s="405"/>
      <c r="AI108" s="405"/>
      <c r="AJ108" s="405"/>
      <c r="AK108" s="405"/>
      <c r="AL108" s="405"/>
      <c r="AM108" s="405"/>
      <c r="AN108" s="404">
        <f t="shared" si="2"/>
        <v>0</v>
      </c>
      <c r="AO108" s="405"/>
      <c r="AP108" s="405"/>
      <c r="AQ108" s="91" t="s">
        <v>78</v>
      </c>
      <c r="AR108" s="92"/>
      <c r="AS108" s="93">
        <v>0</v>
      </c>
      <c r="AT108" s="94">
        <f t="shared" si="3"/>
        <v>0</v>
      </c>
      <c r="AU108" s="95">
        <f>'IO 01 - KOMUNIKACE A ZPEV...'!P89</f>
        <v>0</v>
      </c>
      <c r="AV108" s="94">
        <f>'IO 01 - KOMUNIKACE A ZPEV...'!J33</f>
        <v>0</v>
      </c>
      <c r="AW108" s="94">
        <f>'IO 01 - KOMUNIKACE A ZPEV...'!J34</f>
        <v>0</v>
      </c>
      <c r="AX108" s="94">
        <f>'IO 01 - KOMUNIKACE A ZPEV...'!J35</f>
        <v>0</v>
      </c>
      <c r="AY108" s="94">
        <f>'IO 01 - KOMUNIKACE A ZPEV...'!J36</f>
        <v>0</v>
      </c>
      <c r="AZ108" s="94">
        <f>'IO 01 - KOMUNIKACE A ZPEV...'!F33</f>
        <v>0</v>
      </c>
      <c r="BA108" s="94">
        <f>'IO 01 - KOMUNIKACE A ZPEV...'!F34</f>
        <v>0</v>
      </c>
      <c r="BB108" s="94">
        <f>'IO 01 - KOMUNIKACE A ZPEV...'!F35</f>
        <v>0</v>
      </c>
      <c r="BC108" s="94">
        <f>'IO 01 - KOMUNIKACE A ZPEV...'!F36</f>
        <v>0</v>
      </c>
      <c r="BD108" s="96">
        <f>'IO 01 - KOMUNIKACE A ZPEV...'!F37</f>
        <v>0</v>
      </c>
      <c r="BT108" s="97" t="s">
        <v>79</v>
      </c>
      <c r="BV108" s="97" t="s">
        <v>74</v>
      </c>
      <c r="BW108" s="97" t="s">
        <v>243</v>
      </c>
      <c r="BX108" s="97" t="s">
        <v>5</v>
      </c>
      <c r="CL108" s="97" t="s">
        <v>19</v>
      </c>
      <c r="CM108" s="97" t="s">
        <v>82</v>
      </c>
    </row>
    <row r="109" spans="1:91" s="7" customFormat="1" ht="16.5" customHeight="1">
      <c r="A109" s="98" t="s">
        <v>83</v>
      </c>
      <c r="B109" s="88"/>
      <c r="C109" s="89"/>
      <c r="D109" s="392" t="s">
        <v>244</v>
      </c>
      <c r="E109" s="392"/>
      <c r="F109" s="392"/>
      <c r="G109" s="392"/>
      <c r="H109" s="392"/>
      <c r="I109" s="90"/>
      <c r="J109" s="392" t="s">
        <v>245</v>
      </c>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404">
        <f>'IO 02 - KANALIZACE'!J30</f>
        <v>0</v>
      </c>
      <c r="AH109" s="405"/>
      <c r="AI109" s="405"/>
      <c r="AJ109" s="405"/>
      <c r="AK109" s="405"/>
      <c r="AL109" s="405"/>
      <c r="AM109" s="405"/>
      <c r="AN109" s="404">
        <f t="shared" si="2"/>
        <v>0</v>
      </c>
      <c r="AO109" s="405"/>
      <c r="AP109" s="405"/>
      <c r="AQ109" s="91" t="s">
        <v>78</v>
      </c>
      <c r="AR109" s="92"/>
      <c r="AS109" s="93">
        <v>0</v>
      </c>
      <c r="AT109" s="94">
        <f t="shared" si="3"/>
        <v>0</v>
      </c>
      <c r="AU109" s="95">
        <f>'IO 02 - KANALIZACE'!P84</f>
        <v>0</v>
      </c>
      <c r="AV109" s="94">
        <f>'IO 02 - KANALIZACE'!J33</f>
        <v>0</v>
      </c>
      <c r="AW109" s="94">
        <f>'IO 02 - KANALIZACE'!J34</f>
        <v>0</v>
      </c>
      <c r="AX109" s="94">
        <f>'IO 02 - KANALIZACE'!J35</f>
        <v>0</v>
      </c>
      <c r="AY109" s="94">
        <f>'IO 02 - KANALIZACE'!J36</f>
        <v>0</v>
      </c>
      <c r="AZ109" s="94">
        <f>'IO 02 - KANALIZACE'!F33</f>
        <v>0</v>
      </c>
      <c r="BA109" s="94">
        <f>'IO 02 - KANALIZACE'!F34</f>
        <v>0</v>
      </c>
      <c r="BB109" s="94">
        <f>'IO 02 - KANALIZACE'!F35</f>
        <v>0</v>
      </c>
      <c r="BC109" s="94">
        <f>'IO 02 - KANALIZACE'!F36</f>
        <v>0</v>
      </c>
      <c r="BD109" s="96">
        <f>'IO 02 - KANALIZACE'!F37</f>
        <v>0</v>
      </c>
      <c r="BT109" s="97" t="s">
        <v>79</v>
      </c>
      <c r="BV109" s="97" t="s">
        <v>74</v>
      </c>
      <c r="BW109" s="97" t="s">
        <v>246</v>
      </c>
      <c r="BX109" s="97" t="s">
        <v>5</v>
      </c>
      <c r="CL109" s="97" t="s">
        <v>19</v>
      </c>
      <c r="CM109" s="97" t="s">
        <v>82</v>
      </c>
    </row>
    <row r="110" spans="1:91" s="7" customFormat="1" ht="16.5" customHeight="1">
      <c r="A110" s="98" t="s">
        <v>83</v>
      </c>
      <c r="B110" s="88"/>
      <c r="C110" s="89"/>
      <c r="D110" s="392" t="s">
        <v>247</v>
      </c>
      <c r="E110" s="392"/>
      <c r="F110" s="392"/>
      <c r="G110" s="392"/>
      <c r="H110" s="392"/>
      <c r="I110" s="90"/>
      <c r="J110" s="392" t="s">
        <v>248</v>
      </c>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404">
        <f>'IO 03 - VODOVODNÍ PŘÍPOJKA'!J30</f>
        <v>0</v>
      </c>
      <c r="AH110" s="405"/>
      <c r="AI110" s="405"/>
      <c r="AJ110" s="405"/>
      <c r="AK110" s="405"/>
      <c r="AL110" s="405"/>
      <c r="AM110" s="405"/>
      <c r="AN110" s="404">
        <f t="shared" si="2"/>
        <v>0</v>
      </c>
      <c r="AO110" s="405"/>
      <c r="AP110" s="405"/>
      <c r="AQ110" s="91" t="s">
        <v>78</v>
      </c>
      <c r="AR110" s="92"/>
      <c r="AS110" s="93">
        <v>0</v>
      </c>
      <c r="AT110" s="94">
        <f t="shared" si="3"/>
        <v>0</v>
      </c>
      <c r="AU110" s="95">
        <f>'IO 03 - VODOVODNÍ PŘÍPOJKA'!P83</f>
        <v>0</v>
      </c>
      <c r="AV110" s="94">
        <f>'IO 03 - VODOVODNÍ PŘÍPOJKA'!J33</f>
        <v>0</v>
      </c>
      <c r="AW110" s="94">
        <f>'IO 03 - VODOVODNÍ PŘÍPOJKA'!J34</f>
        <v>0</v>
      </c>
      <c r="AX110" s="94">
        <f>'IO 03 - VODOVODNÍ PŘÍPOJKA'!J35</f>
        <v>0</v>
      </c>
      <c r="AY110" s="94">
        <f>'IO 03 - VODOVODNÍ PŘÍPOJKA'!J36</f>
        <v>0</v>
      </c>
      <c r="AZ110" s="94">
        <f>'IO 03 - VODOVODNÍ PŘÍPOJKA'!F33</f>
        <v>0</v>
      </c>
      <c r="BA110" s="94">
        <f>'IO 03 - VODOVODNÍ PŘÍPOJKA'!F34</f>
        <v>0</v>
      </c>
      <c r="BB110" s="94">
        <f>'IO 03 - VODOVODNÍ PŘÍPOJKA'!F35</f>
        <v>0</v>
      </c>
      <c r="BC110" s="94">
        <f>'IO 03 - VODOVODNÍ PŘÍPOJKA'!F36</f>
        <v>0</v>
      </c>
      <c r="BD110" s="96">
        <f>'IO 03 - VODOVODNÍ PŘÍPOJKA'!F37</f>
        <v>0</v>
      </c>
      <c r="BT110" s="97" t="s">
        <v>79</v>
      </c>
      <c r="BV110" s="97" t="s">
        <v>74</v>
      </c>
      <c r="BW110" s="97" t="s">
        <v>249</v>
      </c>
      <c r="BX110" s="97" t="s">
        <v>5</v>
      </c>
      <c r="CL110" s="97" t="s">
        <v>19</v>
      </c>
      <c r="CM110" s="97" t="s">
        <v>82</v>
      </c>
    </row>
    <row r="111" spans="1:91" s="7" customFormat="1" ht="24.75" customHeight="1">
      <c r="A111" s="98" t="s">
        <v>83</v>
      </c>
      <c r="B111" s="88"/>
      <c r="C111" s="89"/>
      <c r="D111" s="392" t="s">
        <v>250</v>
      </c>
      <c r="E111" s="392"/>
      <c r="F111" s="392"/>
      <c r="G111" s="392"/>
      <c r="H111" s="392"/>
      <c r="I111" s="90"/>
      <c r="J111" s="392" t="s">
        <v>251</v>
      </c>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404">
        <f>'IO 04 - PŘÍPOJKA METROPOL...'!J30</f>
        <v>0</v>
      </c>
      <c r="AH111" s="405"/>
      <c r="AI111" s="405"/>
      <c r="AJ111" s="405"/>
      <c r="AK111" s="405"/>
      <c r="AL111" s="405"/>
      <c r="AM111" s="405"/>
      <c r="AN111" s="404">
        <f t="shared" si="2"/>
        <v>0</v>
      </c>
      <c r="AO111" s="405"/>
      <c r="AP111" s="405"/>
      <c r="AQ111" s="91" t="s">
        <v>78</v>
      </c>
      <c r="AR111" s="92"/>
      <c r="AS111" s="93">
        <v>0</v>
      </c>
      <c r="AT111" s="94">
        <f t="shared" si="3"/>
        <v>0</v>
      </c>
      <c r="AU111" s="95">
        <f>'IO 04 - PŘÍPOJKA METROPOL...'!P84</f>
        <v>0</v>
      </c>
      <c r="AV111" s="94">
        <f>'IO 04 - PŘÍPOJKA METROPOL...'!J33</f>
        <v>0</v>
      </c>
      <c r="AW111" s="94">
        <f>'IO 04 - PŘÍPOJKA METROPOL...'!J34</f>
        <v>0</v>
      </c>
      <c r="AX111" s="94">
        <f>'IO 04 - PŘÍPOJKA METROPOL...'!J35</f>
        <v>0</v>
      </c>
      <c r="AY111" s="94">
        <f>'IO 04 - PŘÍPOJKA METROPOL...'!J36</f>
        <v>0</v>
      </c>
      <c r="AZ111" s="94">
        <f>'IO 04 - PŘÍPOJKA METROPOL...'!F33</f>
        <v>0</v>
      </c>
      <c r="BA111" s="94">
        <f>'IO 04 - PŘÍPOJKA METROPOL...'!F34</f>
        <v>0</v>
      </c>
      <c r="BB111" s="94">
        <f>'IO 04 - PŘÍPOJKA METROPOL...'!F35</f>
        <v>0</v>
      </c>
      <c r="BC111" s="94">
        <f>'IO 04 - PŘÍPOJKA METROPOL...'!F36</f>
        <v>0</v>
      </c>
      <c r="BD111" s="96">
        <f>'IO 04 - PŘÍPOJKA METROPOL...'!F37</f>
        <v>0</v>
      </c>
      <c r="BT111" s="97" t="s">
        <v>79</v>
      </c>
      <c r="BV111" s="97" t="s">
        <v>74</v>
      </c>
      <c r="BW111" s="97" t="s">
        <v>252</v>
      </c>
      <c r="BX111" s="97" t="s">
        <v>5</v>
      </c>
      <c r="CL111" s="97" t="s">
        <v>19</v>
      </c>
      <c r="CM111" s="97" t="s">
        <v>82</v>
      </c>
    </row>
    <row r="112" spans="1:91" s="7" customFormat="1" ht="16.5" customHeight="1">
      <c r="A112" s="98" t="s">
        <v>83</v>
      </c>
      <c r="B112" s="88"/>
      <c r="C112" s="89"/>
      <c r="D112" s="392" t="s">
        <v>253</v>
      </c>
      <c r="E112" s="392"/>
      <c r="F112" s="392"/>
      <c r="G112" s="392"/>
      <c r="H112" s="392"/>
      <c r="I112" s="90"/>
      <c r="J112" s="392" t="s">
        <v>254</v>
      </c>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404">
        <f>'IO 05 - SADOVÉ ÚPRAVY'!J30</f>
        <v>0</v>
      </c>
      <c r="AH112" s="405"/>
      <c r="AI112" s="405"/>
      <c r="AJ112" s="405"/>
      <c r="AK112" s="405"/>
      <c r="AL112" s="405"/>
      <c r="AM112" s="405"/>
      <c r="AN112" s="404">
        <f t="shared" si="2"/>
        <v>0</v>
      </c>
      <c r="AO112" s="405"/>
      <c r="AP112" s="405"/>
      <c r="AQ112" s="91" t="s">
        <v>78</v>
      </c>
      <c r="AR112" s="92"/>
      <c r="AS112" s="93">
        <v>0</v>
      </c>
      <c r="AT112" s="94">
        <f t="shared" si="3"/>
        <v>0</v>
      </c>
      <c r="AU112" s="95">
        <f>'IO 05 - SADOVÉ ÚPRAVY'!P84</f>
        <v>0</v>
      </c>
      <c r="AV112" s="94">
        <f>'IO 05 - SADOVÉ ÚPRAVY'!J33</f>
        <v>0</v>
      </c>
      <c r="AW112" s="94">
        <f>'IO 05 - SADOVÉ ÚPRAVY'!J34</f>
        <v>0</v>
      </c>
      <c r="AX112" s="94">
        <f>'IO 05 - SADOVÉ ÚPRAVY'!J35</f>
        <v>0</v>
      </c>
      <c r="AY112" s="94">
        <f>'IO 05 - SADOVÉ ÚPRAVY'!J36</f>
        <v>0</v>
      </c>
      <c r="AZ112" s="94">
        <f>'IO 05 - SADOVÉ ÚPRAVY'!F33</f>
        <v>0</v>
      </c>
      <c r="BA112" s="94">
        <f>'IO 05 - SADOVÉ ÚPRAVY'!F34</f>
        <v>0</v>
      </c>
      <c r="BB112" s="94">
        <f>'IO 05 - SADOVÉ ÚPRAVY'!F35</f>
        <v>0</v>
      </c>
      <c r="BC112" s="94">
        <f>'IO 05 - SADOVÉ ÚPRAVY'!F36</f>
        <v>0</v>
      </c>
      <c r="BD112" s="96">
        <f>'IO 05 - SADOVÉ ÚPRAVY'!F37</f>
        <v>0</v>
      </c>
      <c r="BT112" s="97" t="s">
        <v>79</v>
      </c>
      <c r="BV112" s="97" t="s">
        <v>74</v>
      </c>
      <c r="BW112" s="97" t="s">
        <v>255</v>
      </c>
      <c r="BX112" s="97" t="s">
        <v>5</v>
      </c>
      <c r="CL112" s="97" t="s">
        <v>19</v>
      </c>
      <c r="CM112" s="97" t="s">
        <v>82</v>
      </c>
    </row>
    <row r="113" spans="1:91" s="7" customFormat="1" ht="16.5" customHeight="1">
      <c r="A113" s="98" t="s">
        <v>83</v>
      </c>
      <c r="B113" s="88"/>
      <c r="C113" s="89"/>
      <c r="D113" s="392" t="s">
        <v>256</v>
      </c>
      <c r="E113" s="392"/>
      <c r="F113" s="392"/>
      <c r="G113" s="392"/>
      <c r="H113" s="392"/>
      <c r="I113" s="90"/>
      <c r="J113" s="392" t="s">
        <v>257</v>
      </c>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404">
        <f>'PS 01 - AUTOMATICKÁ TLAKO...'!J30</f>
        <v>0</v>
      </c>
      <c r="AH113" s="405"/>
      <c r="AI113" s="405"/>
      <c r="AJ113" s="405"/>
      <c r="AK113" s="405"/>
      <c r="AL113" s="405"/>
      <c r="AM113" s="405"/>
      <c r="AN113" s="404">
        <f t="shared" si="2"/>
        <v>0</v>
      </c>
      <c r="AO113" s="405"/>
      <c r="AP113" s="405"/>
      <c r="AQ113" s="91" t="s">
        <v>78</v>
      </c>
      <c r="AR113" s="92"/>
      <c r="AS113" s="93">
        <v>0</v>
      </c>
      <c r="AT113" s="94">
        <f t="shared" si="3"/>
        <v>0</v>
      </c>
      <c r="AU113" s="95">
        <f>'PS 01 - AUTOMATICKÁ TLAKO...'!P81</f>
        <v>0</v>
      </c>
      <c r="AV113" s="94">
        <f>'PS 01 - AUTOMATICKÁ TLAKO...'!J33</f>
        <v>0</v>
      </c>
      <c r="AW113" s="94">
        <f>'PS 01 - AUTOMATICKÁ TLAKO...'!J34</f>
        <v>0</v>
      </c>
      <c r="AX113" s="94">
        <f>'PS 01 - AUTOMATICKÁ TLAKO...'!J35</f>
        <v>0</v>
      </c>
      <c r="AY113" s="94">
        <f>'PS 01 - AUTOMATICKÁ TLAKO...'!J36</f>
        <v>0</v>
      </c>
      <c r="AZ113" s="94">
        <f>'PS 01 - AUTOMATICKÁ TLAKO...'!F33</f>
        <v>0</v>
      </c>
      <c r="BA113" s="94">
        <f>'PS 01 - AUTOMATICKÁ TLAKO...'!F34</f>
        <v>0</v>
      </c>
      <c r="BB113" s="94">
        <f>'PS 01 - AUTOMATICKÁ TLAKO...'!F35</f>
        <v>0</v>
      </c>
      <c r="BC113" s="94">
        <f>'PS 01 - AUTOMATICKÁ TLAKO...'!F36</f>
        <v>0</v>
      </c>
      <c r="BD113" s="96">
        <f>'PS 01 - AUTOMATICKÁ TLAKO...'!F37</f>
        <v>0</v>
      </c>
      <c r="BT113" s="97" t="s">
        <v>79</v>
      </c>
      <c r="BV113" s="97" t="s">
        <v>74</v>
      </c>
      <c r="BW113" s="97" t="s">
        <v>258</v>
      </c>
      <c r="BX113" s="97" t="s">
        <v>5</v>
      </c>
      <c r="CL113" s="97" t="s">
        <v>19</v>
      </c>
      <c r="CM113" s="97" t="s">
        <v>82</v>
      </c>
    </row>
    <row r="114" spans="1:91" s="7" customFormat="1" ht="16.5" customHeight="1">
      <c r="A114" s="98" t="s">
        <v>83</v>
      </c>
      <c r="B114" s="88"/>
      <c r="C114" s="89"/>
      <c r="D114" s="392" t="s">
        <v>259</v>
      </c>
      <c r="E114" s="392"/>
      <c r="F114" s="392"/>
      <c r="G114" s="392"/>
      <c r="H114" s="392"/>
      <c r="I114" s="90"/>
      <c r="J114" s="392" t="s">
        <v>260</v>
      </c>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404">
        <f>'PS 02 - STABILNÍ HASÍCÍ Z...'!J30</f>
        <v>0</v>
      </c>
      <c r="AH114" s="405"/>
      <c r="AI114" s="405"/>
      <c r="AJ114" s="405"/>
      <c r="AK114" s="405"/>
      <c r="AL114" s="405"/>
      <c r="AM114" s="405"/>
      <c r="AN114" s="404">
        <f t="shared" si="2"/>
        <v>0</v>
      </c>
      <c r="AO114" s="405"/>
      <c r="AP114" s="405"/>
      <c r="AQ114" s="91" t="s">
        <v>78</v>
      </c>
      <c r="AR114" s="92"/>
      <c r="AS114" s="93">
        <v>0</v>
      </c>
      <c r="AT114" s="94">
        <f t="shared" si="3"/>
        <v>0</v>
      </c>
      <c r="AU114" s="95">
        <f>'PS 02 - STABILNÍ HASÍCÍ Z...'!P87</f>
        <v>0</v>
      </c>
      <c r="AV114" s="94">
        <f>'PS 02 - STABILNÍ HASÍCÍ Z...'!J33</f>
        <v>0</v>
      </c>
      <c r="AW114" s="94">
        <f>'PS 02 - STABILNÍ HASÍCÍ Z...'!J34</f>
        <v>0</v>
      </c>
      <c r="AX114" s="94">
        <f>'PS 02 - STABILNÍ HASÍCÍ Z...'!J35</f>
        <v>0</v>
      </c>
      <c r="AY114" s="94">
        <f>'PS 02 - STABILNÍ HASÍCÍ Z...'!J36</f>
        <v>0</v>
      </c>
      <c r="AZ114" s="94">
        <f>'PS 02 - STABILNÍ HASÍCÍ Z...'!F33</f>
        <v>0</v>
      </c>
      <c r="BA114" s="94">
        <f>'PS 02 - STABILNÍ HASÍCÍ Z...'!F34</f>
        <v>0</v>
      </c>
      <c r="BB114" s="94">
        <f>'PS 02 - STABILNÍ HASÍCÍ Z...'!F35</f>
        <v>0</v>
      </c>
      <c r="BC114" s="94">
        <f>'PS 02 - STABILNÍ HASÍCÍ Z...'!F36</f>
        <v>0</v>
      </c>
      <c r="BD114" s="96">
        <f>'PS 02 - STABILNÍ HASÍCÍ Z...'!F37</f>
        <v>0</v>
      </c>
      <c r="BT114" s="97" t="s">
        <v>79</v>
      </c>
      <c r="BV114" s="97" t="s">
        <v>74</v>
      </c>
      <c r="BW114" s="97" t="s">
        <v>261</v>
      </c>
      <c r="BX114" s="97" t="s">
        <v>5</v>
      </c>
      <c r="CL114" s="97" t="s">
        <v>19</v>
      </c>
      <c r="CM114" s="97" t="s">
        <v>82</v>
      </c>
    </row>
    <row r="115" spans="1:91" s="7" customFormat="1" ht="16.5" customHeight="1">
      <c r="A115" s="98" t="s">
        <v>83</v>
      </c>
      <c r="B115" s="88"/>
      <c r="C115" s="89"/>
      <c r="D115" s="392" t="s">
        <v>262</v>
      </c>
      <c r="E115" s="392"/>
      <c r="F115" s="392"/>
      <c r="G115" s="392"/>
      <c r="H115" s="392"/>
      <c r="I115" s="90"/>
      <c r="J115" s="392" t="s">
        <v>263</v>
      </c>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404">
        <f>'PS 03 - REGÁLOVÉ SYSTÉMY'!J30</f>
        <v>0</v>
      </c>
      <c r="AH115" s="405"/>
      <c r="AI115" s="405"/>
      <c r="AJ115" s="405"/>
      <c r="AK115" s="405"/>
      <c r="AL115" s="405"/>
      <c r="AM115" s="405"/>
      <c r="AN115" s="404">
        <f t="shared" si="2"/>
        <v>0</v>
      </c>
      <c r="AO115" s="405"/>
      <c r="AP115" s="405"/>
      <c r="AQ115" s="91" t="s">
        <v>78</v>
      </c>
      <c r="AR115" s="92"/>
      <c r="AS115" s="93">
        <v>0</v>
      </c>
      <c r="AT115" s="94">
        <f t="shared" si="3"/>
        <v>0</v>
      </c>
      <c r="AU115" s="95">
        <f>'PS 03 - REGÁLOVÉ SYSTÉMY'!P83</f>
        <v>0</v>
      </c>
      <c r="AV115" s="94">
        <f>'PS 03 - REGÁLOVÉ SYSTÉMY'!J33</f>
        <v>0</v>
      </c>
      <c r="AW115" s="94">
        <f>'PS 03 - REGÁLOVÉ SYSTÉMY'!J34</f>
        <v>0</v>
      </c>
      <c r="AX115" s="94">
        <f>'PS 03 - REGÁLOVÉ SYSTÉMY'!J35</f>
        <v>0</v>
      </c>
      <c r="AY115" s="94">
        <f>'PS 03 - REGÁLOVÉ SYSTÉMY'!J36</f>
        <v>0</v>
      </c>
      <c r="AZ115" s="94">
        <f>'PS 03 - REGÁLOVÉ SYSTÉMY'!F33</f>
        <v>0</v>
      </c>
      <c r="BA115" s="94">
        <f>'PS 03 - REGÁLOVÉ SYSTÉMY'!F34</f>
        <v>0</v>
      </c>
      <c r="BB115" s="94">
        <f>'PS 03 - REGÁLOVÉ SYSTÉMY'!F35</f>
        <v>0</v>
      </c>
      <c r="BC115" s="94">
        <f>'PS 03 - REGÁLOVÉ SYSTÉMY'!F36</f>
        <v>0</v>
      </c>
      <c r="BD115" s="96">
        <f>'PS 03 - REGÁLOVÉ SYSTÉMY'!F37</f>
        <v>0</v>
      </c>
      <c r="BT115" s="97" t="s">
        <v>79</v>
      </c>
      <c r="BV115" s="97" t="s">
        <v>74</v>
      </c>
      <c r="BW115" s="97" t="s">
        <v>264</v>
      </c>
      <c r="BX115" s="97" t="s">
        <v>5</v>
      </c>
      <c r="CL115" s="97" t="s">
        <v>19</v>
      </c>
      <c r="CM115" s="97" t="s">
        <v>82</v>
      </c>
    </row>
    <row r="116" spans="1:91" s="7" customFormat="1" ht="16.5" customHeight="1">
      <c r="A116" s="98" t="s">
        <v>83</v>
      </c>
      <c r="B116" s="88"/>
      <c r="C116" s="89"/>
      <c r="D116" s="392" t="s">
        <v>265</v>
      </c>
      <c r="E116" s="392"/>
      <c r="F116" s="392"/>
      <c r="G116" s="392"/>
      <c r="H116" s="392"/>
      <c r="I116" s="90"/>
      <c r="J116" s="392" t="s">
        <v>266</v>
      </c>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404">
        <f>'VRN - VEDLEJŠÍ ROZPOČTOVÉ...'!J30</f>
        <v>0</v>
      </c>
      <c r="AH116" s="405"/>
      <c r="AI116" s="405"/>
      <c r="AJ116" s="405"/>
      <c r="AK116" s="405"/>
      <c r="AL116" s="405"/>
      <c r="AM116" s="405"/>
      <c r="AN116" s="404">
        <f t="shared" si="2"/>
        <v>0</v>
      </c>
      <c r="AO116" s="405"/>
      <c r="AP116" s="405"/>
      <c r="AQ116" s="91" t="s">
        <v>78</v>
      </c>
      <c r="AR116" s="92"/>
      <c r="AS116" s="106">
        <v>0</v>
      </c>
      <c r="AT116" s="107">
        <f t="shared" si="3"/>
        <v>0</v>
      </c>
      <c r="AU116" s="108">
        <f>'VRN - VEDLEJŠÍ ROZPOČTOVÉ...'!P81</f>
        <v>0</v>
      </c>
      <c r="AV116" s="107">
        <f>'VRN - VEDLEJŠÍ ROZPOČTOVÉ...'!J33</f>
        <v>0</v>
      </c>
      <c r="AW116" s="107">
        <f>'VRN - VEDLEJŠÍ ROZPOČTOVÉ...'!J34</f>
        <v>0</v>
      </c>
      <c r="AX116" s="107">
        <f>'VRN - VEDLEJŠÍ ROZPOČTOVÉ...'!J35</f>
        <v>0</v>
      </c>
      <c r="AY116" s="107">
        <f>'VRN - VEDLEJŠÍ ROZPOČTOVÉ...'!J36</f>
        <v>0</v>
      </c>
      <c r="AZ116" s="107">
        <f>'VRN - VEDLEJŠÍ ROZPOČTOVÉ...'!F33</f>
        <v>0</v>
      </c>
      <c r="BA116" s="107">
        <f>'VRN - VEDLEJŠÍ ROZPOČTOVÉ...'!F34</f>
        <v>0</v>
      </c>
      <c r="BB116" s="107">
        <f>'VRN - VEDLEJŠÍ ROZPOČTOVÉ...'!F35</f>
        <v>0</v>
      </c>
      <c r="BC116" s="107">
        <f>'VRN - VEDLEJŠÍ ROZPOČTOVÉ...'!F36</f>
        <v>0</v>
      </c>
      <c r="BD116" s="109">
        <f>'VRN - VEDLEJŠÍ ROZPOČTOVÉ...'!F37</f>
        <v>0</v>
      </c>
      <c r="BT116" s="97" t="s">
        <v>79</v>
      </c>
      <c r="BV116" s="97" t="s">
        <v>74</v>
      </c>
      <c r="BW116" s="97" t="s">
        <v>267</v>
      </c>
      <c r="BX116" s="97" t="s">
        <v>5</v>
      </c>
      <c r="CL116" s="97" t="s">
        <v>19</v>
      </c>
      <c r="CM116" s="97" t="s">
        <v>82</v>
      </c>
    </row>
    <row r="117" spans="1:91" s="2" customFormat="1" ht="30" customHeight="1">
      <c r="A117" s="36"/>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41"/>
      <c r="AS117" s="36"/>
      <c r="AT117" s="36"/>
      <c r="AU117" s="36"/>
      <c r="AV117" s="36"/>
      <c r="AW117" s="36"/>
      <c r="AX117" s="36"/>
      <c r="AY117" s="36"/>
      <c r="AZ117" s="36"/>
      <c r="BA117" s="36"/>
      <c r="BB117" s="36"/>
      <c r="BC117" s="36"/>
      <c r="BD117" s="36"/>
      <c r="BE117" s="36"/>
    </row>
    <row r="118" spans="1:91" s="2" customFormat="1" ht="6.95" customHeight="1">
      <c r="A118" s="36"/>
      <c r="B118" s="49"/>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41"/>
      <c r="AS118" s="36"/>
      <c r="AT118" s="36"/>
      <c r="AU118" s="36"/>
      <c r="AV118" s="36"/>
      <c r="AW118" s="36"/>
      <c r="AX118" s="36"/>
      <c r="AY118" s="36"/>
      <c r="AZ118" s="36"/>
      <c r="BA118" s="36"/>
      <c r="BB118" s="36"/>
      <c r="BC118" s="36"/>
      <c r="BD118" s="36"/>
      <c r="BE118" s="36"/>
    </row>
  </sheetData>
  <sheetProtection algorithmName="SHA-512" hashValue="+8EvxsH6ZiFOzbP9CbrYjkw0gLKojIRjvDETo/ADAxCkb4E3FZuzw5SyzzOH0OtrIQ8oCWJKg6+6zT1b7MqFfw==" saltValue="ti9PThVB28HNrMoWq1TtTDhmR2qxmt0yBAbhblbBPA5/qoai4ot2I4wklnJR5km22ihK45l1/EVBtOr2GKiGrA==" spinCount="100000" sheet="1" objects="1" scenarios="1" formatColumns="0" formatRows="0"/>
  <mergeCells count="286">
    <mergeCell ref="D111:H111"/>
    <mergeCell ref="D112:H112"/>
    <mergeCell ref="D113:H113"/>
    <mergeCell ref="D114:H114"/>
    <mergeCell ref="D115:H115"/>
    <mergeCell ref="D116:H116"/>
    <mergeCell ref="J109:AF109"/>
    <mergeCell ref="J110:AF110"/>
    <mergeCell ref="J111:AF111"/>
    <mergeCell ref="J112:AF112"/>
    <mergeCell ref="J113:AF113"/>
    <mergeCell ref="J114:AF114"/>
    <mergeCell ref="J115:AF115"/>
    <mergeCell ref="J116:AF116"/>
    <mergeCell ref="F95:J95"/>
    <mergeCell ref="F96:J96"/>
    <mergeCell ref="F97:J97"/>
    <mergeCell ref="F98:J98"/>
    <mergeCell ref="F99:J99"/>
    <mergeCell ref="F100:J100"/>
    <mergeCell ref="F101:J101"/>
    <mergeCell ref="F102:J102"/>
    <mergeCell ref="F103:J103"/>
    <mergeCell ref="F104:J104"/>
    <mergeCell ref="F105:J105"/>
    <mergeCell ref="E106:I106"/>
    <mergeCell ref="D107:H107"/>
    <mergeCell ref="D108:H108"/>
    <mergeCell ref="D109:H109"/>
    <mergeCell ref="D110:H110"/>
    <mergeCell ref="L100:AF100"/>
    <mergeCell ref="L101:AF101"/>
    <mergeCell ref="L102:AF102"/>
    <mergeCell ref="L103:AF103"/>
    <mergeCell ref="L104:AF104"/>
    <mergeCell ref="L105:AF105"/>
    <mergeCell ref="K106:AF106"/>
    <mergeCell ref="J107:AF107"/>
    <mergeCell ref="J108:AF108"/>
    <mergeCell ref="F91:J91"/>
    <mergeCell ref="F92:J92"/>
    <mergeCell ref="F93:J93"/>
    <mergeCell ref="F94:J94"/>
    <mergeCell ref="L95:AF95"/>
    <mergeCell ref="L96:AF96"/>
    <mergeCell ref="L97:AF97"/>
    <mergeCell ref="L98:AF98"/>
    <mergeCell ref="L99:AF99"/>
    <mergeCell ref="F82:J82"/>
    <mergeCell ref="F83:J83"/>
    <mergeCell ref="F84:J84"/>
    <mergeCell ref="F85:J85"/>
    <mergeCell ref="F86:J86"/>
    <mergeCell ref="F87:J87"/>
    <mergeCell ref="F88:J88"/>
    <mergeCell ref="F89:J89"/>
    <mergeCell ref="F90:J90"/>
    <mergeCell ref="E73:I73"/>
    <mergeCell ref="E74:I74"/>
    <mergeCell ref="E75:I75"/>
    <mergeCell ref="E76:I76"/>
    <mergeCell ref="E77:I77"/>
    <mergeCell ref="F78:J78"/>
    <mergeCell ref="F79:J79"/>
    <mergeCell ref="F80:J80"/>
    <mergeCell ref="F81:J81"/>
    <mergeCell ref="F64:J64"/>
    <mergeCell ref="F65:J65"/>
    <mergeCell ref="F66:J66"/>
    <mergeCell ref="F67:J67"/>
    <mergeCell ref="F68:J68"/>
    <mergeCell ref="F69:J69"/>
    <mergeCell ref="F70:J70"/>
    <mergeCell ref="F71:J71"/>
    <mergeCell ref="F72:J72"/>
    <mergeCell ref="L86:AF86"/>
    <mergeCell ref="L87:AF87"/>
    <mergeCell ref="L88:AF88"/>
    <mergeCell ref="L89:AF89"/>
    <mergeCell ref="L90:AF90"/>
    <mergeCell ref="L91:AF91"/>
    <mergeCell ref="L92:AF92"/>
    <mergeCell ref="L93:AF93"/>
    <mergeCell ref="L94:AF94"/>
    <mergeCell ref="AN116:AP116"/>
    <mergeCell ref="AG116:AM116"/>
    <mergeCell ref="L64:AF64"/>
    <mergeCell ref="L65:AF65"/>
    <mergeCell ref="L66:AF66"/>
    <mergeCell ref="L67:AF67"/>
    <mergeCell ref="L68:AF68"/>
    <mergeCell ref="L69:AF69"/>
    <mergeCell ref="L70:AF70"/>
    <mergeCell ref="L71:AF71"/>
    <mergeCell ref="L72:AF72"/>
    <mergeCell ref="K73:AF73"/>
    <mergeCell ref="K74:AF74"/>
    <mergeCell ref="K75:AF75"/>
    <mergeCell ref="K76:AF76"/>
    <mergeCell ref="K77:AF77"/>
    <mergeCell ref="L78:AF78"/>
    <mergeCell ref="L79:AF79"/>
    <mergeCell ref="L80:AF80"/>
    <mergeCell ref="L81:AF81"/>
    <mergeCell ref="L82:AF82"/>
    <mergeCell ref="L83:AF83"/>
    <mergeCell ref="L84:AF84"/>
    <mergeCell ref="L85:AF85"/>
    <mergeCell ref="AG111:AM111"/>
    <mergeCell ref="AN111:AP111"/>
    <mergeCell ref="AN112:AP112"/>
    <mergeCell ref="AG112:AM112"/>
    <mergeCell ref="AN113:AP113"/>
    <mergeCell ref="AG113:AM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N110:AP110"/>
    <mergeCell ref="AG110:AM110"/>
    <mergeCell ref="AG101:AM101"/>
    <mergeCell ref="AN101:AP101"/>
    <mergeCell ref="AG102:AM102"/>
    <mergeCell ref="AN102:AP102"/>
    <mergeCell ref="AN103:AP103"/>
    <mergeCell ref="AG103:AM103"/>
    <mergeCell ref="AN104:AP104"/>
    <mergeCell ref="AG104:AM104"/>
    <mergeCell ref="AG105:AM105"/>
    <mergeCell ref="AN105:AP105"/>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98:AP98"/>
    <mergeCell ref="AG98:AM98"/>
    <mergeCell ref="AG99:AM99"/>
    <mergeCell ref="AN99:AP99"/>
    <mergeCell ref="AG100:AM100"/>
    <mergeCell ref="AN100:AP100"/>
    <mergeCell ref="L45:AO45"/>
    <mergeCell ref="C52:G52"/>
    <mergeCell ref="I52:AF52"/>
    <mergeCell ref="J55:AF55"/>
    <mergeCell ref="D55:H55"/>
    <mergeCell ref="E56:I56"/>
    <mergeCell ref="K56:AF56"/>
    <mergeCell ref="K57:AF57"/>
    <mergeCell ref="E57:I57"/>
    <mergeCell ref="E58:I58"/>
    <mergeCell ref="K58:AF58"/>
    <mergeCell ref="E59:I59"/>
    <mergeCell ref="K59:AF59"/>
    <mergeCell ref="L60:AF60"/>
    <mergeCell ref="F60:J60"/>
    <mergeCell ref="F61:J61"/>
    <mergeCell ref="L61:AF61"/>
    <mergeCell ref="F62:J62"/>
    <mergeCell ref="AN93:AP93"/>
    <mergeCell ref="AG93:AM93"/>
    <mergeCell ref="AN94:AP94"/>
    <mergeCell ref="AG94:AM94"/>
    <mergeCell ref="AN95:AP95"/>
    <mergeCell ref="AG95:AM95"/>
    <mergeCell ref="AN96:AP96"/>
    <mergeCell ref="AG96:AM96"/>
    <mergeCell ref="AN97:AP97"/>
    <mergeCell ref="AG97:AM97"/>
    <mergeCell ref="AN88:AP88"/>
    <mergeCell ref="AG88:AM88"/>
    <mergeCell ref="AG89:AM89"/>
    <mergeCell ref="AN89:AP89"/>
    <mergeCell ref="AG90:AM90"/>
    <mergeCell ref="AN90:AP90"/>
    <mergeCell ref="AG91:AM91"/>
    <mergeCell ref="AN91:AP91"/>
    <mergeCell ref="AN92:AP92"/>
    <mergeCell ref="AG92:AM92"/>
    <mergeCell ref="AN83:AP83"/>
    <mergeCell ref="AG83:AM83"/>
    <mergeCell ref="AN84:AP84"/>
    <mergeCell ref="AG84:AM84"/>
    <mergeCell ref="AN85:AP85"/>
    <mergeCell ref="AG85:AM85"/>
    <mergeCell ref="AN86:AP86"/>
    <mergeCell ref="AG86:AM86"/>
    <mergeCell ref="AG87:AM87"/>
    <mergeCell ref="AN87:AP87"/>
    <mergeCell ref="AG78:AM78"/>
    <mergeCell ref="AN78:AP78"/>
    <mergeCell ref="AG79:AM79"/>
    <mergeCell ref="AN79:AP79"/>
    <mergeCell ref="AN80:AP80"/>
    <mergeCell ref="AG80:AM80"/>
    <mergeCell ref="AN81:AP81"/>
    <mergeCell ref="AG81:AM81"/>
    <mergeCell ref="AN82:AP82"/>
    <mergeCell ref="AG82:AM82"/>
    <mergeCell ref="AN73:AP73"/>
    <mergeCell ref="AG73:AM73"/>
    <mergeCell ref="AN74:AP74"/>
    <mergeCell ref="AG74:AM74"/>
    <mergeCell ref="AN75:AP75"/>
    <mergeCell ref="AG75:AM75"/>
    <mergeCell ref="AN76:AP76"/>
    <mergeCell ref="AG76:AM76"/>
    <mergeCell ref="AN77:AP77"/>
    <mergeCell ref="AG77:AM77"/>
    <mergeCell ref="AG68:AM68"/>
    <mergeCell ref="AN68:AP68"/>
    <mergeCell ref="AG69:AM69"/>
    <mergeCell ref="AN69:AP69"/>
    <mergeCell ref="AG70:AM70"/>
    <mergeCell ref="AN70:AP70"/>
    <mergeCell ref="AN71:AP71"/>
    <mergeCell ref="AG71:AM71"/>
    <mergeCell ref="AN72:AP72"/>
    <mergeCell ref="AG72:AM72"/>
    <mergeCell ref="AN63:AP63"/>
    <mergeCell ref="AG63:AM63"/>
    <mergeCell ref="AN64:AP64"/>
    <mergeCell ref="AG64:AM64"/>
    <mergeCell ref="AN65:AP65"/>
    <mergeCell ref="AG65:AM65"/>
    <mergeCell ref="AG66:AM66"/>
    <mergeCell ref="AN66:AP66"/>
    <mergeCell ref="AN67:AP67"/>
    <mergeCell ref="AG67:AM67"/>
    <mergeCell ref="L33:P33"/>
    <mergeCell ref="AK33:AO33"/>
    <mergeCell ref="W33:AE33"/>
    <mergeCell ref="AK35:AO35"/>
    <mergeCell ref="X35:AB35"/>
    <mergeCell ref="AR2:BE2"/>
    <mergeCell ref="AN61:AP61"/>
    <mergeCell ref="AG61:AM61"/>
    <mergeCell ref="AG62:AM62"/>
    <mergeCell ref="AN62:AP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ARS - STAVEBNÍ A KONSTRUK...'!C2" display="/" xr:uid="{00000000-0004-0000-0000-000000000000}"/>
    <hyperlink ref="A57" location="'ÚT - ZAŘÍZENÍ PRO VYTÁPĚN...'!C2" display="/" xr:uid="{00000000-0004-0000-0000-000001000000}"/>
    <hyperlink ref="A58" location="'ZTI - ZDRAVOTECHNIKA'!C2" display="/" xr:uid="{00000000-0004-0000-0000-000002000000}"/>
    <hyperlink ref="A60" location="'01 - Kanceláře jih'!C2" display="/" xr:uid="{00000000-0004-0000-0000-000003000000}"/>
    <hyperlink ref="A61" location="'02 - Badatelna a kancelář'!C2" display="/" xr:uid="{00000000-0004-0000-0000-000004000000}"/>
    <hyperlink ref="A62" location="'03 - Konferenční sál'!C2" display="/" xr:uid="{00000000-0004-0000-0000-000005000000}"/>
    <hyperlink ref="A63" location="'04 - Kanceláře východ a p...'!C2" display="/" xr:uid="{00000000-0004-0000-0000-000006000000}"/>
    <hyperlink ref="A64" location="'06 - Hala 3.NP'!C2" display="/" xr:uid="{00000000-0004-0000-0000-000007000000}"/>
    <hyperlink ref="A65" location="'07 - Větrání depozitářů'!C2" display="/" xr:uid="{00000000-0004-0000-0000-000008000000}"/>
    <hyperlink ref="A66" location="'08 - Odvětrání hyg. zázem...'!C2" display="/" xr:uid="{00000000-0004-0000-0000-000009000000}"/>
    <hyperlink ref="A67" location="'09 - Odvětrání hyg. zázemí'!C2" display="/" xr:uid="{00000000-0004-0000-0000-00000A000000}"/>
    <hyperlink ref="A68" location="'10 - Odvětrání kotelny'!C2" display="/" xr:uid="{00000000-0004-0000-0000-00000B000000}"/>
    <hyperlink ref="A69" location="'11 - Odvětrání serverů'!C2" display="/" xr:uid="{00000000-0004-0000-0000-00000C000000}"/>
    <hyperlink ref="A70" location="'12 - Odvětrání technickýc...'!C2" display="/" xr:uid="{00000000-0004-0000-0000-00000D000000}"/>
    <hyperlink ref="A71" location="'13 - Odvětrání technickýc...'!C2" display="/" xr:uid="{00000000-0004-0000-0000-00000E000000}"/>
    <hyperlink ref="A72" location="'14 - Odvětrání hyg. zázemí'!C2" display="/" xr:uid="{00000000-0004-0000-0000-00000F000000}"/>
    <hyperlink ref="A73" location="'SIL - ZAŘÍZENÍ SILNOPROUD...'!C2" display="/" xr:uid="{00000000-0004-0000-0000-000010000000}"/>
    <hyperlink ref="A74" location="'SLP - SLABOPROUD'!C2" display="/" xr:uid="{00000000-0004-0000-0000-000011000000}"/>
    <hyperlink ref="A75" location="'MAR - ZAŘÍZENÍ PRO MĚŘENÍ...'!C2" display="/" xr:uid="{00000000-0004-0000-0000-000012000000}"/>
    <hyperlink ref="A76" location="'PLYN - PLYNOINSTALACE'!C2" display="/" xr:uid="{00000000-0004-0000-0000-000013000000}"/>
    <hyperlink ref="A78" location="'101 - Chlazení pro VZT je...'!C2" display="/" xr:uid="{00000000-0004-0000-0000-000014000000}"/>
    <hyperlink ref="A79" location="'102 - Chlazení pro VZT je...'!C2" display="/" xr:uid="{00000000-0004-0000-0000-000015000000}"/>
    <hyperlink ref="A80" location="'103 - Chlazení pro VZT je...'!C2" display="/" xr:uid="{00000000-0004-0000-0000-000016000000}"/>
    <hyperlink ref="A81" location="'104 - Chlazení pro VZT je...'!C2" display="/" xr:uid="{00000000-0004-0000-0000-000017000000}"/>
    <hyperlink ref="A82" location="'106 - Chlazení pro VZT je...'!C2" display="/" xr:uid="{00000000-0004-0000-0000-000018000000}"/>
    <hyperlink ref="A83" location="'107.1 - Chlazení pro VZT ...'!C2" display="/" xr:uid="{00000000-0004-0000-0000-000019000000}"/>
    <hyperlink ref="A84" location="'107.2 - Chlazení pro VZT ...'!C2" display="/" xr:uid="{00000000-0004-0000-0000-00001A000000}"/>
    <hyperlink ref="A85" location="'107.3 - Chlazení pro VZT ...'!C2" display="/" xr:uid="{00000000-0004-0000-0000-00001B000000}"/>
    <hyperlink ref="A86" location="'107.4 - Chlazení pro VZT ...'!C2" display="/" xr:uid="{00000000-0004-0000-0000-00001C000000}"/>
    <hyperlink ref="A87" location="'107.5 - Chlazení pro VZT ...'!C2" display="/" xr:uid="{00000000-0004-0000-0000-00001D000000}"/>
    <hyperlink ref="A88" location="'107.6 - Chlazení pro VZT ...'!C2" display="/" xr:uid="{00000000-0004-0000-0000-00001E000000}"/>
    <hyperlink ref="A89" location="'107.7 - Chlazení pro VZT ...'!C2" display="/" xr:uid="{00000000-0004-0000-0000-00001F000000}"/>
    <hyperlink ref="A90" location="'107.8 - Chlazení pro VZT ...'!C2" display="/" xr:uid="{00000000-0004-0000-0000-000020000000}"/>
    <hyperlink ref="A91" location="'208 - Okruh server - M3.17'!C2" display="/" xr:uid="{00000000-0004-0000-0000-000021000000}"/>
    <hyperlink ref="A92" location="'209 - Okruh server - M2.16'!C2" display="/" xr:uid="{00000000-0004-0000-0000-000022000000}"/>
    <hyperlink ref="A93" location="'313 - Okruh badatelna a k...'!C2" display="/" xr:uid="{00000000-0004-0000-0000-000023000000}"/>
    <hyperlink ref="A94" location="'314 - Okruh konferenční m...'!C2" display="/" xr:uid="{00000000-0004-0000-0000-000024000000}"/>
    <hyperlink ref="A95" location="'316 - Okruh kanceláře - M...'!C2" display="/" xr:uid="{00000000-0004-0000-0000-000025000000}"/>
    <hyperlink ref="A96" location="'410 - Okruh kanceláře - M...'!C2" display="/" xr:uid="{00000000-0004-0000-0000-000026000000}"/>
    <hyperlink ref="A97" location="'411 - Okruh kanceláře - M...'!C2" display="/" xr:uid="{00000000-0004-0000-0000-000027000000}"/>
    <hyperlink ref="A98" location="'412 - Okruh kanceláře - M...'!C2" display="/" xr:uid="{00000000-0004-0000-0000-000028000000}"/>
    <hyperlink ref="A99" location="'415 - Okruh depozitáře - ...'!C2" display="/" xr:uid="{00000000-0004-0000-0000-000029000000}"/>
    <hyperlink ref="A100" location="'417 - Okruh depozitáře - ...'!C2" display="/" xr:uid="{00000000-0004-0000-0000-00002A000000}"/>
    <hyperlink ref="A101" location="'418 - Okruh depozitáře - ...'!C2" display="/" xr:uid="{00000000-0004-0000-0000-00002B000000}"/>
    <hyperlink ref="A102" location="'419 - Okruh depozitáře - ...'!C2" display="/" xr:uid="{00000000-0004-0000-0000-00002C000000}"/>
    <hyperlink ref="A103" location="'420 - Okruh depozitáře - ...'!C2" display="/" xr:uid="{00000000-0004-0000-0000-00002D000000}"/>
    <hyperlink ref="A104" location="'421 - Okruh depozitáře - ...'!C2" display="/" xr:uid="{00000000-0004-0000-0000-00002E000000}"/>
    <hyperlink ref="A105" location="'422 - Okruh depozitáře - ...'!C2" display="/" xr:uid="{00000000-0004-0000-0000-00002F000000}"/>
    <hyperlink ref="A106" location="'EPS - ELEKTRONICKÁ POŽÁRN...'!C2" display="/" xr:uid="{00000000-0004-0000-0000-000030000000}"/>
    <hyperlink ref="A107" location="'SO 02 - DEMOLICE'!C2" display="/" xr:uid="{00000000-0004-0000-0000-000031000000}"/>
    <hyperlink ref="A108" location="'IO 01 - KOMUNIKACE A ZPEV...'!C2" display="/" xr:uid="{00000000-0004-0000-0000-000032000000}"/>
    <hyperlink ref="A109" location="'IO 02 - KANALIZACE'!C2" display="/" xr:uid="{00000000-0004-0000-0000-000033000000}"/>
    <hyperlink ref="A110" location="'IO 03 - VODOVODNÍ PŘÍPOJKA'!C2" display="/" xr:uid="{00000000-0004-0000-0000-000034000000}"/>
    <hyperlink ref="A111" location="'IO 04 - PŘÍPOJKA METROPOL...'!C2" display="/" xr:uid="{00000000-0004-0000-0000-000035000000}"/>
    <hyperlink ref="A112" location="'IO 05 - SADOVÉ ÚPRAVY'!C2" display="/" xr:uid="{00000000-0004-0000-0000-000036000000}"/>
    <hyperlink ref="A113" location="'PS 01 - AUTOMATICKÁ TLAKO...'!C2" display="/" xr:uid="{00000000-0004-0000-0000-000037000000}"/>
    <hyperlink ref="A114" location="'PS 02 - STABILNÍ HASÍCÍ Z...'!C2" display="/" xr:uid="{00000000-0004-0000-0000-000038000000}"/>
    <hyperlink ref="A115" location="'PS 03 - REGÁLOVÉ SYSTÉMY'!C2" display="/" xr:uid="{00000000-0004-0000-0000-000039000000}"/>
    <hyperlink ref="A116" location="'VRN - VEDLEJŠÍ ROZPOČTOVÉ...'!C2" display="/" xr:uid="{00000000-0004-0000-00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19" t="s">
        <v>87</v>
      </c>
      <c r="AZ2" s="110" t="s">
        <v>268</v>
      </c>
      <c r="BA2" s="110" t="s">
        <v>268</v>
      </c>
      <c r="BB2" s="110" t="s">
        <v>19</v>
      </c>
      <c r="BC2" s="110" t="s">
        <v>269</v>
      </c>
      <c r="BD2" s="110" t="s">
        <v>82</v>
      </c>
    </row>
    <row r="3" spans="1:56" s="1" customFormat="1" ht="6.95" customHeight="1">
      <c r="B3" s="111"/>
      <c r="C3" s="112"/>
      <c r="D3" s="112"/>
      <c r="E3" s="112"/>
      <c r="F3" s="112"/>
      <c r="G3" s="112"/>
      <c r="H3" s="112"/>
      <c r="I3" s="112"/>
      <c r="J3" s="112"/>
      <c r="K3" s="112"/>
      <c r="L3" s="22"/>
      <c r="AT3" s="19" t="s">
        <v>82</v>
      </c>
      <c r="AZ3" s="110" t="s">
        <v>270</v>
      </c>
      <c r="BA3" s="110" t="s">
        <v>270</v>
      </c>
      <c r="BB3" s="110" t="s">
        <v>19</v>
      </c>
      <c r="BC3" s="110" t="s">
        <v>271</v>
      </c>
      <c r="BD3" s="110" t="s">
        <v>82</v>
      </c>
    </row>
    <row r="4" spans="1:56" s="1" customFormat="1" ht="24.95" customHeight="1">
      <c r="B4" s="22"/>
      <c r="D4" s="113" t="s">
        <v>272</v>
      </c>
      <c r="L4" s="22"/>
      <c r="M4" s="114" t="s">
        <v>10</v>
      </c>
      <c r="AT4" s="19" t="s">
        <v>4</v>
      </c>
      <c r="AZ4" s="110" t="s">
        <v>273</v>
      </c>
      <c r="BA4" s="110" t="s">
        <v>274</v>
      </c>
      <c r="BB4" s="110" t="s">
        <v>19</v>
      </c>
      <c r="BC4" s="110" t="s">
        <v>275</v>
      </c>
      <c r="BD4" s="110" t="s">
        <v>82</v>
      </c>
    </row>
    <row r="5" spans="1:56" s="1" customFormat="1" ht="6.95" customHeight="1">
      <c r="B5" s="22"/>
      <c r="L5" s="22"/>
      <c r="AZ5" s="110" t="s">
        <v>276</v>
      </c>
      <c r="BA5" s="110" t="s">
        <v>276</v>
      </c>
      <c r="BB5" s="110" t="s">
        <v>19</v>
      </c>
      <c r="BC5" s="110" t="s">
        <v>277</v>
      </c>
      <c r="BD5" s="110" t="s">
        <v>82</v>
      </c>
    </row>
    <row r="6" spans="1:56" s="1" customFormat="1" ht="12" customHeight="1">
      <c r="B6" s="22"/>
      <c r="D6" s="115" t="s">
        <v>16</v>
      </c>
      <c r="L6" s="22"/>
      <c r="AZ6" s="110" t="s">
        <v>278</v>
      </c>
      <c r="BA6" s="110" t="s">
        <v>278</v>
      </c>
      <c r="BB6" s="110" t="s">
        <v>19</v>
      </c>
      <c r="BC6" s="110" t="s">
        <v>279</v>
      </c>
      <c r="BD6" s="110" t="s">
        <v>82</v>
      </c>
    </row>
    <row r="7" spans="1:56" s="1" customFormat="1" ht="16.5" customHeight="1">
      <c r="B7" s="22"/>
      <c r="E7" s="409" t="str">
        <f>'Rekapitulace stavby'!K6</f>
        <v>ARCHIV UP V OLOMOUCI - BEZ VYBAVENÍ INTERIÉRU</v>
      </c>
      <c r="F7" s="410"/>
      <c r="G7" s="410"/>
      <c r="H7" s="410"/>
      <c r="L7" s="22"/>
      <c r="AZ7" s="110" t="s">
        <v>280</v>
      </c>
      <c r="BA7" s="110" t="s">
        <v>280</v>
      </c>
      <c r="BB7" s="110" t="s">
        <v>19</v>
      </c>
      <c r="BC7" s="110" t="s">
        <v>281</v>
      </c>
      <c r="BD7" s="110" t="s">
        <v>82</v>
      </c>
    </row>
    <row r="8" spans="1:56" s="1" customFormat="1" ht="12" customHeight="1">
      <c r="B8" s="22"/>
      <c r="D8" s="115" t="s">
        <v>282</v>
      </c>
      <c r="L8" s="22"/>
      <c r="AZ8" s="110" t="s">
        <v>283</v>
      </c>
      <c r="BA8" s="110" t="s">
        <v>283</v>
      </c>
      <c r="BB8" s="110" t="s">
        <v>19</v>
      </c>
      <c r="BC8" s="110" t="s">
        <v>284</v>
      </c>
      <c r="BD8" s="110" t="s">
        <v>82</v>
      </c>
    </row>
    <row r="9" spans="1:5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c r="AZ9" s="110" t="s">
        <v>286</v>
      </c>
      <c r="BA9" s="110" t="s">
        <v>286</v>
      </c>
      <c r="BB9" s="110" t="s">
        <v>19</v>
      </c>
      <c r="BC9" s="110" t="s">
        <v>287</v>
      </c>
      <c r="BD9" s="110" t="s">
        <v>82</v>
      </c>
    </row>
    <row r="10" spans="1:5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c r="AZ10" s="110" t="s">
        <v>289</v>
      </c>
      <c r="BA10" s="110" t="s">
        <v>289</v>
      </c>
      <c r="BB10" s="110" t="s">
        <v>19</v>
      </c>
      <c r="BC10" s="110" t="s">
        <v>290</v>
      </c>
      <c r="BD10" s="110" t="s">
        <v>82</v>
      </c>
    </row>
    <row r="11" spans="1:56" s="2" customFormat="1" ht="16.5" customHeight="1">
      <c r="A11" s="36"/>
      <c r="B11" s="41"/>
      <c r="C11" s="36"/>
      <c r="D11" s="36"/>
      <c r="E11" s="412" t="s">
        <v>291</v>
      </c>
      <c r="F11" s="411"/>
      <c r="G11" s="411"/>
      <c r="H11" s="411"/>
      <c r="I11" s="36"/>
      <c r="J11" s="36"/>
      <c r="K11" s="36"/>
      <c r="L11" s="116"/>
      <c r="S11" s="36"/>
      <c r="T11" s="36"/>
      <c r="U11" s="36"/>
      <c r="V11" s="36"/>
      <c r="W11" s="36"/>
      <c r="X11" s="36"/>
      <c r="Y11" s="36"/>
      <c r="Z11" s="36"/>
      <c r="AA11" s="36"/>
      <c r="AB11" s="36"/>
      <c r="AC11" s="36"/>
      <c r="AD11" s="36"/>
      <c r="AE11" s="36"/>
      <c r="AZ11" s="110" t="s">
        <v>292</v>
      </c>
      <c r="BA11" s="110" t="s">
        <v>292</v>
      </c>
      <c r="BB11" s="110" t="s">
        <v>19</v>
      </c>
      <c r="BC11" s="110" t="s">
        <v>293</v>
      </c>
      <c r="BD11" s="110" t="s">
        <v>82</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294</v>
      </c>
      <c r="BA12" s="110" t="s">
        <v>294</v>
      </c>
      <c r="BB12" s="110" t="s">
        <v>19</v>
      </c>
      <c r="BC12" s="110" t="s">
        <v>295</v>
      </c>
      <c r="BD12" s="110" t="s">
        <v>82</v>
      </c>
    </row>
    <row r="13" spans="1:56" s="2" customFormat="1" ht="12" customHeight="1">
      <c r="A13" s="36"/>
      <c r="B13" s="41"/>
      <c r="C13" s="36"/>
      <c r="D13" s="115" t="s">
        <v>18</v>
      </c>
      <c r="E13" s="36"/>
      <c r="F13" s="105" t="s">
        <v>81</v>
      </c>
      <c r="G13" s="36"/>
      <c r="H13" s="36"/>
      <c r="I13" s="115" t="s">
        <v>20</v>
      </c>
      <c r="J13" s="105" t="s">
        <v>19</v>
      </c>
      <c r="K13" s="36"/>
      <c r="L13" s="116"/>
      <c r="S13" s="36"/>
      <c r="T13" s="36"/>
      <c r="U13" s="36"/>
      <c r="V13" s="36"/>
      <c r="W13" s="36"/>
      <c r="X13" s="36"/>
      <c r="Y13" s="36"/>
      <c r="Z13" s="36"/>
      <c r="AA13" s="36"/>
      <c r="AB13" s="36"/>
      <c r="AC13" s="36"/>
      <c r="AD13" s="36"/>
      <c r="AE13" s="36"/>
      <c r="AZ13" s="110" t="s">
        <v>296</v>
      </c>
      <c r="BA13" s="110" t="s">
        <v>296</v>
      </c>
      <c r="BB13" s="110" t="s">
        <v>19</v>
      </c>
      <c r="BC13" s="110" t="s">
        <v>297</v>
      </c>
      <c r="BD13" s="110" t="s">
        <v>82</v>
      </c>
    </row>
    <row r="14" spans="1:56" s="2" customFormat="1" ht="12" customHeight="1">
      <c r="A14" s="36"/>
      <c r="B14" s="41"/>
      <c r="C14" s="36"/>
      <c r="D14" s="115" t="s">
        <v>21</v>
      </c>
      <c r="E14" s="36"/>
      <c r="F14" s="105" t="s">
        <v>22</v>
      </c>
      <c r="G14" s="36"/>
      <c r="H14" s="36"/>
      <c r="I14" s="115" t="s">
        <v>23</v>
      </c>
      <c r="J14" s="117" t="str">
        <f>'Rekapitulace stavby'!AN8</f>
        <v>4. 8. 2021</v>
      </c>
      <c r="K14" s="36"/>
      <c r="L14" s="116"/>
      <c r="S14" s="36"/>
      <c r="T14" s="36"/>
      <c r="U14" s="36"/>
      <c r="V14" s="36"/>
      <c r="W14" s="36"/>
      <c r="X14" s="36"/>
      <c r="Y14" s="36"/>
      <c r="Z14" s="36"/>
      <c r="AA14" s="36"/>
      <c r="AB14" s="36"/>
      <c r="AC14" s="36"/>
      <c r="AD14" s="36"/>
      <c r="AE14" s="36"/>
      <c r="AZ14" s="110" t="s">
        <v>298</v>
      </c>
      <c r="BA14" s="110" t="s">
        <v>298</v>
      </c>
      <c r="BB14" s="110" t="s">
        <v>19</v>
      </c>
      <c r="BC14" s="110" t="s">
        <v>299</v>
      </c>
      <c r="BD14" s="110" t="s">
        <v>82</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300</v>
      </c>
      <c r="BA15" s="110" t="s">
        <v>300</v>
      </c>
      <c r="BB15" s="110" t="s">
        <v>19</v>
      </c>
      <c r="BC15" s="110" t="s">
        <v>301</v>
      </c>
      <c r="BD15" s="110" t="s">
        <v>82</v>
      </c>
    </row>
    <row r="16" spans="1:56" s="2" customFormat="1" ht="12" customHeight="1">
      <c r="A16" s="36"/>
      <c r="B16" s="41"/>
      <c r="C16" s="36"/>
      <c r="D16" s="115" t="s">
        <v>25</v>
      </c>
      <c r="E16" s="36"/>
      <c r="F16" s="36"/>
      <c r="G16" s="36"/>
      <c r="H16" s="36"/>
      <c r="I16" s="115" t="s">
        <v>26</v>
      </c>
      <c r="J16" s="105" t="s">
        <v>19</v>
      </c>
      <c r="K16" s="36"/>
      <c r="L16" s="116"/>
      <c r="S16" s="36"/>
      <c r="T16" s="36"/>
      <c r="U16" s="36"/>
      <c r="V16" s="36"/>
      <c r="W16" s="36"/>
      <c r="X16" s="36"/>
      <c r="Y16" s="36"/>
      <c r="Z16" s="36"/>
      <c r="AA16" s="36"/>
      <c r="AB16" s="36"/>
      <c r="AC16" s="36"/>
      <c r="AD16" s="36"/>
      <c r="AE16" s="36"/>
      <c r="AZ16" s="110" t="s">
        <v>302</v>
      </c>
      <c r="BA16" s="110" t="s">
        <v>303</v>
      </c>
      <c r="BB16" s="110" t="s">
        <v>19</v>
      </c>
      <c r="BC16" s="110" t="s">
        <v>304</v>
      </c>
      <c r="BD16" s="110" t="s">
        <v>82</v>
      </c>
    </row>
    <row r="17" spans="1:56" s="2" customFormat="1" ht="18" customHeight="1">
      <c r="A17" s="36"/>
      <c r="B17" s="41"/>
      <c r="C17" s="36"/>
      <c r="D17" s="36"/>
      <c r="E17" s="105" t="s">
        <v>27</v>
      </c>
      <c r="F17" s="36"/>
      <c r="G17" s="36"/>
      <c r="H17" s="36"/>
      <c r="I17" s="115" t="s">
        <v>28</v>
      </c>
      <c r="J17" s="105" t="s">
        <v>19</v>
      </c>
      <c r="K17" s="36"/>
      <c r="L17" s="116"/>
      <c r="S17" s="36"/>
      <c r="T17" s="36"/>
      <c r="U17" s="36"/>
      <c r="V17" s="36"/>
      <c r="W17" s="36"/>
      <c r="X17" s="36"/>
      <c r="Y17" s="36"/>
      <c r="Z17" s="36"/>
      <c r="AA17" s="36"/>
      <c r="AB17" s="36"/>
      <c r="AC17" s="36"/>
      <c r="AD17" s="36"/>
      <c r="AE17" s="36"/>
      <c r="AZ17" s="110" t="s">
        <v>305</v>
      </c>
      <c r="BA17" s="110" t="s">
        <v>306</v>
      </c>
      <c r="BB17" s="110" t="s">
        <v>19</v>
      </c>
      <c r="BC17" s="110" t="s">
        <v>307</v>
      </c>
      <c r="BD17" s="110" t="s">
        <v>82</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308</v>
      </c>
      <c r="BA18" s="110" t="s">
        <v>309</v>
      </c>
      <c r="BB18" s="110" t="s">
        <v>19</v>
      </c>
      <c r="BC18" s="110" t="s">
        <v>310</v>
      </c>
      <c r="BD18" s="110" t="s">
        <v>82</v>
      </c>
    </row>
    <row r="19" spans="1:56"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311</v>
      </c>
      <c r="BA19" s="110" t="s">
        <v>312</v>
      </c>
      <c r="BB19" s="110" t="s">
        <v>19</v>
      </c>
      <c r="BC19" s="110" t="s">
        <v>313</v>
      </c>
      <c r="BD19" s="110" t="s">
        <v>82</v>
      </c>
    </row>
    <row r="20" spans="1:56"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c r="AZ20" s="110" t="s">
        <v>314</v>
      </c>
      <c r="BA20" s="110" t="s">
        <v>315</v>
      </c>
      <c r="BB20" s="110" t="s">
        <v>19</v>
      </c>
      <c r="BC20" s="110" t="s">
        <v>316</v>
      </c>
      <c r="BD20" s="110" t="s">
        <v>82</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317</v>
      </c>
      <c r="BA21" s="110" t="s">
        <v>317</v>
      </c>
      <c r="BB21" s="110" t="s">
        <v>19</v>
      </c>
      <c r="BC21" s="110" t="s">
        <v>318</v>
      </c>
      <c r="BD21" s="110" t="s">
        <v>82</v>
      </c>
    </row>
    <row r="22" spans="1:56" s="2" customFormat="1" ht="12" customHeight="1">
      <c r="A22" s="36"/>
      <c r="B22" s="41"/>
      <c r="C22" s="36"/>
      <c r="D22" s="115" t="s">
        <v>31</v>
      </c>
      <c r="E22" s="36"/>
      <c r="F22" s="36"/>
      <c r="G22" s="36"/>
      <c r="H22" s="36"/>
      <c r="I22" s="115" t="s">
        <v>26</v>
      </c>
      <c r="J22" s="105" t="s">
        <v>19</v>
      </c>
      <c r="K22" s="36"/>
      <c r="L22" s="116"/>
      <c r="S22" s="36"/>
      <c r="T22" s="36"/>
      <c r="U22" s="36"/>
      <c r="V22" s="36"/>
      <c r="W22" s="36"/>
      <c r="X22" s="36"/>
      <c r="Y22" s="36"/>
      <c r="Z22" s="36"/>
      <c r="AA22" s="36"/>
      <c r="AB22" s="36"/>
      <c r="AC22" s="36"/>
      <c r="AD22" s="36"/>
      <c r="AE22" s="36"/>
      <c r="AZ22" s="110" t="s">
        <v>319</v>
      </c>
      <c r="BA22" s="110" t="s">
        <v>320</v>
      </c>
      <c r="BB22" s="110" t="s">
        <v>19</v>
      </c>
      <c r="BC22" s="110" t="s">
        <v>321</v>
      </c>
      <c r="BD22" s="110" t="s">
        <v>82</v>
      </c>
    </row>
    <row r="23" spans="1:56" s="2" customFormat="1" ht="18" customHeight="1">
      <c r="A23" s="36"/>
      <c r="B23" s="41"/>
      <c r="C23" s="36"/>
      <c r="D23" s="36"/>
      <c r="E23" s="105" t="s">
        <v>32</v>
      </c>
      <c r="F23" s="36"/>
      <c r="G23" s="36"/>
      <c r="H23" s="36"/>
      <c r="I23" s="115" t="s">
        <v>28</v>
      </c>
      <c r="J23" s="105" t="s">
        <v>19</v>
      </c>
      <c r="K23" s="36"/>
      <c r="L23" s="116"/>
      <c r="S23" s="36"/>
      <c r="T23" s="36"/>
      <c r="U23" s="36"/>
      <c r="V23" s="36"/>
      <c r="W23" s="36"/>
      <c r="X23" s="36"/>
      <c r="Y23" s="36"/>
      <c r="Z23" s="36"/>
      <c r="AA23" s="36"/>
      <c r="AB23" s="36"/>
      <c r="AC23" s="36"/>
      <c r="AD23" s="36"/>
      <c r="AE23" s="36"/>
      <c r="AZ23" s="110" t="s">
        <v>322</v>
      </c>
      <c r="BA23" s="110" t="s">
        <v>323</v>
      </c>
      <c r="BB23" s="110" t="s">
        <v>19</v>
      </c>
      <c r="BC23" s="110" t="s">
        <v>324</v>
      </c>
      <c r="BD23" s="110" t="s">
        <v>82</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325</v>
      </c>
      <c r="BA24" s="110" t="s">
        <v>326</v>
      </c>
      <c r="BB24" s="110" t="s">
        <v>19</v>
      </c>
      <c r="BC24" s="110" t="s">
        <v>327</v>
      </c>
      <c r="BD24" s="110" t="s">
        <v>82</v>
      </c>
    </row>
    <row r="25" spans="1:56" s="2" customFormat="1" ht="12" customHeight="1">
      <c r="A25" s="36"/>
      <c r="B25" s="41"/>
      <c r="C25" s="36"/>
      <c r="D25" s="115" t="s">
        <v>34</v>
      </c>
      <c r="E25" s="36"/>
      <c r="F25" s="36"/>
      <c r="G25" s="36"/>
      <c r="H25" s="36"/>
      <c r="I25" s="115" t="s">
        <v>26</v>
      </c>
      <c r="J25" s="105" t="s">
        <v>19</v>
      </c>
      <c r="K25" s="36"/>
      <c r="L25" s="116"/>
      <c r="S25" s="36"/>
      <c r="T25" s="36"/>
      <c r="U25" s="36"/>
      <c r="V25" s="36"/>
      <c r="W25" s="36"/>
      <c r="X25" s="36"/>
      <c r="Y25" s="36"/>
      <c r="Z25" s="36"/>
      <c r="AA25" s="36"/>
      <c r="AB25" s="36"/>
      <c r="AC25" s="36"/>
      <c r="AD25" s="36"/>
      <c r="AE25" s="36"/>
      <c r="AZ25" s="110" t="s">
        <v>328</v>
      </c>
      <c r="BA25" s="110" t="s">
        <v>328</v>
      </c>
      <c r="BB25" s="110" t="s">
        <v>19</v>
      </c>
      <c r="BC25" s="110" t="s">
        <v>329</v>
      </c>
      <c r="BD25" s="110" t="s">
        <v>82</v>
      </c>
    </row>
    <row r="26" spans="1:56" s="2" customFormat="1" ht="18" customHeight="1">
      <c r="A26" s="36"/>
      <c r="B26" s="41"/>
      <c r="C26" s="36"/>
      <c r="D26" s="36"/>
      <c r="E26" s="105" t="s">
        <v>35</v>
      </c>
      <c r="F26" s="36"/>
      <c r="G26" s="36"/>
      <c r="H26" s="36"/>
      <c r="I26" s="115" t="s">
        <v>28</v>
      </c>
      <c r="J26" s="105" t="s">
        <v>19</v>
      </c>
      <c r="K26" s="36"/>
      <c r="L26" s="116"/>
      <c r="S26" s="36"/>
      <c r="T26" s="36"/>
      <c r="U26" s="36"/>
      <c r="V26" s="36"/>
      <c r="W26" s="36"/>
      <c r="X26" s="36"/>
      <c r="Y26" s="36"/>
      <c r="Z26" s="36"/>
      <c r="AA26" s="36"/>
      <c r="AB26" s="36"/>
      <c r="AC26" s="36"/>
      <c r="AD26" s="36"/>
      <c r="AE26" s="36"/>
      <c r="AZ26" s="110" t="s">
        <v>330</v>
      </c>
      <c r="BA26" s="110" t="s">
        <v>330</v>
      </c>
      <c r="BB26" s="110" t="s">
        <v>19</v>
      </c>
      <c r="BC26" s="110" t="s">
        <v>331</v>
      </c>
      <c r="BD26" s="110" t="s">
        <v>82</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56"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56" s="2" customFormat="1" ht="25.35" customHeight="1">
      <c r="A32" s="36"/>
      <c r="B32" s="41"/>
      <c r="C32" s="36"/>
      <c r="D32" s="122" t="s">
        <v>38</v>
      </c>
      <c r="E32" s="36"/>
      <c r="F32" s="36"/>
      <c r="G32" s="36"/>
      <c r="H32" s="36"/>
      <c r="I32" s="36"/>
      <c r="J32" s="123">
        <f>ROUND(J114,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ROUND((SUM(BE114:BE1632)),  2)</f>
        <v>0</v>
      </c>
      <c r="G35" s="36"/>
      <c r="H35" s="36"/>
      <c r="I35" s="127">
        <v>0.21</v>
      </c>
      <c r="J35" s="126">
        <f>ROUND(((SUM(BE114:BE1632))*I35),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ROUND((SUM(BF114:BF1632)),  2)</f>
        <v>0</v>
      </c>
      <c r="G36" s="36"/>
      <c r="H36" s="36"/>
      <c r="I36" s="127">
        <v>0.15</v>
      </c>
      <c r="J36" s="126">
        <f>ROUND(((SUM(BF114:BF1632))*I36),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ROUND((SUM(BG114:BG1632)),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ROUND((SUM(BH114:BH1632)),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ROUND((SUM(BI114:BI1632)),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ARS - STAVEBNÍ A KONSTRUKČNÍ ČÁST</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OLOMOUC</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J114</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336</v>
      </c>
      <c r="E64" s="146"/>
      <c r="F64" s="146"/>
      <c r="G64" s="146"/>
      <c r="H64" s="146"/>
      <c r="I64" s="146"/>
      <c r="J64" s="147">
        <f>J115</f>
        <v>0</v>
      </c>
      <c r="K64" s="144"/>
      <c r="L64" s="148"/>
    </row>
    <row r="65" spans="2:12" s="10" customFormat="1" ht="19.899999999999999" customHeight="1">
      <c r="B65" s="149"/>
      <c r="C65" s="99"/>
      <c r="D65" s="150" t="s">
        <v>337</v>
      </c>
      <c r="E65" s="151"/>
      <c r="F65" s="151"/>
      <c r="G65" s="151"/>
      <c r="H65" s="151"/>
      <c r="I65" s="151"/>
      <c r="J65" s="152">
        <f>J116</f>
        <v>0</v>
      </c>
      <c r="K65" s="99"/>
      <c r="L65" s="153"/>
    </row>
    <row r="66" spans="2:12" s="10" customFormat="1" ht="19.899999999999999" customHeight="1">
      <c r="B66" s="149"/>
      <c r="C66" s="99"/>
      <c r="D66" s="150" t="s">
        <v>338</v>
      </c>
      <c r="E66" s="151"/>
      <c r="F66" s="151"/>
      <c r="G66" s="151"/>
      <c r="H66" s="151"/>
      <c r="I66" s="151"/>
      <c r="J66" s="152">
        <f>J152</f>
        <v>0</v>
      </c>
      <c r="K66" s="99"/>
      <c r="L66" s="153"/>
    </row>
    <row r="67" spans="2:12" s="10" customFormat="1" ht="19.899999999999999" customHeight="1">
      <c r="B67" s="149"/>
      <c r="C67" s="99"/>
      <c r="D67" s="150" t="s">
        <v>339</v>
      </c>
      <c r="E67" s="151"/>
      <c r="F67" s="151"/>
      <c r="G67" s="151"/>
      <c r="H67" s="151"/>
      <c r="I67" s="151"/>
      <c r="J67" s="152">
        <f>J211</f>
        <v>0</v>
      </c>
      <c r="K67" s="99"/>
      <c r="L67" s="153"/>
    </row>
    <row r="68" spans="2:12" s="10" customFormat="1" ht="19.899999999999999" customHeight="1">
      <c r="B68" s="149"/>
      <c r="C68" s="99"/>
      <c r="D68" s="150" t="s">
        <v>340</v>
      </c>
      <c r="E68" s="151"/>
      <c r="F68" s="151"/>
      <c r="G68" s="151"/>
      <c r="H68" s="151"/>
      <c r="I68" s="151"/>
      <c r="J68" s="152">
        <f>J470</f>
        <v>0</v>
      </c>
      <c r="K68" s="99"/>
      <c r="L68" s="153"/>
    </row>
    <row r="69" spans="2:12" s="10" customFormat="1" ht="19.899999999999999" customHeight="1">
      <c r="B69" s="149"/>
      <c r="C69" s="99"/>
      <c r="D69" s="150" t="s">
        <v>341</v>
      </c>
      <c r="E69" s="151"/>
      <c r="F69" s="151"/>
      <c r="G69" s="151"/>
      <c r="H69" s="151"/>
      <c r="I69" s="151"/>
      <c r="J69" s="152">
        <f>J678</f>
        <v>0</v>
      </c>
      <c r="K69" s="99"/>
      <c r="L69" s="153"/>
    </row>
    <row r="70" spans="2:12" s="10" customFormat="1" ht="19.899999999999999" customHeight="1">
      <c r="B70" s="149"/>
      <c r="C70" s="99"/>
      <c r="D70" s="150" t="s">
        <v>342</v>
      </c>
      <c r="E70" s="151"/>
      <c r="F70" s="151"/>
      <c r="G70" s="151"/>
      <c r="H70" s="151"/>
      <c r="I70" s="151"/>
      <c r="J70" s="152">
        <f>J862</f>
        <v>0</v>
      </c>
      <c r="K70" s="99"/>
      <c r="L70" s="153"/>
    </row>
    <row r="71" spans="2:12" s="10" customFormat="1" ht="19.899999999999999" customHeight="1">
      <c r="B71" s="149"/>
      <c r="C71" s="99"/>
      <c r="D71" s="150" t="s">
        <v>343</v>
      </c>
      <c r="E71" s="151"/>
      <c r="F71" s="151"/>
      <c r="G71" s="151"/>
      <c r="H71" s="151"/>
      <c r="I71" s="151"/>
      <c r="J71" s="152">
        <f>J904</f>
        <v>0</v>
      </c>
      <c r="K71" s="99"/>
      <c r="L71" s="153"/>
    </row>
    <row r="72" spans="2:12" s="9" customFormat="1" ht="24.95" customHeight="1">
      <c r="B72" s="143"/>
      <c r="C72" s="144"/>
      <c r="D72" s="145" t="s">
        <v>344</v>
      </c>
      <c r="E72" s="146"/>
      <c r="F72" s="146"/>
      <c r="G72" s="146"/>
      <c r="H72" s="146"/>
      <c r="I72" s="146"/>
      <c r="J72" s="147">
        <f>J906</f>
        <v>0</v>
      </c>
      <c r="K72" s="144"/>
      <c r="L72" s="148"/>
    </row>
    <row r="73" spans="2:12" s="10" customFormat="1" ht="19.899999999999999" customHeight="1">
      <c r="B73" s="149"/>
      <c r="C73" s="99"/>
      <c r="D73" s="150" t="s">
        <v>345</v>
      </c>
      <c r="E73" s="151"/>
      <c r="F73" s="151"/>
      <c r="G73" s="151"/>
      <c r="H73" s="151"/>
      <c r="I73" s="151"/>
      <c r="J73" s="152">
        <f>J907</f>
        <v>0</v>
      </c>
      <c r="K73" s="99"/>
      <c r="L73" s="153"/>
    </row>
    <row r="74" spans="2:12" s="10" customFormat="1" ht="19.899999999999999" customHeight="1">
      <c r="B74" s="149"/>
      <c r="C74" s="99"/>
      <c r="D74" s="150" t="s">
        <v>346</v>
      </c>
      <c r="E74" s="151"/>
      <c r="F74" s="151"/>
      <c r="G74" s="151"/>
      <c r="H74" s="151"/>
      <c r="I74" s="151"/>
      <c r="J74" s="152">
        <f>J946</f>
        <v>0</v>
      </c>
      <c r="K74" s="99"/>
      <c r="L74" s="153"/>
    </row>
    <row r="75" spans="2:12" s="10" customFormat="1" ht="19.899999999999999" customHeight="1">
      <c r="B75" s="149"/>
      <c r="C75" s="99"/>
      <c r="D75" s="150" t="s">
        <v>347</v>
      </c>
      <c r="E75" s="151"/>
      <c r="F75" s="151"/>
      <c r="G75" s="151"/>
      <c r="H75" s="151"/>
      <c r="I75" s="151"/>
      <c r="J75" s="152">
        <f>J1122</f>
        <v>0</v>
      </c>
      <c r="K75" s="99"/>
      <c r="L75" s="153"/>
    </row>
    <row r="76" spans="2:12" s="10" customFormat="1" ht="19.899999999999999" customHeight="1">
      <c r="B76" s="149"/>
      <c r="C76" s="99"/>
      <c r="D76" s="150" t="s">
        <v>348</v>
      </c>
      <c r="E76" s="151"/>
      <c r="F76" s="151"/>
      <c r="G76" s="151"/>
      <c r="H76" s="151"/>
      <c r="I76" s="151"/>
      <c r="J76" s="152">
        <f>J1289</f>
        <v>0</v>
      </c>
      <c r="K76" s="99"/>
      <c r="L76" s="153"/>
    </row>
    <row r="77" spans="2:12" s="10" customFormat="1" ht="19.899999999999999" customHeight="1">
      <c r="B77" s="149"/>
      <c r="C77" s="99"/>
      <c r="D77" s="150" t="s">
        <v>349</v>
      </c>
      <c r="E77" s="151"/>
      <c r="F77" s="151"/>
      <c r="G77" s="151"/>
      <c r="H77" s="151"/>
      <c r="I77" s="151"/>
      <c r="J77" s="152">
        <f>J1318</f>
        <v>0</v>
      </c>
      <c r="K77" s="99"/>
      <c r="L77" s="153"/>
    </row>
    <row r="78" spans="2:12" s="10" customFormat="1" ht="19.899999999999999" customHeight="1">
      <c r="B78" s="149"/>
      <c r="C78" s="99"/>
      <c r="D78" s="150" t="s">
        <v>350</v>
      </c>
      <c r="E78" s="151"/>
      <c r="F78" s="151"/>
      <c r="G78" s="151"/>
      <c r="H78" s="151"/>
      <c r="I78" s="151"/>
      <c r="J78" s="152">
        <f>J1347</f>
        <v>0</v>
      </c>
      <c r="K78" s="99"/>
      <c r="L78" s="153"/>
    </row>
    <row r="79" spans="2:12" s="10" customFormat="1" ht="19.899999999999999" customHeight="1">
      <c r="B79" s="149"/>
      <c r="C79" s="99"/>
      <c r="D79" s="150" t="s">
        <v>351</v>
      </c>
      <c r="E79" s="151"/>
      <c r="F79" s="151"/>
      <c r="G79" s="151"/>
      <c r="H79" s="151"/>
      <c r="I79" s="151"/>
      <c r="J79" s="152">
        <f>J1380</f>
        <v>0</v>
      </c>
      <c r="K79" s="99"/>
      <c r="L79" s="153"/>
    </row>
    <row r="80" spans="2:12" s="10" customFormat="1" ht="19.899999999999999" customHeight="1">
      <c r="B80" s="149"/>
      <c r="C80" s="99"/>
      <c r="D80" s="150" t="s">
        <v>352</v>
      </c>
      <c r="E80" s="151"/>
      <c r="F80" s="151"/>
      <c r="G80" s="151"/>
      <c r="H80" s="151"/>
      <c r="I80" s="151"/>
      <c r="J80" s="152">
        <f>J1389</f>
        <v>0</v>
      </c>
      <c r="K80" s="99"/>
      <c r="L80" s="153"/>
    </row>
    <row r="81" spans="1:31" s="10" customFormat="1" ht="19.899999999999999" customHeight="1">
      <c r="B81" s="149"/>
      <c r="C81" s="99"/>
      <c r="D81" s="150" t="s">
        <v>353</v>
      </c>
      <c r="E81" s="151"/>
      <c r="F81" s="151"/>
      <c r="G81" s="151"/>
      <c r="H81" s="151"/>
      <c r="I81" s="151"/>
      <c r="J81" s="152">
        <f>J1393</f>
        <v>0</v>
      </c>
      <c r="K81" s="99"/>
      <c r="L81" s="153"/>
    </row>
    <row r="82" spans="1:31" s="10" customFormat="1" ht="19.899999999999999" customHeight="1">
      <c r="B82" s="149"/>
      <c r="C82" s="99"/>
      <c r="D82" s="150" t="s">
        <v>354</v>
      </c>
      <c r="E82" s="151"/>
      <c r="F82" s="151"/>
      <c r="G82" s="151"/>
      <c r="H82" s="151"/>
      <c r="I82" s="151"/>
      <c r="J82" s="152">
        <f>J1422</f>
        <v>0</v>
      </c>
      <c r="K82" s="99"/>
      <c r="L82" s="153"/>
    </row>
    <row r="83" spans="1:31" s="10" customFormat="1" ht="19.899999999999999" customHeight="1">
      <c r="B83" s="149"/>
      <c r="C83" s="99"/>
      <c r="D83" s="150" t="s">
        <v>355</v>
      </c>
      <c r="E83" s="151"/>
      <c r="F83" s="151"/>
      <c r="G83" s="151"/>
      <c r="H83" s="151"/>
      <c r="I83" s="151"/>
      <c r="J83" s="152">
        <f>J1426</f>
        <v>0</v>
      </c>
      <c r="K83" s="99"/>
      <c r="L83" s="153"/>
    </row>
    <row r="84" spans="1:31" s="10" customFormat="1" ht="19.899999999999999" customHeight="1">
      <c r="B84" s="149"/>
      <c r="C84" s="99"/>
      <c r="D84" s="150" t="s">
        <v>356</v>
      </c>
      <c r="E84" s="151"/>
      <c r="F84" s="151"/>
      <c r="G84" s="151"/>
      <c r="H84" s="151"/>
      <c r="I84" s="151"/>
      <c r="J84" s="152">
        <f>J1440</f>
        <v>0</v>
      </c>
      <c r="K84" s="99"/>
      <c r="L84" s="153"/>
    </row>
    <row r="85" spans="1:31" s="10" customFormat="1" ht="19.899999999999999" customHeight="1">
      <c r="B85" s="149"/>
      <c r="C85" s="99"/>
      <c r="D85" s="150" t="s">
        <v>357</v>
      </c>
      <c r="E85" s="151"/>
      <c r="F85" s="151"/>
      <c r="G85" s="151"/>
      <c r="H85" s="151"/>
      <c r="I85" s="151"/>
      <c r="J85" s="152">
        <f>J1470</f>
        <v>0</v>
      </c>
      <c r="K85" s="99"/>
      <c r="L85" s="153"/>
    </row>
    <row r="86" spans="1:31" s="10" customFormat="1" ht="19.899999999999999" customHeight="1">
      <c r="B86" s="149"/>
      <c r="C86" s="99"/>
      <c r="D86" s="150" t="s">
        <v>358</v>
      </c>
      <c r="E86" s="151"/>
      <c r="F86" s="151"/>
      <c r="G86" s="151"/>
      <c r="H86" s="151"/>
      <c r="I86" s="151"/>
      <c r="J86" s="152">
        <f>J1491</f>
        <v>0</v>
      </c>
      <c r="K86" s="99"/>
      <c r="L86" s="153"/>
    </row>
    <row r="87" spans="1:31" s="10" customFormat="1" ht="19.899999999999999" customHeight="1">
      <c r="B87" s="149"/>
      <c r="C87" s="99"/>
      <c r="D87" s="150" t="s">
        <v>359</v>
      </c>
      <c r="E87" s="151"/>
      <c r="F87" s="151"/>
      <c r="G87" s="151"/>
      <c r="H87" s="151"/>
      <c r="I87" s="151"/>
      <c r="J87" s="152">
        <f>J1506</f>
        <v>0</v>
      </c>
      <c r="K87" s="99"/>
      <c r="L87" s="153"/>
    </row>
    <row r="88" spans="1:31" s="10" customFormat="1" ht="19.899999999999999" customHeight="1">
      <c r="B88" s="149"/>
      <c r="C88" s="99"/>
      <c r="D88" s="150" t="s">
        <v>360</v>
      </c>
      <c r="E88" s="151"/>
      <c r="F88" s="151"/>
      <c r="G88" s="151"/>
      <c r="H88" s="151"/>
      <c r="I88" s="151"/>
      <c r="J88" s="152">
        <f>J1562</f>
        <v>0</v>
      </c>
      <c r="K88" s="99"/>
      <c r="L88" s="153"/>
    </row>
    <row r="89" spans="1:31" s="10" customFormat="1" ht="19.899999999999999" customHeight="1">
      <c r="B89" s="149"/>
      <c r="C89" s="99"/>
      <c r="D89" s="150" t="s">
        <v>361</v>
      </c>
      <c r="E89" s="151"/>
      <c r="F89" s="151"/>
      <c r="G89" s="151"/>
      <c r="H89" s="151"/>
      <c r="I89" s="151"/>
      <c r="J89" s="152">
        <f>J1573</f>
        <v>0</v>
      </c>
      <c r="K89" s="99"/>
      <c r="L89" s="153"/>
    </row>
    <row r="90" spans="1:31" s="10" customFormat="1" ht="19.899999999999999" customHeight="1">
      <c r="B90" s="149"/>
      <c r="C90" s="99"/>
      <c r="D90" s="150" t="s">
        <v>362</v>
      </c>
      <c r="E90" s="151"/>
      <c r="F90" s="151"/>
      <c r="G90" s="151"/>
      <c r="H90" s="151"/>
      <c r="I90" s="151"/>
      <c r="J90" s="152">
        <f>J1596</f>
        <v>0</v>
      </c>
      <c r="K90" s="99"/>
      <c r="L90" s="153"/>
    </row>
    <row r="91" spans="1:31" s="9" customFormat="1" ht="24.95" customHeight="1">
      <c r="B91" s="143"/>
      <c r="C91" s="144"/>
      <c r="D91" s="145" t="s">
        <v>363</v>
      </c>
      <c r="E91" s="146"/>
      <c r="F91" s="146"/>
      <c r="G91" s="146"/>
      <c r="H91" s="146"/>
      <c r="I91" s="146"/>
      <c r="J91" s="147">
        <f>J1630</f>
        <v>0</v>
      </c>
      <c r="K91" s="144"/>
      <c r="L91" s="148"/>
    </row>
    <row r="92" spans="1:31" s="10" customFormat="1" ht="19.899999999999999" customHeight="1">
      <c r="B92" s="149"/>
      <c r="C92" s="99"/>
      <c r="D92" s="150" t="s">
        <v>364</v>
      </c>
      <c r="E92" s="151"/>
      <c r="F92" s="151"/>
      <c r="G92" s="151"/>
      <c r="H92" s="151"/>
      <c r="I92" s="151"/>
      <c r="J92" s="152">
        <f>J1631</f>
        <v>0</v>
      </c>
      <c r="K92" s="99"/>
      <c r="L92" s="153"/>
    </row>
    <row r="93" spans="1:31" s="2" customFormat="1" ht="21.7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50"/>
      <c r="J94" s="50"/>
      <c r="K94" s="50"/>
      <c r="L94" s="116"/>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52"/>
      <c r="J98" s="52"/>
      <c r="K98" s="52"/>
      <c r="L98" s="116"/>
      <c r="S98" s="36"/>
      <c r="T98" s="36"/>
      <c r="U98" s="36"/>
      <c r="V98" s="36"/>
      <c r="W98" s="36"/>
      <c r="X98" s="36"/>
      <c r="Y98" s="36"/>
      <c r="Z98" s="36"/>
      <c r="AA98" s="36"/>
      <c r="AB98" s="36"/>
      <c r="AC98" s="36"/>
      <c r="AD98" s="36"/>
      <c r="AE98" s="36"/>
    </row>
    <row r="99" spans="1:31" s="2" customFormat="1" ht="24.95" customHeight="1">
      <c r="A99" s="36"/>
      <c r="B99" s="37"/>
      <c r="C99" s="25" t="s">
        <v>365</v>
      </c>
      <c r="D99" s="38"/>
      <c r="E99" s="38"/>
      <c r="F99" s="38"/>
      <c r="G99" s="38"/>
      <c r="H99" s="38"/>
      <c r="I99" s="38"/>
      <c r="J99" s="38"/>
      <c r="K99" s="38"/>
      <c r="L99" s="116"/>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38"/>
      <c r="J101" s="38"/>
      <c r="K101" s="38"/>
      <c r="L101" s="116"/>
      <c r="S101" s="36"/>
      <c r="T101" s="36"/>
      <c r="U101" s="36"/>
      <c r="V101" s="36"/>
      <c r="W101" s="36"/>
      <c r="X101" s="36"/>
      <c r="Y101" s="36"/>
      <c r="Z101" s="36"/>
      <c r="AA101" s="36"/>
      <c r="AB101" s="36"/>
      <c r="AC101" s="36"/>
      <c r="AD101" s="36"/>
      <c r="AE101" s="36"/>
    </row>
    <row r="102" spans="1:31" s="2" customFormat="1" ht="16.5" customHeight="1">
      <c r="A102" s="36"/>
      <c r="B102" s="37"/>
      <c r="C102" s="38"/>
      <c r="D102" s="38"/>
      <c r="E102" s="416" t="str">
        <f>E7</f>
        <v>ARCHIV UP V OLOMOUCI - BEZ VYBAVENÍ INTERIÉRU</v>
      </c>
      <c r="F102" s="417"/>
      <c r="G102" s="417"/>
      <c r="H102" s="417"/>
      <c r="I102" s="38"/>
      <c r="J102" s="38"/>
      <c r="K102" s="38"/>
      <c r="L102" s="116"/>
      <c r="S102" s="36"/>
      <c r="T102" s="36"/>
      <c r="U102" s="36"/>
      <c r="V102" s="36"/>
      <c r="W102" s="36"/>
      <c r="X102" s="36"/>
      <c r="Y102" s="36"/>
      <c r="Z102" s="36"/>
      <c r="AA102" s="36"/>
      <c r="AB102" s="36"/>
      <c r="AC102" s="36"/>
      <c r="AD102" s="36"/>
      <c r="AE102" s="36"/>
    </row>
    <row r="103" spans="1:31" s="1" customFormat="1" ht="12" customHeight="1">
      <c r="B103" s="23"/>
      <c r="C103" s="31" t="s">
        <v>282</v>
      </c>
      <c r="D103" s="24"/>
      <c r="E103" s="24"/>
      <c r="F103" s="24"/>
      <c r="G103" s="24"/>
      <c r="H103" s="24"/>
      <c r="I103" s="24"/>
      <c r="J103" s="24"/>
      <c r="K103" s="24"/>
      <c r="L103" s="22"/>
    </row>
    <row r="104" spans="1:31" s="2" customFormat="1" ht="16.5" customHeight="1">
      <c r="A104" s="36"/>
      <c r="B104" s="37"/>
      <c r="C104" s="38"/>
      <c r="D104" s="38"/>
      <c r="E104" s="416" t="s">
        <v>285</v>
      </c>
      <c r="F104" s="418"/>
      <c r="G104" s="418"/>
      <c r="H104" s="418"/>
      <c r="I104" s="38"/>
      <c r="J104" s="38"/>
      <c r="K104" s="38"/>
      <c r="L104" s="116"/>
      <c r="S104" s="36"/>
      <c r="T104" s="36"/>
      <c r="U104" s="36"/>
      <c r="V104" s="36"/>
      <c r="W104" s="36"/>
      <c r="X104" s="36"/>
      <c r="Y104" s="36"/>
      <c r="Z104" s="36"/>
      <c r="AA104" s="36"/>
      <c r="AB104" s="36"/>
      <c r="AC104" s="36"/>
      <c r="AD104" s="36"/>
      <c r="AE104" s="36"/>
    </row>
    <row r="105" spans="1:31" s="2" customFormat="1" ht="12" customHeight="1">
      <c r="A105" s="36"/>
      <c r="B105" s="37"/>
      <c r="C105" s="31" t="s">
        <v>288</v>
      </c>
      <c r="D105" s="38"/>
      <c r="E105" s="38"/>
      <c r="F105" s="38"/>
      <c r="G105" s="38"/>
      <c r="H105" s="38"/>
      <c r="I105" s="38"/>
      <c r="J105" s="38"/>
      <c r="K105" s="38"/>
      <c r="L105" s="116"/>
      <c r="S105" s="36"/>
      <c r="T105" s="36"/>
      <c r="U105" s="36"/>
      <c r="V105" s="36"/>
      <c r="W105" s="36"/>
      <c r="X105" s="36"/>
      <c r="Y105" s="36"/>
      <c r="Z105" s="36"/>
      <c r="AA105" s="36"/>
      <c r="AB105" s="36"/>
      <c r="AC105" s="36"/>
      <c r="AD105" s="36"/>
      <c r="AE105" s="36"/>
    </row>
    <row r="106" spans="1:31" s="2" customFormat="1" ht="16.5" customHeight="1">
      <c r="A106" s="36"/>
      <c r="B106" s="37"/>
      <c r="C106" s="38"/>
      <c r="D106" s="38"/>
      <c r="E106" s="387" t="str">
        <f>E11</f>
        <v>ARS - STAVEBNÍ A KONSTRUKČNÍ ČÁST</v>
      </c>
      <c r="F106" s="418"/>
      <c r="G106" s="418"/>
      <c r="H106" s="418"/>
      <c r="I106" s="38"/>
      <c r="J106" s="38"/>
      <c r="K106" s="38"/>
      <c r="L106" s="116"/>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6"/>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OLOMOUC</v>
      </c>
      <c r="G108" s="38"/>
      <c r="H108" s="38"/>
      <c r="I108" s="31" t="s">
        <v>23</v>
      </c>
      <c r="J108" s="61" t="str">
        <f>IF(J14="","",J14)</f>
        <v>4. 8. 2021</v>
      </c>
      <c r="K108" s="38"/>
      <c r="L108" s="116"/>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116"/>
      <c r="S109" s="36"/>
      <c r="T109" s="36"/>
      <c r="U109" s="36"/>
      <c r="V109" s="36"/>
      <c r="W109" s="36"/>
      <c r="X109" s="36"/>
      <c r="Y109" s="36"/>
      <c r="Z109" s="36"/>
      <c r="AA109" s="36"/>
      <c r="AB109" s="36"/>
      <c r="AC109" s="36"/>
      <c r="AD109" s="36"/>
      <c r="AE109" s="36"/>
    </row>
    <row r="110" spans="1:31" s="2" customFormat="1" ht="25.7" customHeight="1">
      <c r="A110" s="36"/>
      <c r="B110" s="37"/>
      <c r="C110" s="31" t="s">
        <v>25</v>
      </c>
      <c r="D110" s="38"/>
      <c r="E110" s="38"/>
      <c r="F110" s="29" t="str">
        <f>E17</f>
        <v>UP V OLOMOUCI, KŘÍŽOVSKÉHO 511/8, 779 00</v>
      </c>
      <c r="G110" s="38"/>
      <c r="H110" s="38"/>
      <c r="I110" s="31" t="s">
        <v>31</v>
      </c>
      <c r="J110" s="34" t="str">
        <f>E23</f>
        <v>ALFAPROJEKT OLOMOUC a.s.</v>
      </c>
      <c r="K110" s="38"/>
      <c r="L110" s="116"/>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31" t="s">
        <v>34</v>
      </c>
      <c r="J111" s="34" t="str">
        <f>E26</f>
        <v>PROPOS LIBEREC s.r.o.</v>
      </c>
      <c r="K111" s="38"/>
      <c r="L111" s="116"/>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38"/>
      <c r="J112" s="38"/>
      <c r="K112" s="38"/>
      <c r="L112" s="116"/>
      <c r="S112" s="36"/>
      <c r="T112" s="36"/>
      <c r="U112" s="36"/>
      <c r="V112" s="36"/>
      <c r="W112" s="36"/>
      <c r="X112" s="36"/>
      <c r="Y112" s="36"/>
      <c r="Z112" s="36"/>
      <c r="AA112" s="36"/>
      <c r="AB112" s="36"/>
      <c r="AC112" s="36"/>
      <c r="AD112" s="36"/>
      <c r="AE112" s="36"/>
    </row>
    <row r="113" spans="1:65" s="11" customFormat="1" ht="29.25" customHeight="1">
      <c r="A113" s="154"/>
      <c r="B113" s="155"/>
      <c r="C113" s="156" t="s">
        <v>366</v>
      </c>
      <c r="D113" s="157" t="s">
        <v>57</v>
      </c>
      <c r="E113" s="157" t="s">
        <v>53</v>
      </c>
      <c r="F113" s="157" t="s">
        <v>54</v>
      </c>
      <c r="G113" s="157" t="s">
        <v>367</v>
      </c>
      <c r="H113" s="157" t="s">
        <v>368</v>
      </c>
      <c r="I113" s="157" t="s">
        <v>369</v>
      </c>
      <c r="J113" s="157" t="s">
        <v>334</v>
      </c>
      <c r="K113" s="158" t="s">
        <v>370</v>
      </c>
      <c r="L113" s="159"/>
      <c r="M113" s="70" t="s">
        <v>19</v>
      </c>
      <c r="N113" s="71" t="s">
        <v>42</v>
      </c>
      <c r="O113" s="71" t="s">
        <v>371</v>
      </c>
      <c r="P113" s="71" t="s">
        <v>372</v>
      </c>
      <c r="Q113" s="71" t="s">
        <v>373</v>
      </c>
      <c r="R113" s="71" t="s">
        <v>374</v>
      </c>
      <c r="S113" s="71" t="s">
        <v>375</v>
      </c>
      <c r="T113" s="72" t="s">
        <v>376</v>
      </c>
      <c r="U113" s="154"/>
      <c r="V113" s="154"/>
      <c r="W113" s="154"/>
      <c r="X113" s="154"/>
      <c r="Y113" s="154"/>
      <c r="Z113" s="154"/>
      <c r="AA113" s="154"/>
      <c r="AB113" s="154"/>
      <c r="AC113" s="154"/>
      <c r="AD113" s="154"/>
      <c r="AE113" s="154"/>
    </row>
    <row r="114" spans="1:65" s="2" customFormat="1" ht="22.9" customHeight="1">
      <c r="A114" s="36"/>
      <c r="B114" s="37"/>
      <c r="C114" s="77" t="s">
        <v>377</v>
      </c>
      <c r="D114" s="38"/>
      <c r="E114" s="38"/>
      <c r="F114" s="38"/>
      <c r="G114" s="38"/>
      <c r="H114" s="38"/>
      <c r="I114" s="38"/>
      <c r="J114" s="160">
        <f>BK114</f>
        <v>0</v>
      </c>
      <c r="K114" s="38"/>
      <c r="L114" s="41"/>
      <c r="M114" s="73"/>
      <c r="N114" s="161"/>
      <c r="O114" s="74"/>
      <c r="P114" s="162">
        <f>P115+P906+P1630</f>
        <v>0</v>
      </c>
      <c r="Q114" s="74"/>
      <c r="R114" s="162">
        <f>R115+R906+R1630</f>
        <v>7851.7391639382286</v>
      </c>
      <c r="S114" s="74"/>
      <c r="T114" s="163">
        <f>T115+T906+T1630</f>
        <v>0</v>
      </c>
      <c r="U114" s="36"/>
      <c r="V114" s="36"/>
      <c r="W114" s="36"/>
      <c r="X114" s="36"/>
      <c r="Y114" s="36"/>
      <c r="Z114" s="36"/>
      <c r="AA114" s="36"/>
      <c r="AB114" s="36"/>
      <c r="AC114" s="36"/>
      <c r="AD114" s="36"/>
      <c r="AE114" s="36"/>
      <c r="AT114" s="19" t="s">
        <v>71</v>
      </c>
      <c r="AU114" s="19" t="s">
        <v>335</v>
      </c>
      <c r="BK114" s="164">
        <f>BK115+BK906+BK1630</f>
        <v>0</v>
      </c>
    </row>
    <row r="115" spans="1:65" s="12" customFormat="1" ht="25.9" customHeight="1">
      <c r="B115" s="165"/>
      <c r="C115" s="166"/>
      <c r="D115" s="167" t="s">
        <v>71</v>
      </c>
      <c r="E115" s="168" t="s">
        <v>378</v>
      </c>
      <c r="F115" s="168" t="s">
        <v>379</v>
      </c>
      <c r="G115" s="166"/>
      <c r="H115" s="166"/>
      <c r="I115" s="169"/>
      <c r="J115" s="170">
        <f>BK115</f>
        <v>0</v>
      </c>
      <c r="K115" s="166"/>
      <c r="L115" s="171"/>
      <c r="M115" s="172"/>
      <c r="N115" s="173"/>
      <c r="O115" s="173"/>
      <c r="P115" s="174">
        <f>P116+P152+P211+P470+P678+P862+P904</f>
        <v>0</v>
      </c>
      <c r="Q115" s="173"/>
      <c r="R115" s="174">
        <f>R116+R152+R211+R470+R678+R862+R904</f>
        <v>7725.9700311394099</v>
      </c>
      <c r="S115" s="173"/>
      <c r="T115" s="175">
        <f>T116+T152+T211+T470+T678+T862+T904</f>
        <v>0</v>
      </c>
      <c r="AR115" s="176" t="s">
        <v>79</v>
      </c>
      <c r="AT115" s="177" t="s">
        <v>71</v>
      </c>
      <c r="AU115" s="177" t="s">
        <v>72</v>
      </c>
      <c r="AY115" s="176" t="s">
        <v>380</v>
      </c>
      <c r="BK115" s="178">
        <f>BK116+BK152+BK211+BK470+BK678+BK862+BK904</f>
        <v>0</v>
      </c>
    </row>
    <row r="116" spans="1:65" s="12" customFormat="1" ht="22.9" customHeight="1">
      <c r="B116" s="165"/>
      <c r="C116" s="166"/>
      <c r="D116" s="167" t="s">
        <v>71</v>
      </c>
      <c r="E116" s="179" t="s">
        <v>79</v>
      </c>
      <c r="F116" s="179" t="s">
        <v>381</v>
      </c>
      <c r="G116" s="166"/>
      <c r="H116" s="166"/>
      <c r="I116" s="169"/>
      <c r="J116" s="180">
        <f>BK116</f>
        <v>0</v>
      </c>
      <c r="K116" s="166"/>
      <c r="L116" s="171"/>
      <c r="M116" s="172"/>
      <c r="N116" s="173"/>
      <c r="O116" s="173"/>
      <c r="P116" s="174">
        <f>SUM(P117:P151)</f>
        <v>0</v>
      </c>
      <c r="Q116" s="173"/>
      <c r="R116" s="174">
        <f>SUM(R117:R151)</f>
        <v>0.13751930400000001</v>
      </c>
      <c r="S116" s="173"/>
      <c r="T116" s="175">
        <f>SUM(T117:T151)</f>
        <v>0</v>
      </c>
      <c r="AR116" s="176" t="s">
        <v>79</v>
      </c>
      <c r="AT116" s="177" t="s">
        <v>71</v>
      </c>
      <c r="AU116" s="177" t="s">
        <v>79</v>
      </c>
      <c r="AY116" s="176" t="s">
        <v>380</v>
      </c>
      <c r="BK116" s="178">
        <f>SUM(BK117:BK151)</f>
        <v>0</v>
      </c>
    </row>
    <row r="117" spans="1:65" s="2" customFormat="1" ht="24.2" customHeight="1">
      <c r="A117" s="36"/>
      <c r="B117" s="37"/>
      <c r="C117" s="181" t="s">
        <v>79</v>
      </c>
      <c r="D117" s="181" t="s">
        <v>382</v>
      </c>
      <c r="E117" s="182" t="s">
        <v>383</v>
      </c>
      <c r="F117" s="183" t="s">
        <v>384</v>
      </c>
      <c r="G117" s="184" t="s">
        <v>385</v>
      </c>
      <c r="H117" s="185">
        <v>31.98</v>
      </c>
      <c r="I117" s="186"/>
      <c r="J117" s="187">
        <f>ROUND(I117*H117,2)</f>
        <v>0</v>
      </c>
      <c r="K117" s="183" t="s">
        <v>19</v>
      </c>
      <c r="L117" s="41"/>
      <c r="M117" s="188" t="s">
        <v>19</v>
      </c>
      <c r="N117" s="189" t="s">
        <v>43</v>
      </c>
      <c r="O117" s="66"/>
      <c r="P117" s="190">
        <f>O117*H117</f>
        <v>0</v>
      </c>
      <c r="Q117" s="190">
        <v>3.5000000000000001E-3</v>
      </c>
      <c r="R117" s="190">
        <f>Q117*H117</f>
        <v>0.11193</v>
      </c>
      <c r="S117" s="190">
        <v>0</v>
      </c>
      <c r="T117" s="191">
        <f>S117*H117</f>
        <v>0</v>
      </c>
      <c r="U117" s="36"/>
      <c r="V117" s="36"/>
      <c r="W117" s="36"/>
      <c r="X117" s="36"/>
      <c r="Y117" s="36"/>
      <c r="Z117" s="36"/>
      <c r="AA117" s="36"/>
      <c r="AB117" s="36"/>
      <c r="AC117" s="36"/>
      <c r="AD117" s="36"/>
      <c r="AE117" s="36"/>
      <c r="AR117" s="192" t="s">
        <v>386</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386</v>
      </c>
      <c r="BM117" s="192" t="s">
        <v>387</v>
      </c>
    </row>
    <row r="118" spans="1:65" s="13" customFormat="1" ht="11.25">
      <c r="B118" s="194"/>
      <c r="C118" s="195"/>
      <c r="D118" s="196" t="s">
        <v>388</v>
      </c>
      <c r="E118" s="197" t="s">
        <v>19</v>
      </c>
      <c r="F118" s="198" t="s">
        <v>389</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4" customFormat="1" ht="11.25">
      <c r="B119" s="205"/>
      <c r="C119" s="206"/>
      <c r="D119" s="196" t="s">
        <v>388</v>
      </c>
      <c r="E119" s="207" t="s">
        <v>19</v>
      </c>
      <c r="F119" s="208" t="s">
        <v>390</v>
      </c>
      <c r="G119" s="206"/>
      <c r="H119" s="209">
        <v>31.98</v>
      </c>
      <c r="I119" s="210"/>
      <c r="J119" s="206"/>
      <c r="K119" s="206"/>
      <c r="L119" s="211"/>
      <c r="M119" s="212"/>
      <c r="N119" s="213"/>
      <c r="O119" s="213"/>
      <c r="P119" s="213"/>
      <c r="Q119" s="213"/>
      <c r="R119" s="213"/>
      <c r="S119" s="213"/>
      <c r="T119" s="214"/>
      <c r="AT119" s="215" t="s">
        <v>388</v>
      </c>
      <c r="AU119" s="215" t="s">
        <v>82</v>
      </c>
      <c r="AV119" s="14" t="s">
        <v>82</v>
      </c>
      <c r="AW119" s="14" t="s">
        <v>33</v>
      </c>
      <c r="AX119" s="14" t="s">
        <v>79</v>
      </c>
      <c r="AY119" s="215" t="s">
        <v>380</v>
      </c>
    </row>
    <row r="120" spans="1:65" s="2" customFormat="1" ht="24.2" customHeight="1">
      <c r="A120" s="36"/>
      <c r="B120" s="37"/>
      <c r="C120" s="181" t="s">
        <v>82</v>
      </c>
      <c r="D120" s="181" t="s">
        <v>382</v>
      </c>
      <c r="E120" s="182" t="s">
        <v>391</v>
      </c>
      <c r="F120" s="183" t="s">
        <v>392</v>
      </c>
      <c r="G120" s="184" t="s">
        <v>385</v>
      </c>
      <c r="H120" s="185">
        <v>107.26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386</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386</v>
      </c>
      <c r="BM120" s="192" t="s">
        <v>393</v>
      </c>
    </row>
    <row r="121" spans="1:65" s="13" customFormat="1" ht="11.25">
      <c r="B121" s="194"/>
      <c r="C121" s="195"/>
      <c r="D121" s="196" t="s">
        <v>388</v>
      </c>
      <c r="E121" s="197" t="s">
        <v>19</v>
      </c>
      <c r="F121" s="198" t="s">
        <v>394</v>
      </c>
      <c r="G121" s="195"/>
      <c r="H121" s="197" t="s">
        <v>19</v>
      </c>
      <c r="I121" s="199"/>
      <c r="J121" s="195"/>
      <c r="K121" s="195"/>
      <c r="L121" s="200"/>
      <c r="M121" s="201"/>
      <c r="N121" s="202"/>
      <c r="O121" s="202"/>
      <c r="P121" s="202"/>
      <c r="Q121" s="202"/>
      <c r="R121" s="202"/>
      <c r="S121" s="202"/>
      <c r="T121" s="203"/>
      <c r="AT121" s="204" t="s">
        <v>388</v>
      </c>
      <c r="AU121" s="204" t="s">
        <v>82</v>
      </c>
      <c r="AV121" s="13" t="s">
        <v>79</v>
      </c>
      <c r="AW121" s="13" t="s">
        <v>33</v>
      </c>
      <c r="AX121" s="13" t="s">
        <v>72</v>
      </c>
      <c r="AY121" s="204" t="s">
        <v>380</v>
      </c>
    </row>
    <row r="122" spans="1:65" s="14" customFormat="1" ht="11.25">
      <c r="B122" s="205"/>
      <c r="C122" s="206"/>
      <c r="D122" s="196" t="s">
        <v>388</v>
      </c>
      <c r="E122" s="207" t="s">
        <v>19</v>
      </c>
      <c r="F122" s="208" t="s">
        <v>395</v>
      </c>
      <c r="G122" s="206"/>
      <c r="H122" s="209">
        <v>107.26</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99</v>
      </c>
      <c r="D123" s="181" t="s">
        <v>382</v>
      </c>
      <c r="E123" s="182" t="s">
        <v>396</v>
      </c>
      <c r="F123" s="183" t="s">
        <v>397</v>
      </c>
      <c r="G123" s="184" t="s">
        <v>398</v>
      </c>
      <c r="H123" s="185">
        <v>36.503999999999998</v>
      </c>
      <c r="I123" s="186"/>
      <c r="J123" s="187">
        <f>ROUND(I123*H123,2)</f>
        <v>0</v>
      </c>
      <c r="K123" s="183" t="s">
        <v>399</v>
      </c>
      <c r="L123" s="41"/>
      <c r="M123" s="188" t="s">
        <v>19</v>
      </c>
      <c r="N123" s="189" t="s">
        <v>43</v>
      </c>
      <c r="O123" s="66"/>
      <c r="P123" s="190">
        <f>O123*H123</f>
        <v>0</v>
      </c>
      <c r="Q123" s="190">
        <v>7.0100000000000002E-4</v>
      </c>
      <c r="R123" s="190">
        <f>Q123*H123</f>
        <v>2.5589304E-2</v>
      </c>
      <c r="S123" s="190">
        <v>0</v>
      </c>
      <c r="T123" s="191">
        <f>S123*H123</f>
        <v>0</v>
      </c>
      <c r="U123" s="36"/>
      <c r="V123" s="36"/>
      <c r="W123" s="36"/>
      <c r="X123" s="36"/>
      <c r="Y123" s="36"/>
      <c r="Z123" s="36"/>
      <c r="AA123" s="36"/>
      <c r="AB123" s="36"/>
      <c r="AC123" s="36"/>
      <c r="AD123" s="36"/>
      <c r="AE123" s="36"/>
      <c r="AR123" s="192" t="s">
        <v>386</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386</v>
      </c>
      <c r="BM123" s="192" t="s">
        <v>400</v>
      </c>
    </row>
    <row r="124" spans="1:65" s="14" customFormat="1" ht="11.25">
      <c r="B124" s="205"/>
      <c r="C124" s="206"/>
      <c r="D124" s="196" t="s">
        <v>388</v>
      </c>
      <c r="E124" s="207" t="s">
        <v>19</v>
      </c>
      <c r="F124" s="208" t="s">
        <v>401</v>
      </c>
      <c r="G124" s="206"/>
      <c r="H124" s="209">
        <v>36.503999999999998</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2" customFormat="1" ht="24.2" customHeight="1">
      <c r="A125" s="36"/>
      <c r="B125" s="37"/>
      <c r="C125" s="181" t="s">
        <v>386</v>
      </c>
      <c r="D125" s="181" t="s">
        <v>382</v>
      </c>
      <c r="E125" s="182" t="s">
        <v>402</v>
      </c>
      <c r="F125" s="183" t="s">
        <v>403</v>
      </c>
      <c r="G125" s="184" t="s">
        <v>398</v>
      </c>
      <c r="H125" s="185">
        <v>36.503999999999998</v>
      </c>
      <c r="I125" s="186"/>
      <c r="J125" s="187">
        <f>ROUND(I125*H125,2)</f>
        <v>0</v>
      </c>
      <c r="K125" s="183" t="s">
        <v>399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386</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386</v>
      </c>
      <c r="BM125" s="192" t="s">
        <v>404</v>
      </c>
    </row>
    <row r="126" spans="1:65" s="2" customFormat="1" ht="33" customHeight="1">
      <c r="A126" s="36"/>
      <c r="B126" s="37"/>
      <c r="C126" s="181" t="s">
        <v>405</v>
      </c>
      <c r="D126" s="181" t="s">
        <v>382</v>
      </c>
      <c r="E126" s="182" t="s">
        <v>406</v>
      </c>
      <c r="F126" s="183" t="s">
        <v>407</v>
      </c>
      <c r="G126" s="184" t="s">
        <v>385</v>
      </c>
      <c r="H126" s="185">
        <v>257.44600000000003</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386</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386</v>
      </c>
      <c r="BM126" s="192" t="s">
        <v>408</v>
      </c>
    </row>
    <row r="127" spans="1:65" s="13" customFormat="1" ht="11.25">
      <c r="B127" s="194"/>
      <c r="C127" s="195"/>
      <c r="D127" s="196" t="s">
        <v>388</v>
      </c>
      <c r="E127" s="197" t="s">
        <v>19</v>
      </c>
      <c r="F127" s="198" t="s">
        <v>409</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410</v>
      </c>
      <c r="G128" s="206"/>
      <c r="H128" s="209">
        <v>257.44600000000003</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2" customFormat="1" ht="33" customHeight="1">
      <c r="A129" s="36"/>
      <c r="B129" s="37"/>
      <c r="C129" s="181" t="s">
        <v>411</v>
      </c>
      <c r="D129" s="181" t="s">
        <v>382</v>
      </c>
      <c r="E129" s="182" t="s">
        <v>412</v>
      </c>
      <c r="F129" s="183" t="s">
        <v>413</v>
      </c>
      <c r="G129" s="184" t="s">
        <v>385</v>
      </c>
      <c r="H129" s="185">
        <v>512.20299999999997</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386</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386</v>
      </c>
      <c r="BM129" s="192" t="s">
        <v>414</v>
      </c>
    </row>
    <row r="130" spans="1:65" s="13" customFormat="1" ht="11.25">
      <c r="B130" s="194"/>
      <c r="C130" s="195"/>
      <c r="D130" s="196" t="s">
        <v>388</v>
      </c>
      <c r="E130" s="197" t="s">
        <v>19</v>
      </c>
      <c r="F130" s="198" t="s">
        <v>415</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416</v>
      </c>
      <c r="G131" s="206"/>
      <c r="H131" s="209">
        <v>10.516999999999999</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417</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418</v>
      </c>
      <c r="G133" s="206"/>
      <c r="H133" s="209">
        <v>501.68599999999998</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5" customFormat="1" ht="11.25">
      <c r="B134" s="216"/>
      <c r="C134" s="217"/>
      <c r="D134" s="196" t="s">
        <v>388</v>
      </c>
      <c r="E134" s="218" t="s">
        <v>19</v>
      </c>
      <c r="F134" s="219" t="s">
        <v>419</v>
      </c>
      <c r="G134" s="217"/>
      <c r="H134" s="220">
        <v>512.20299999999997</v>
      </c>
      <c r="I134" s="221"/>
      <c r="J134" s="217"/>
      <c r="K134" s="217"/>
      <c r="L134" s="222"/>
      <c r="M134" s="223"/>
      <c r="N134" s="224"/>
      <c r="O134" s="224"/>
      <c r="P134" s="224"/>
      <c r="Q134" s="224"/>
      <c r="R134" s="224"/>
      <c r="S134" s="224"/>
      <c r="T134" s="225"/>
      <c r="AT134" s="226" t="s">
        <v>388</v>
      </c>
      <c r="AU134" s="226" t="s">
        <v>82</v>
      </c>
      <c r="AV134" s="15" t="s">
        <v>386</v>
      </c>
      <c r="AW134" s="15" t="s">
        <v>33</v>
      </c>
      <c r="AX134" s="15" t="s">
        <v>79</v>
      </c>
      <c r="AY134" s="226" t="s">
        <v>380</v>
      </c>
    </row>
    <row r="135" spans="1:65" s="2" customFormat="1" ht="37.9" customHeight="1">
      <c r="A135" s="36"/>
      <c r="B135" s="37"/>
      <c r="C135" s="181" t="s">
        <v>420</v>
      </c>
      <c r="D135" s="181" t="s">
        <v>382</v>
      </c>
      <c r="E135" s="182" t="s">
        <v>421</v>
      </c>
      <c r="F135" s="183" t="s">
        <v>422</v>
      </c>
      <c r="G135" s="184" t="s">
        <v>385</v>
      </c>
      <c r="H135" s="185">
        <v>512.20299999999997</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386</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386</v>
      </c>
      <c r="BM135" s="192" t="s">
        <v>423</v>
      </c>
    </row>
    <row r="136" spans="1:65" s="2" customFormat="1" ht="24.2" customHeight="1">
      <c r="A136" s="36"/>
      <c r="B136" s="37"/>
      <c r="C136" s="181" t="s">
        <v>424</v>
      </c>
      <c r="D136" s="181" t="s">
        <v>382</v>
      </c>
      <c r="E136" s="182" t="s">
        <v>425</v>
      </c>
      <c r="F136" s="183" t="s">
        <v>426</v>
      </c>
      <c r="G136" s="184" t="s">
        <v>385</v>
      </c>
      <c r="H136" s="185">
        <v>128.72300000000001</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386</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386</v>
      </c>
      <c r="BM136" s="192" t="s">
        <v>427</v>
      </c>
    </row>
    <row r="137" spans="1:65" s="13" customFormat="1" ht="11.25">
      <c r="B137" s="194"/>
      <c r="C137" s="195"/>
      <c r="D137" s="196" t="s">
        <v>388</v>
      </c>
      <c r="E137" s="197" t="s">
        <v>19</v>
      </c>
      <c r="F137" s="198" t="s">
        <v>428</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429</v>
      </c>
      <c r="G138" s="206"/>
      <c r="H138" s="209">
        <v>128.72300000000001</v>
      </c>
      <c r="I138" s="210"/>
      <c r="J138" s="206"/>
      <c r="K138" s="206"/>
      <c r="L138" s="211"/>
      <c r="M138" s="212"/>
      <c r="N138" s="213"/>
      <c r="O138" s="213"/>
      <c r="P138" s="213"/>
      <c r="Q138" s="213"/>
      <c r="R138" s="213"/>
      <c r="S138" s="213"/>
      <c r="T138" s="214"/>
      <c r="AT138" s="215" t="s">
        <v>388</v>
      </c>
      <c r="AU138" s="215" t="s">
        <v>82</v>
      </c>
      <c r="AV138" s="14" t="s">
        <v>82</v>
      </c>
      <c r="AW138" s="14" t="s">
        <v>33</v>
      </c>
      <c r="AX138" s="14" t="s">
        <v>79</v>
      </c>
      <c r="AY138" s="215" t="s">
        <v>380</v>
      </c>
    </row>
    <row r="139" spans="1:65" s="2" customFormat="1" ht="16.5" customHeight="1">
      <c r="A139" s="36"/>
      <c r="B139" s="37"/>
      <c r="C139" s="181" t="s">
        <v>430</v>
      </c>
      <c r="D139" s="181" t="s">
        <v>382</v>
      </c>
      <c r="E139" s="182" t="s">
        <v>431</v>
      </c>
      <c r="F139" s="183" t="s">
        <v>432</v>
      </c>
      <c r="G139" s="184" t="s">
        <v>385</v>
      </c>
      <c r="H139" s="185">
        <v>128.72300000000001</v>
      </c>
      <c r="I139" s="186"/>
      <c r="J139" s="187">
        <f>ROUND(I139*H139,2)</f>
        <v>0</v>
      </c>
      <c r="K139" s="183" t="s">
        <v>399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386</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386</v>
      </c>
      <c r="BM139" s="192" t="s">
        <v>433</v>
      </c>
    </row>
    <row r="140" spans="1:65" s="13" customFormat="1" ht="11.25">
      <c r="B140" s="194"/>
      <c r="C140" s="195"/>
      <c r="D140" s="196" t="s">
        <v>388</v>
      </c>
      <c r="E140" s="197" t="s">
        <v>19</v>
      </c>
      <c r="F140" s="198" t="s">
        <v>434</v>
      </c>
      <c r="G140" s="195"/>
      <c r="H140" s="197" t="s">
        <v>19</v>
      </c>
      <c r="I140" s="199"/>
      <c r="J140" s="195"/>
      <c r="K140" s="195"/>
      <c r="L140" s="200"/>
      <c r="M140" s="201"/>
      <c r="N140" s="202"/>
      <c r="O140" s="202"/>
      <c r="P140" s="202"/>
      <c r="Q140" s="202"/>
      <c r="R140" s="202"/>
      <c r="S140" s="202"/>
      <c r="T140" s="203"/>
      <c r="AT140" s="204" t="s">
        <v>388</v>
      </c>
      <c r="AU140" s="204" t="s">
        <v>82</v>
      </c>
      <c r="AV140" s="13" t="s">
        <v>79</v>
      </c>
      <c r="AW140" s="13" t="s">
        <v>33</v>
      </c>
      <c r="AX140" s="13" t="s">
        <v>72</v>
      </c>
      <c r="AY140" s="204" t="s">
        <v>380</v>
      </c>
    </row>
    <row r="141" spans="1:65" s="14" customFormat="1" ht="11.25">
      <c r="B141" s="205"/>
      <c r="C141" s="206"/>
      <c r="D141" s="196" t="s">
        <v>388</v>
      </c>
      <c r="E141" s="207" t="s">
        <v>19</v>
      </c>
      <c r="F141" s="208" t="s">
        <v>429</v>
      </c>
      <c r="G141" s="206"/>
      <c r="H141" s="209">
        <v>128.72300000000001</v>
      </c>
      <c r="I141" s="210"/>
      <c r="J141" s="206"/>
      <c r="K141" s="206"/>
      <c r="L141" s="211"/>
      <c r="M141" s="212"/>
      <c r="N141" s="213"/>
      <c r="O141" s="213"/>
      <c r="P141" s="213"/>
      <c r="Q141" s="213"/>
      <c r="R141" s="213"/>
      <c r="S141" s="213"/>
      <c r="T141" s="214"/>
      <c r="AT141" s="215" t="s">
        <v>388</v>
      </c>
      <c r="AU141" s="215" t="s">
        <v>82</v>
      </c>
      <c r="AV141" s="14" t="s">
        <v>82</v>
      </c>
      <c r="AW141" s="14" t="s">
        <v>33</v>
      </c>
      <c r="AX141" s="14" t="s">
        <v>79</v>
      </c>
      <c r="AY141" s="215" t="s">
        <v>380</v>
      </c>
    </row>
    <row r="142" spans="1:65" s="2" customFormat="1" ht="24.2" customHeight="1">
      <c r="A142" s="36"/>
      <c r="B142" s="37"/>
      <c r="C142" s="181" t="s">
        <v>122</v>
      </c>
      <c r="D142" s="181" t="s">
        <v>382</v>
      </c>
      <c r="E142" s="182" t="s">
        <v>435</v>
      </c>
      <c r="F142" s="183" t="s">
        <v>436</v>
      </c>
      <c r="G142" s="184" t="s">
        <v>437</v>
      </c>
      <c r="H142" s="185">
        <v>870.745</v>
      </c>
      <c r="I142" s="186"/>
      <c r="J142" s="187">
        <f>ROUND(I142*H142,2)</f>
        <v>0</v>
      </c>
      <c r="K142" s="183" t="s">
        <v>399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386</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386</v>
      </c>
      <c r="BM142" s="192" t="s">
        <v>438</v>
      </c>
    </row>
    <row r="143" spans="1:65" s="14" customFormat="1" ht="11.25">
      <c r="B143" s="205"/>
      <c r="C143" s="206"/>
      <c r="D143" s="196" t="s">
        <v>388</v>
      </c>
      <c r="E143" s="207" t="s">
        <v>19</v>
      </c>
      <c r="F143" s="208" t="s">
        <v>439</v>
      </c>
      <c r="G143" s="206"/>
      <c r="H143" s="209">
        <v>870.745</v>
      </c>
      <c r="I143" s="210"/>
      <c r="J143" s="206"/>
      <c r="K143" s="206"/>
      <c r="L143" s="211"/>
      <c r="M143" s="212"/>
      <c r="N143" s="213"/>
      <c r="O143" s="213"/>
      <c r="P143" s="213"/>
      <c r="Q143" s="213"/>
      <c r="R143" s="213"/>
      <c r="S143" s="213"/>
      <c r="T143" s="214"/>
      <c r="AT143" s="215" t="s">
        <v>388</v>
      </c>
      <c r="AU143" s="215" t="s">
        <v>82</v>
      </c>
      <c r="AV143" s="14" t="s">
        <v>82</v>
      </c>
      <c r="AW143" s="14" t="s">
        <v>33</v>
      </c>
      <c r="AX143" s="14" t="s">
        <v>79</v>
      </c>
      <c r="AY143" s="215" t="s">
        <v>380</v>
      </c>
    </row>
    <row r="144" spans="1:65" s="2" customFormat="1" ht="24.2" customHeight="1">
      <c r="A144" s="36"/>
      <c r="B144" s="37"/>
      <c r="C144" s="181" t="s">
        <v>125</v>
      </c>
      <c r="D144" s="181" t="s">
        <v>382</v>
      </c>
      <c r="E144" s="182" t="s">
        <v>440</v>
      </c>
      <c r="F144" s="183" t="s">
        <v>441</v>
      </c>
      <c r="G144" s="184" t="s">
        <v>385</v>
      </c>
      <c r="H144" s="185">
        <v>128.72300000000001</v>
      </c>
      <c r="I144" s="186"/>
      <c r="J144" s="187">
        <f>ROUND(I144*H144,2)</f>
        <v>0</v>
      </c>
      <c r="K144" s="183" t="s">
        <v>399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386</v>
      </c>
      <c r="AT144" s="192" t="s">
        <v>382</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386</v>
      </c>
      <c r="BM144" s="192" t="s">
        <v>442</v>
      </c>
    </row>
    <row r="145" spans="1:65" s="13" customFormat="1" ht="11.25">
      <c r="B145" s="194"/>
      <c r="C145" s="195"/>
      <c r="D145" s="196" t="s">
        <v>388</v>
      </c>
      <c r="E145" s="197" t="s">
        <v>19</v>
      </c>
      <c r="F145" s="198" t="s">
        <v>443</v>
      </c>
      <c r="G145" s="195"/>
      <c r="H145" s="197" t="s">
        <v>19</v>
      </c>
      <c r="I145" s="199"/>
      <c r="J145" s="195"/>
      <c r="K145" s="195"/>
      <c r="L145" s="200"/>
      <c r="M145" s="201"/>
      <c r="N145" s="202"/>
      <c r="O145" s="202"/>
      <c r="P145" s="202"/>
      <c r="Q145" s="202"/>
      <c r="R145" s="202"/>
      <c r="S145" s="202"/>
      <c r="T145" s="203"/>
      <c r="AT145" s="204" t="s">
        <v>388</v>
      </c>
      <c r="AU145" s="204" t="s">
        <v>82</v>
      </c>
      <c r="AV145" s="13" t="s">
        <v>79</v>
      </c>
      <c r="AW145" s="13" t="s">
        <v>33</v>
      </c>
      <c r="AX145" s="13" t="s">
        <v>72</v>
      </c>
      <c r="AY145" s="204" t="s">
        <v>380</v>
      </c>
    </row>
    <row r="146" spans="1:65" s="14" customFormat="1" ht="11.25">
      <c r="B146" s="205"/>
      <c r="C146" s="206"/>
      <c r="D146" s="196" t="s">
        <v>388</v>
      </c>
      <c r="E146" s="207" t="s">
        <v>19</v>
      </c>
      <c r="F146" s="208" t="s">
        <v>444</v>
      </c>
      <c r="G146" s="206"/>
      <c r="H146" s="209">
        <v>74.628</v>
      </c>
      <c r="I146" s="210"/>
      <c r="J146" s="206"/>
      <c r="K146" s="206"/>
      <c r="L146" s="211"/>
      <c r="M146" s="212"/>
      <c r="N146" s="213"/>
      <c r="O146" s="213"/>
      <c r="P146" s="213"/>
      <c r="Q146" s="213"/>
      <c r="R146" s="213"/>
      <c r="S146" s="213"/>
      <c r="T146" s="214"/>
      <c r="AT146" s="215" t="s">
        <v>388</v>
      </c>
      <c r="AU146" s="215" t="s">
        <v>82</v>
      </c>
      <c r="AV146" s="14" t="s">
        <v>82</v>
      </c>
      <c r="AW146" s="14" t="s">
        <v>33</v>
      </c>
      <c r="AX146" s="14" t="s">
        <v>72</v>
      </c>
      <c r="AY146" s="215" t="s">
        <v>380</v>
      </c>
    </row>
    <row r="147" spans="1:65" s="13" customFormat="1" ht="11.25">
      <c r="B147" s="194"/>
      <c r="C147" s="195"/>
      <c r="D147" s="196" t="s">
        <v>388</v>
      </c>
      <c r="E147" s="197" t="s">
        <v>19</v>
      </c>
      <c r="F147" s="198" t="s">
        <v>445</v>
      </c>
      <c r="G147" s="195"/>
      <c r="H147" s="197" t="s">
        <v>19</v>
      </c>
      <c r="I147" s="199"/>
      <c r="J147" s="195"/>
      <c r="K147" s="195"/>
      <c r="L147" s="200"/>
      <c r="M147" s="201"/>
      <c r="N147" s="202"/>
      <c r="O147" s="202"/>
      <c r="P147" s="202"/>
      <c r="Q147" s="202"/>
      <c r="R147" s="202"/>
      <c r="S147" s="202"/>
      <c r="T147" s="203"/>
      <c r="AT147" s="204" t="s">
        <v>388</v>
      </c>
      <c r="AU147" s="204" t="s">
        <v>82</v>
      </c>
      <c r="AV147" s="13" t="s">
        <v>79</v>
      </c>
      <c r="AW147" s="13" t="s">
        <v>33</v>
      </c>
      <c r="AX147" s="13" t="s">
        <v>72</v>
      </c>
      <c r="AY147" s="204" t="s">
        <v>380</v>
      </c>
    </row>
    <row r="148" spans="1:65" s="14" customFormat="1" ht="11.25">
      <c r="B148" s="205"/>
      <c r="C148" s="206"/>
      <c r="D148" s="196" t="s">
        <v>388</v>
      </c>
      <c r="E148" s="207" t="s">
        <v>19</v>
      </c>
      <c r="F148" s="208" t="s">
        <v>446</v>
      </c>
      <c r="G148" s="206"/>
      <c r="H148" s="209">
        <v>8.4760000000000009</v>
      </c>
      <c r="I148" s="210"/>
      <c r="J148" s="206"/>
      <c r="K148" s="206"/>
      <c r="L148" s="211"/>
      <c r="M148" s="212"/>
      <c r="N148" s="213"/>
      <c r="O148" s="213"/>
      <c r="P148" s="213"/>
      <c r="Q148" s="213"/>
      <c r="R148" s="213"/>
      <c r="S148" s="213"/>
      <c r="T148" s="214"/>
      <c r="AT148" s="215" t="s">
        <v>388</v>
      </c>
      <c r="AU148" s="215" t="s">
        <v>82</v>
      </c>
      <c r="AV148" s="14" t="s">
        <v>82</v>
      </c>
      <c r="AW148" s="14" t="s">
        <v>33</v>
      </c>
      <c r="AX148" s="14" t="s">
        <v>72</v>
      </c>
      <c r="AY148" s="215" t="s">
        <v>380</v>
      </c>
    </row>
    <row r="149" spans="1:65" s="13" customFormat="1" ht="11.25">
      <c r="B149" s="194"/>
      <c r="C149" s="195"/>
      <c r="D149" s="196" t="s">
        <v>388</v>
      </c>
      <c r="E149" s="197" t="s">
        <v>19</v>
      </c>
      <c r="F149" s="198" t="s">
        <v>447</v>
      </c>
      <c r="G149" s="195"/>
      <c r="H149" s="197" t="s">
        <v>19</v>
      </c>
      <c r="I149" s="199"/>
      <c r="J149" s="195"/>
      <c r="K149" s="195"/>
      <c r="L149" s="200"/>
      <c r="M149" s="201"/>
      <c r="N149" s="202"/>
      <c r="O149" s="202"/>
      <c r="P149" s="202"/>
      <c r="Q149" s="202"/>
      <c r="R149" s="202"/>
      <c r="S149" s="202"/>
      <c r="T149" s="203"/>
      <c r="AT149" s="204" t="s">
        <v>388</v>
      </c>
      <c r="AU149" s="204" t="s">
        <v>82</v>
      </c>
      <c r="AV149" s="13" t="s">
        <v>79</v>
      </c>
      <c r="AW149" s="13" t="s">
        <v>33</v>
      </c>
      <c r="AX149" s="13" t="s">
        <v>72</v>
      </c>
      <c r="AY149" s="204" t="s">
        <v>380</v>
      </c>
    </row>
    <row r="150" spans="1:65" s="14" customFormat="1" ht="11.25">
      <c r="B150" s="205"/>
      <c r="C150" s="206"/>
      <c r="D150" s="196" t="s">
        <v>388</v>
      </c>
      <c r="E150" s="207" t="s">
        <v>19</v>
      </c>
      <c r="F150" s="208" t="s">
        <v>448</v>
      </c>
      <c r="G150" s="206"/>
      <c r="H150" s="209">
        <v>45.619</v>
      </c>
      <c r="I150" s="210"/>
      <c r="J150" s="206"/>
      <c r="K150" s="206"/>
      <c r="L150" s="211"/>
      <c r="M150" s="212"/>
      <c r="N150" s="213"/>
      <c r="O150" s="213"/>
      <c r="P150" s="213"/>
      <c r="Q150" s="213"/>
      <c r="R150" s="213"/>
      <c r="S150" s="213"/>
      <c r="T150" s="214"/>
      <c r="AT150" s="215" t="s">
        <v>388</v>
      </c>
      <c r="AU150" s="215" t="s">
        <v>82</v>
      </c>
      <c r="AV150" s="14" t="s">
        <v>82</v>
      </c>
      <c r="AW150" s="14" t="s">
        <v>33</v>
      </c>
      <c r="AX150" s="14" t="s">
        <v>72</v>
      </c>
      <c r="AY150" s="215" t="s">
        <v>380</v>
      </c>
    </row>
    <row r="151" spans="1:65" s="15" customFormat="1" ht="11.25">
      <c r="B151" s="216"/>
      <c r="C151" s="217"/>
      <c r="D151" s="196" t="s">
        <v>388</v>
      </c>
      <c r="E151" s="218" t="s">
        <v>19</v>
      </c>
      <c r="F151" s="219" t="s">
        <v>419</v>
      </c>
      <c r="G151" s="217"/>
      <c r="H151" s="220">
        <v>128.72300000000001</v>
      </c>
      <c r="I151" s="221"/>
      <c r="J151" s="217"/>
      <c r="K151" s="217"/>
      <c r="L151" s="222"/>
      <c r="M151" s="223"/>
      <c r="N151" s="224"/>
      <c r="O151" s="224"/>
      <c r="P151" s="224"/>
      <c r="Q151" s="224"/>
      <c r="R151" s="224"/>
      <c r="S151" s="224"/>
      <c r="T151" s="225"/>
      <c r="AT151" s="226" t="s">
        <v>388</v>
      </c>
      <c r="AU151" s="226" t="s">
        <v>82</v>
      </c>
      <c r="AV151" s="15" t="s">
        <v>386</v>
      </c>
      <c r="AW151" s="15" t="s">
        <v>33</v>
      </c>
      <c r="AX151" s="15" t="s">
        <v>79</v>
      </c>
      <c r="AY151" s="226" t="s">
        <v>380</v>
      </c>
    </row>
    <row r="152" spans="1:65" s="12" customFormat="1" ht="22.9" customHeight="1">
      <c r="B152" s="165"/>
      <c r="C152" s="166"/>
      <c r="D152" s="167" t="s">
        <v>71</v>
      </c>
      <c r="E152" s="179" t="s">
        <v>82</v>
      </c>
      <c r="F152" s="179" t="s">
        <v>449</v>
      </c>
      <c r="G152" s="166"/>
      <c r="H152" s="166"/>
      <c r="I152" s="169"/>
      <c r="J152" s="180">
        <f>BK152</f>
        <v>0</v>
      </c>
      <c r="K152" s="166"/>
      <c r="L152" s="171"/>
      <c r="M152" s="172"/>
      <c r="N152" s="173"/>
      <c r="O152" s="173"/>
      <c r="P152" s="174">
        <f>SUM(P153:P210)</f>
        <v>0</v>
      </c>
      <c r="Q152" s="173"/>
      <c r="R152" s="174">
        <f>SUM(R153:R210)</f>
        <v>2090.051340393914</v>
      </c>
      <c r="S152" s="173"/>
      <c r="T152" s="175">
        <f>SUM(T153:T210)</f>
        <v>0</v>
      </c>
      <c r="AR152" s="176" t="s">
        <v>79</v>
      </c>
      <c r="AT152" s="177" t="s">
        <v>71</v>
      </c>
      <c r="AU152" s="177" t="s">
        <v>79</v>
      </c>
      <c r="AY152" s="176" t="s">
        <v>380</v>
      </c>
      <c r="BK152" s="178">
        <f>SUM(BK153:BK210)</f>
        <v>0</v>
      </c>
    </row>
    <row r="153" spans="1:65" s="2" customFormat="1" ht="24.2" customHeight="1">
      <c r="A153" s="36"/>
      <c r="B153" s="37"/>
      <c r="C153" s="181" t="s">
        <v>128</v>
      </c>
      <c r="D153" s="181" t="s">
        <v>382</v>
      </c>
      <c r="E153" s="182" t="s">
        <v>450</v>
      </c>
      <c r="F153" s="183" t="s">
        <v>451</v>
      </c>
      <c r="G153" s="184" t="s">
        <v>452</v>
      </c>
      <c r="H153" s="185">
        <v>1098</v>
      </c>
      <c r="I153" s="186"/>
      <c r="J153" s="187">
        <f>ROUND(I153*H153,2)</f>
        <v>0</v>
      </c>
      <c r="K153" s="183" t="s">
        <v>19</v>
      </c>
      <c r="L153" s="41"/>
      <c r="M153" s="188" t="s">
        <v>19</v>
      </c>
      <c r="N153" s="189" t="s">
        <v>43</v>
      </c>
      <c r="O153" s="66"/>
      <c r="P153" s="190">
        <f>O153*H153</f>
        <v>0</v>
      </c>
      <c r="Q153" s="190">
        <v>4.0000000000000003E-5</v>
      </c>
      <c r="R153" s="190">
        <f>Q153*H153</f>
        <v>4.3920000000000001E-2</v>
      </c>
      <c r="S153" s="190">
        <v>0</v>
      </c>
      <c r="T153" s="191">
        <f>S153*H153</f>
        <v>0</v>
      </c>
      <c r="U153" s="36"/>
      <c r="V153" s="36"/>
      <c r="W153" s="36"/>
      <c r="X153" s="36"/>
      <c r="Y153" s="36"/>
      <c r="Z153" s="36"/>
      <c r="AA153" s="36"/>
      <c r="AB153" s="36"/>
      <c r="AC153" s="36"/>
      <c r="AD153" s="36"/>
      <c r="AE153" s="36"/>
      <c r="AR153" s="192" t="s">
        <v>386</v>
      </c>
      <c r="AT153" s="192" t="s">
        <v>382</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386</v>
      </c>
      <c r="BM153" s="192" t="s">
        <v>453</v>
      </c>
    </row>
    <row r="154" spans="1:65" s="14" customFormat="1" ht="11.25">
      <c r="B154" s="205"/>
      <c r="C154" s="206"/>
      <c r="D154" s="196" t="s">
        <v>388</v>
      </c>
      <c r="E154" s="207" t="s">
        <v>19</v>
      </c>
      <c r="F154" s="208" t="s">
        <v>454</v>
      </c>
      <c r="G154" s="206"/>
      <c r="H154" s="209">
        <v>1098</v>
      </c>
      <c r="I154" s="210"/>
      <c r="J154" s="206"/>
      <c r="K154" s="206"/>
      <c r="L154" s="211"/>
      <c r="M154" s="212"/>
      <c r="N154" s="213"/>
      <c r="O154" s="213"/>
      <c r="P154" s="213"/>
      <c r="Q154" s="213"/>
      <c r="R154" s="213"/>
      <c r="S154" s="213"/>
      <c r="T154" s="214"/>
      <c r="AT154" s="215" t="s">
        <v>388</v>
      </c>
      <c r="AU154" s="215" t="s">
        <v>82</v>
      </c>
      <c r="AV154" s="14" t="s">
        <v>82</v>
      </c>
      <c r="AW154" s="14" t="s">
        <v>33</v>
      </c>
      <c r="AX154" s="14" t="s">
        <v>79</v>
      </c>
      <c r="AY154" s="215" t="s">
        <v>380</v>
      </c>
    </row>
    <row r="155" spans="1:65" s="2" customFormat="1" ht="24.2" customHeight="1">
      <c r="A155" s="36"/>
      <c r="B155" s="37"/>
      <c r="C155" s="181" t="s">
        <v>131</v>
      </c>
      <c r="D155" s="181" t="s">
        <v>382</v>
      </c>
      <c r="E155" s="182" t="s">
        <v>455</v>
      </c>
      <c r="F155" s="183" t="s">
        <v>456</v>
      </c>
      <c r="G155" s="184" t="s">
        <v>452</v>
      </c>
      <c r="H155" s="185">
        <v>301</v>
      </c>
      <c r="I155" s="186"/>
      <c r="J155" s="187">
        <f>ROUND(I155*H155,2)</f>
        <v>0</v>
      </c>
      <c r="K155" s="183" t="s">
        <v>19</v>
      </c>
      <c r="L155" s="41"/>
      <c r="M155" s="188" t="s">
        <v>19</v>
      </c>
      <c r="N155" s="189" t="s">
        <v>43</v>
      </c>
      <c r="O155" s="66"/>
      <c r="P155" s="190">
        <f>O155*H155</f>
        <v>0</v>
      </c>
      <c r="Q155" s="190">
        <v>5.0000000000000002E-5</v>
      </c>
      <c r="R155" s="190">
        <f>Q155*H155</f>
        <v>1.5050000000000001E-2</v>
      </c>
      <c r="S155" s="190">
        <v>0</v>
      </c>
      <c r="T155" s="191">
        <f>S155*H155</f>
        <v>0</v>
      </c>
      <c r="U155" s="36"/>
      <c r="V155" s="36"/>
      <c r="W155" s="36"/>
      <c r="X155" s="36"/>
      <c r="Y155" s="36"/>
      <c r="Z155" s="36"/>
      <c r="AA155" s="36"/>
      <c r="AB155" s="36"/>
      <c r="AC155" s="36"/>
      <c r="AD155" s="36"/>
      <c r="AE155" s="36"/>
      <c r="AR155" s="192" t="s">
        <v>386</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386</v>
      </c>
      <c r="BM155" s="192" t="s">
        <v>457</v>
      </c>
    </row>
    <row r="156" spans="1:65" s="14" customFormat="1" ht="11.25">
      <c r="B156" s="205"/>
      <c r="C156" s="206"/>
      <c r="D156" s="196" t="s">
        <v>388</v>
      </c>
      <c r="E156" s="207" t="s">
        <v>19</v>
      </c>
      <c r="F156" s="208" t="s">
        <v>458</v>
      </c>
      <c r="G156" s="206"/>
      <c r="H156" s="209">
        <v>301</v>
      </c>
      <c r="I156" s="210"/>
      <c r="J156" s="206"/>
      <c r="K156" s="206"/>
      <c r="L156" s="211"/>
      <c r="M156" s="212"/>
      <c r="N156" s="213"/>
      <c r="O156" s="213"/>
      <c r="P156" s="213"/>
      <c r="Q156" s="213"/>
      <c r="R156" s="213"/>
      <c r="S156" s="213"/>
      <c r="T156" s="214"/>
      <c r="AT156" s="215" t="s">
        <v>388</v>
      </c>
      <c r="AU156" s="215" t="s">
        <v>82</v>
      </c>
      <c r="AV156" s="14" t="s">
        <v>82</v>
      </c>
      <c r="AW156" s="14" t="s">
        <v>33</v>
      </c>
      <c r="AX156" s="14" t="s">
        <v>79</v>
      </c>
      <c r="AY156" s="215" t="s">
        <v>380</v>
      </c>
    </row>
    <row r="157" spans="1:65" s="2" customFormat="1" ht="24.2" customHeight="1">
      <c r="A157" s="36"/>
      <c r="B157" s="37"/>
      <c r="C157" s="181" t="s">
        <v>134</v>
      </c>
      <c r="D157" s="181" t="s">
        <v>382</v>
      </c>
      <c r="E157" s="182" t="s">
        <v>459</v>
      </c>
      <c r="F157" s="183" t="s">
        <v>460</v>
      </c>
      <c r="G157" s="184" t="s">
        <v>452</v>
      </c>
      <c r="H157" s="185">
        <v>1098</v>
      </c>
      <c r="I157" s="186"/>
      <c r="J157" s="187">
        <f>ROUND(I157*H157,2)</f>
        <v>0</v>
      </c>
      <c r="K157" s="183" t="s">
        <v>399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386</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386</v>
      </c>
      <c r="BM157" s="192" t="s">
        <v>461</v>
      </c>
    </row>
    <row r="158" spans="1:65" s="14" customFormat="1" ht="11.25">
      <c r="B158" s="205"/>
      <c r="C158" s="206"/>
      <c r="D158" s="196" t="s">
        <v>388</v>
      </c>
      <c r="E158" s="207" t="s">
        <v>19</v>
      </c>
      <c r="F158" s="208" t="s">
        <v>454</v>
      </c>
      <c r="G158" s="206"/>
      <c r="H158" s="209">
        <v>1098</v>
      </c>
      <c r="I158" s="210"/>
      <c r="J158" s="206"/>
      <c r="K158" s="206"/>
      <c r="L158" s="211"/>
      <c r="M158" s="212"/>
      <c r="N158" s="213"/>
      <c r="O158" s="213"/>
      <c r="P158" s="213"/>
      <c r="Q158" s="213"/>
      <c r="R158" s="213"/>
      <c r="S158" s="213"/>
      <c r="T158" s="214"/>
      <c r="AT158" s="215" t="s">
        <v>388</v>
      </c>
      <c r="AU158" s="215" t="s">
        <v>82</v>
      </c>
      <c r="AV158" s="14" t="s">
        <v>82</v>
      </c>
      <c r="AW158" s="14" t="s">
        <v>33</v>
      </c>
      <c r="AX158" s="14" t="s">
        <v>79</v>
      </c>
      <c r="AY158" s="215" t="s">
        <v>380</v>
      </c>
    </row>
    <row r="159" spans="1:65" s="2" customFormat="1" ht="24.2" customHeight="1">
      <c r="A159" s="36"/>
      <c r="B159" s="37"/>
      <c r="C159" s="181" t="s">
        <v>8</v>
      </c>
      <c r="D159" s="181" t="s">
        <v>382</v>
      </c>
      <c r="E159" s="182" t="s">
        <v>462</v>
      </c>
      <c r="F159" s="183" t="s">
        <v>463</v>
      </c>
      <c r="G159" s="184" t="s">
        <v>452</v>
      </c>
      <c r="H159" s="185">
        <v>301</v>
      </c>
      <c r="I159" s="186"/>
      <c r="J159" s="187">
        <f>ROUND(I159*H159,2)</f>
        <v>0</v>
      </c>
      <c r="K159" s="183" t="s">
        <v>399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386</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386</v>
      </c>
      <c r="BM159" s="192" t="s">
        <v>464</v>
      </c>
    </row>
    <row r="160" spans="1:65" s="14" customFormat="1" ht="11.25">
      <c r="B160" s="205"/>
      <c r="C160" s="206"/>
      <c r="D160" s="196" t="s">
        <v>388</v>
      </c>
      <c r="E160" s="207" t="s">
        <v>19</v>
      </c>
      <c r="F160" s="208" t="s">
        <v>458</v>
      </c>
      <c r="G160" s="206"/>
      <c r="H160" s="209">
        <v>301</v>
      </c>
      <c r="I160" s="210"/>
      <c r="J160" s="206"/>
      <c r="K160" s="206"/>
      <c r="L160" s="211"/>
      <c r="M160" s="212"/>
      <c r="N160" s="213"/>
      <c r="O160" s="213"/>
      <c r="P160" s="213"/>
      <c r="Q160" s="213"/>
      <c r="R160" s="213"/>
      <c r="S160" s="213"/>
      <c r="T160" s="214"/>
      <c r="AT160" s="215" t="s">
        <v>388</v>
      </c>
      <c r="AU160" s="215" t="s">
        <v>82</v>
      </c>
      <c r="AV160" s="14" t="s">
        <v>82</v>
      </c>
      <c r="AW160" s="14" t="s">
        <v>33</v>
      </c>
      <c r="AX160" s="14" t="s">
        <v>79</v>
      </c>
      <c r="AY160" s="215" t="s">
        <v>380</v>
      </c>
    </row>
    <row r="161" spans="1:65" s="2" customFormat="1" ht="16.5" customHeight="1">
      <c r="A161" s="36"/>
      <c r="B161" s="37"/>
      <c r="C161" s="227" t="s">
        <v>281</v>
      </c>
      <c r="D161" s="227" t="s">
        <v>465</v>
      </c>
      <c r="E161" s="228" t="s">
        <v>466</v>
      </c>
      <c r="F161" s="229" t="s">
        <v>467</v>
      </c>
      <c r="G161" s="230" t="s">
        <v>385</v>
      </c>
      <c r="H161" s="231">
        <v>501.68599999999998</v>
      </c>
      <c r="I161" s="232"/>
      <c r="J161" s="233">
        <f>ROUND(I161*H161,2)</f>
        <v>0</v>
      </c>
      <c r="K161" s="229" t="s">
        <v>19</v>
      </c>
      <c r="L161" s="234"/>
      <c r="M161" s="235" t="s">
        <v>19</v>
      </c>
      <c r="N161" s="236" t="s">
        <v>43</v>
      </c>
      <c r="O161" s="66"/>
      <c r="P161" s="190">
        <f>O161*H161</f>
        <v>0</v>
      </c>
      <c r="Q161" s="190">
        <v>2.4289999999999998</v>
      </c>
      <c r="R161" s="190">
        <f>Q161*H161</f>
        <v>1218.595294</v>
      </c>
      <c r="S161" s="190">
        <v>0</v>
      </c>
      <c r="T161" s="191">
        <f>S161*H161</f>
        <v>0</v>
      </c>
      <c r="U161" s="36"/>
      <c r="V161" s="36"/>
      <c r="W161" s="36"/>
      <c r="X161" s="36"/>
      <c r="Y161" s="36"/>
      <c r="Z161" s="36"/>
      <c r="AA161" s="36"/>
      <c r="AB161" s="36"/>
      <c r="AC161" s="36"/>
      <c r="AD161" s="36"/>
      <c r="AE161" s="36"/>
      <c r="AR161" s="192" t="s">
        <v>424</v>
      </c>
      <c r="AT161" s="192" t="s">
        <v>465</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386</v>
      </c>
      <c r="BM161" s="192" t="s">
        <v>468</v>
      </c>
    </row>
    <row r="162" spans="1:65" s="14" customFormat="1" ht="11.25">
      <c r="B162" s="205"/>
      <c r="C162" s="206"/>
      <c r="D162" s="196" t="s">
        <v>388</v>
      </c>
      <c r="E162" s="207" t="s">
        <v>19</v>
      </c>
      <c r="F162" s="208" t="s">
        <v>469</v>
      </c>
      <c r="G162" s="206"/>
      <c r="H162" s="209">
        <v>310.29500000000002</v>
      </c>
      <c r="I162" s="210"/>
      <c r="J162" s="206"/>
      <c r="K162" s="206"/>
      <c r="L162" s="211"/>
      <c r="M162" s="212"/>
      <c r="N162" s="213"/>
      <c r="O162" s="213"/>
      <c r="P162" s="213"/>
      <c r="Q162" s="213"/>
      <c r="R162" s="213"/>
      <c r="S162" s="213"/>
      <c r="T162" s="214"/>
      <c r="AT162" s="215" t="s">
        <v>388</v>
      </c>
      <c r="AU162" s="215" t="s">
        <v>82</v>
      </c>
      <c r="AV162" s="14" t="s">
        <v>82</v>
      </c>
      <c r="AW162" s="14" t="s">
        <v>33</v>
      </c>
      <c r="AX162" s="14" t="s">
        <v>72</v>
      </c>
      <c r="AY162" s="215" t="s">
        <v>380</v>
      </c>
    </row>
    <row r="163" spans="1:65" s="14" customFormat="1" ht="11.25">
      <c r="B163" s="205"/>
      <c r="C163" s="206"/>
      <c r="D163" s="196" t="s">
        <v>388</v>
      </c>
      <c r="E163" s="207" t="s">
        <v>19</v>
      </c>
      <c r="F163" s="208" t="s">
        <v>470</v>
      </c>
      <c r="G163" s="206"/>
      <c r="H163" s="209">
        <v>191.39099999999999</v>
      </c>
      <c r="I163" s="210"/>
      <c r="J163" s="206"/>
      <c r="K163" s="206"/>
      <c r="L163" s="211"/>
      <c r="M163" s="212"/>
      <c r="N163" s="213"/>
      <c r="O163" s="213"/>
      <c r="P163" s="213"/>
      <c r="Q163" s="213"/>
      <c r="R163" s="213"/>
      <c r="S163" s="213"/>
      <c r="T163" s="214"/>
      <c r="AT163" s="215" t="s">
        <v>388</v>
      </c>
      <c r="AU163" s="215" t="s">
        <v>82</v>
      </c>
      <c r="AV163" s="14" t="s">
        <v>82</v>
      </c>
      <c r="AW163" s="14" t="s">
        <v>33</v>
      </c>
      <c r="AX163" s="14" t="s">
        <v>72</v>
      </c>
      <c r="AY163" s="215" t="s">
        <v>380</v>
      </c>
    </row>
    <row r="164" spans="1:65" s="15" customFormat="1" ht="11.25">
      <c r="B164" s="216"/>
      <c r="C164" s="217"/>
      <c r="D164" s="196" t="s">
        <v>388</v>
      </c>
      <c r="E164" s="218" t="s">
        <v>19</v>
      </c>
      <c r="F164" s="219" t="s">
        <v>419</v>
      </c>
      <c r="G164" s="217"/>
      <c r="H164" s="220">
        <v>501.68599999999998</v>
      </c>
      <c r="I164" s="221"/>
      <c r="J164" s="217"/>
      <c r="K164" s="217"/>
      <c r="L164" s="222"/>
      <c r="M164" s="223"/>
      <c r="N164" s="224"/>
      <c r="O164" s="224"/>
      <c r="P164" s="224"/>
      <c r="Q164" s="224"/>
      <c r="R164" s="224"/>
      <c r="S164" s="224"/>
      <c r="T164" s="225"/>
      <c r="AT164" s="226" t="s">
        <v>388</v>
      </c>
      <c r="AU164" s="226" t="s">
        <v>82</v>
      </c>
      <c r="AV164" s="15" t="s">
        <v>386</v>
      </c>
      <c r="AW164" s="15" t="s">
        <v>33</v>
      </c>
      <c r="AX164" s="15" t="s">
        <v>79</v>
      </c>
      <c r="AY164" s="226" t="s">
        <v>380</v>
      </c>
    </row>
    <row r="165" spans="1:65" s="2" customFormat="1" ht="16.5" customHeight="1">
      <c r="A165" s="36"/>
      <c r="B165" s="37"/>
      <c r="C165" s="181" t="s">
        <v>471</v>
      </c>
      <c r="D165" s="181" t="s">
        <v>382</v>
      </c>
      <c r="E165" s="182" t="s">
        <v>472</v>
      </c>
      <c r="F165" s="183" t="s">
        <v>473</v>
      </c>
      <c r="G165" s="184" t="s">
        <v>437</v>
      </c>
      <c r="H165" s="185">
        <v>30.100999999999999</v>
      </c>
      <c r="I165" s="186"/>
      <c r="J165" s="187">
        <f>ROUND(I165*H165,2)</f>
        <v>0</v>
      </c>
      <c r="K165" s="183" t="s">
        <v>399</v>
      </c>
      <c r="L165" s="41"/>
      <c r="M165" s="188" t="s">
        <v>19</v>
      </c>
      <c r="N165" s="189" t="s">
        <v>43</v>
      </c>
      <c r="O165" s="66"/>
      <c r="P165" s="190">
        <f>O165*H165</f>
        <v>0</v>
      </c>
      <c r="Q165" s="190">
        <v>1.1133176060000001</v>
      </c>
      <c r="R165" s="190">
        <f>Q165*H165</f>
        <v>33.511973258205998</v>
      </c>
      <c r="S165" s="190">
        <v>0</v>
      </c>
      <c r="T165" s="191">
        <f>S165*H165</f>
        <v>0</v>
      </c>
      <c r="U165" s="36"/>
      <c r="V165" s="36"/>
      <c r="W165" s="36"/>
      <c r="X165" s="36"/>
      <c r="Y165" s="36"/>
      <c r="Z165" s="36"/>
      <c r="AA165" s="36"/>
      <c r="AB165" s="36"/>
      <c r="AC165" s="36"/>
      <c r="AD165" s="36"/>
      <c r="AE165" s="36"/>
      <c r="AR165" s="192" t="s">
        <v>386</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386</v>
      </c>
      <c r="BM165" s="192" t="s">
        <v>474</v>
      </c>
    </row>
    <row r="166" spans="1:65" s="13" customFormat="1" ht="11.25">
      <c r="B166" s="194"/>
      <c r="C166" s="195"/>
      <c r="D166" s="196" t="s">
        <v>388</v>
      </c>
      <c r="E166" s="197" t="s">
        <v>19</v>
      </c>
      <c r="F166" s="198" t="s">
        <v>475</v>
      </c>
      <c r="G166" s="195"/>
      <c r="H166" s="197" t="s">
        <v>19</v>
      </c>
      <c r="I166" s="199"/>
      <c r="J166" s="195"/>
      <c r="K166" s="195"/>
      <c r="L166" s="200"/>
      <c r="M166" s="201"/>
      <c r="N166" s="202"/>
      <c r="O166" s="202"/>
      <c r="P166" s="202"/>
      <c r="Q166" s="202"/>
      <c r="R166" s="202"/>
      <c r="S166" s="202"/>
      <c r="T166" s="203"/>
      <c r="AT166" s="204" t="s">
        <v>388</v>
      </c>
      <c r="AU166" s="204" t="s">
        <v>82</v>
      </c>
      <c r="AV166" s="13" t="s">
        <v>79</v>
      </c>
      <c r="AW166" s="13" t="s">
        <v>33</v>
      </c>
      <c r="AX166" s="13" t="s">
        <v>72</v>
      </c>
      <c r="AY166" s="204" t="s">
        <v>380</v>
      </c>
    </row>
    <row r="167" spans="1:65" s="14" customFormat="1" ht="11.25">
      <c r="B167" s="205"/>
      <c r="C167" s="206"/>
      <c r="D167" s="196" t="s">
        <v>388</v>
      </c>
      <c r="E167" s="207" t="s">
        <v>19</v>
      </c>
      <c r="F167" s="208" t="s">
        <v>476</v>
      </c>
      <c r="G167" s="206"/>
      <c r="H167" s="209">
        <v>30.100999999999999</v>
      </c>
      <c r="I167" s="210"/>
      <c r="J167" s="206"/>
      <c r="K167" s="206"/>
      <c r="L167" s="211"/>
      <c r="M167" s="212"/>
      <c r="N167" s="213"/>
      <c r="O167" s="213"/>
      <c r="P167" s="213"/>
      <c r="Q167" s="213"/>
      <c r="R167" s="213"/>
      <c r="S167" s="213"/>
      <c r="T167" s="214"/>
      <c r="AT167" s="215" t="s">
        <v>388</v>
      </c>
      <c r="AU167" s="215" t="s">
        <v>82</v>
      </c>
      <c r="AV167" s="14" t="s">
        <v>82</v>
      </c>
      <c r="AW167" s="14" t="s">
        <v>33</v>
      </c>
      <c r="AX167" s="14" t="s">
        <v>79</v>
      </c>
      <c r="AY167" s="215" t="s">
        <v>380</v>
      </c>
    </row>
    <row r="168" spans="1:65" s="2" customFormat="1" ht="21.75" customHeight="1">
      <c r="A168" s="36"/>
      <c r="B168" s="37"/>
      <c r="C168" s="181" t="s">
        <v>477</v>
      </c>
      <c r="D168" s="181" t="s">
        <v>382</v>
      </c>
      <c r="E168" s="182" t="s">
        <v>478</v>
      </c>
      <c r="F168" s="183" t="s">
        <v>479</v>
      </c>
      <c r="G168" s="184" t="s">
        <v>385</v>
      </c>
      <c r="H168" s="185">
        <v>276.99700000000001</v>
      </c>
      <c r="I168" s="186"/>
      <c r="J168" s="187">
        <f>ROUND(I168*H168,2)</f>
        <v>0</v>
      </c>
      <c r="K168" s="183" t="s">
        <v>399</v>
      </c>
      <c r="L168" s="41"/>
      <c r="M168" s="188" t="s">
        <v>19</v>
      </c>
      <c r="N168" s="189" t="s">
        <v>43</v>
      </c>
      <c r="O168" s="66"/>
      <c r="P168" s="190">
        <f>O168*H168</f>
        <v>0</v>
      </c>
      <c r="Q168" s="190">
        <v>2.4532922039999998</v>
      </c>
      <c r="R168" s="190">
        <f>Q168*H168</f>
        <v>679.55458063138803</v>
      </c>
      <c r="S168" s="190">
        <v>0</v>
      </c>
      <c r="T168" s="191">
        <f>S168*H168</f>
        <v>0</v>
      </c>
      <c r="U168" s="36"/>
      <c r="V168" s="36"/>
      <c r="W168" s="36"/>
      <c r="X168" s="36"/>
      <c r="Y168" s="36"/>
      <c r="Z168" s="36"/>
      <c r="AA168" s="36"/>
      <c r="AB168" s="36"/>
      <c r="AC168" s="36"/>
      <c r="AD168" s="36"/>
      <c r="AE168" s="36"/>
      <c r="AR168" s="192" t="s">
        <v>386</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386</v>
      </c>
      <c r="BM168" s="192" t="s">
        <v>480</v>
      </c>
    </row>
    <row r="169" spans="1:65" s="14" customFormat="1" ht="11.25">
      <c r="B169" s="205"/>
      <c r="C169" s="206"/>
      <c r="D169" s="196" t="s">
        <v>388</v>
      </c>
      <c r="E169" s="207" t="s">
        <v>19</v>
      </c>
      <c r="F169" s="208" t="s">
        <v>481</v>
      </c>
      <c r="G169" s="206"/>
      <c r="H169" s="209">
        <v>276.99700000000001</v>
      </c>
      <c r="I169" s="210"/>
      <c r="J169" s="206"/>
      <c r="K169" s="206"/>
      <c r="L169" s="211"/>
      <c r="M169" s="212"/>
      <c r="N169" s="213"/>
      <c r="O169" s="213"/>
      <c r="P169" s="213"/>
      <c r="Q169" s="213"/>
      <c r="R169" s="213"/>
      <c r="S169" s="213"/>
      <c r="T169" s="214"/>
      <c r="AT169" s="215" t="s">
        <v>388</v>
      </c>
      <c r="AU169" s="215" t="s">
        <v>82</v>
      </c>
      <c r="AV169" s="14" t="s">
        <v>82</v>
      </c>
      <c r="AW169" s="14" t="s">
        <v>33</v>
      </c>
      <c r="AX169" s="14" t="s">
        <v>79</v>
      </c>
      <c r="AY169" s="215" t="s">
        <v>380</v>
      </c>
    </row>
    <row r="170" spans="1:65" s="2" customFormat="1" ht="16.5" customHeight="1">
      <c r="A170" s="36"/>
      <c r="B170" s="37"/>
      <c r="C170" s="181" t="s">
        <v>284</v>
      </c>
      <c r="D170" s="181" t="s">
        <v>382</v>
      </c>
      <c r="E170" s="182" t="s">
        <v>482</v>
      </c>
      <c r="F170" s="183" t="s">
        <v>483</v>
      </c>
      <c r="G170" s="184" t="s">
        <v>398</v>
      </c>
      <c r="H170" s="185">
        <v>45.22</v>
      </c>
      <c r="I170" s="186"/>
      <c r="J170" s="187">
        <f>ROUND(I170*H170,2)</f>
        <v>0</v>
      </c>
      <c r="K170" s="183" t="s">
        <v>399</v>
      </c>
      <c r="L170" s="41"/>
      <c r="M170" s="188" t="s">
        <v>19</v>
      </c>
      <c r="N170" s="189" t="s">
        <v>43</v>
      </c>
      <c r="O170" s="66"/>
      <c r="P170" s="190">
        <f>O170*H170</f>
        <v>0</v>
      </c>
      <c r="Q170" s="190">
        <v>2.4719E-3</v>
      </c>
      <c r="R170" s="190">
        <f>Q170*H170</f>
        <v>0.111779318</v>
      </c>
      <c r="S170" s="190">
        <v>0</v>
      </c>
      <c r="T170" s="191">
        <f>S170*H170</f>
        <v>0</v>
      </c>
      <c r="U170" s="36"/>
      <c r="V170" s="36"/>
      <c r="W170" s="36"/>
      <c r="X170" s="36"/>
      <c r="Y170" s="36"/>
      <c r="Z170" s="36"/>
      <c r="AA170" s="36"/>
      <c r="AB170" s="36"/>
      <c r="AC170" s="36"/>
      <c r="AD170" s="36"/>
      <c r="AE170" s="36"/>
      <c r="AR170" s="192" t="s">
        <v>386</v>
      </c>
      <c r="AT170" s="192" t="s">
        <v>382</v>
      </c>
      <c r="AU170" s="192" t="s">
        <v>82</v>
      </c>
      <c r="AY170" s="19" t="s">
        <v>380</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386</v>
      </c>
      <c r="BM170" s="192" t="s">
        <v>484</v>
      </c>
    </row>
    <row r="171" spans="1:65" s="14" customFormat="1" ht="11.25">
      <c r="B171" s="205"/>
      <c r="C171" s="206"/>
      <c r="D171" s="196" t="s">
        <v>388</v>
      </c>
      <c r="E171" s="207" t="s">
        <v>19</v>
      </c>
      <c r="F171" s="208" t="s">
        <v>485</v>
      </c>
      <c r="G171" s="206"/>
      <c r="H171" s="209">
        <v>45.22</v>
      </c>
      <c r="I171" s="210"/>
      <c r="J171" s="206"/>
      <c r="K171" s="206"/>
      <c r="L171" s="211"/>
      <c r="M171" s="212"/>
      <c r="N171" s="213"/>
      <c r="O171" s="213"/>
      <c r="P171" s="213"/>
      <c r="Q171" s="213"/>
      <c r="R171" s="213"/>
      <c r="S171" s="213"/>
      <c r="T171" s="214"/>
      <c r="AT171" s="215" t="s">
        <v>388</v>
      </c>
      <c r="AU171" s="215" t="s">
        <v>82</v>
      </c>
      <c r="AV171" s="14" t="s">
        <v>82</v>
      </c>
      <c r="AW171" s="14" t="s">
        <v>33</v>
      </c>
      <c r="AX171" s="14" t="s">
        <v>79</v>
      </c>
      <c r="AY171" s="215" t="s">
        <v>380</v>
      </c>
    </row>
    <row r="172" spans="1:65" s="2" customFormat="1" ht="16.5" customHeight="1">
      <c r="A172" s="36"/>
      <c r="B172" s="37"/>
      <c r="C172" s="181" t="s">
        <v>486</v>
      </c>
      <c r="D172" s="181" t="s">
        <v>382</v>
      </c>
      <c r="E172" s="182" t="s">
        <v>487</v>
      </c>
      <c r="F172" s="183" t="s">
        <v>488</v>
      </c>
      <c r="G172" s="184" t="s">
        <v>398</v>
      </c>
      <c r="H172" s="185">
        <v>45.22</v>
      </c>
      <c r="I172" s="186"/>
      <c r="J172" s="187">
        <f>ROUND(I172*H172,2)</f>
        <v>0</v>
      </c>
      <c r="K172" s="183" t="s">
        <v>399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386</v>
      </c>
      <c r="AT172" s="192" t="s">
        <v>382</v>
      </c>
      <c r="AU172" s="192" t="s">
        <v>82</v>
      </c>
      <c r="AY172" s="19" t="s">
        <v>380</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386</v>
      </c>
      <c r="BM172" s="192" t="s">
        <v>489</v>
      </c>
    </row>
    <row r="173" spans="1:65" s="2" customFormat="1" ht="16.5" customHeight="1">
      <c r="A173" s="36"/>
      <c r="B173" s="37"/>
      <c r="C173" s="181" t="s">
        <v>7</v>
      </c>
      <c r="D173" s="181" t="s">
        <v>382</v>
      </c>
      <c r="E173" s="182" t="s">
        <v>490</v>
      </c>
      <c r="F173" s="183" t="s">
        <v>491</v>
      </c>
      <c r="G173" s="184" t="s">
        <v>437</v>
      </c>
      <c r="H173" s="185">
        <v>45.704999999999998</v>
      </c>
      <c r="I173" s="186"/>
      <c r="J173" s="187">
        <f>ROUND(I173*H173,2)</f>
        <v>0</v>
      </c>
      <c r="K173" s="183" t="s">
        <v>399</v>
      </c>
      <c r="L173" s="41"/>
      <c r="M173" s="188" t="s">
        <v>19</v>
      </c>
      <c r="N173" s="189" t="s">
        <v>43</v>
      </c>
      <c r="O173" s="66"/>
      <c r="P173" s="190">
        <f>O173*H173</f>
        <v>0</v>
      </c>
      <c r="Q173" s="190">
        <v>1.06017026</v>
      </c>
      <c r="R173" s="190">
        <f>Q173*H173</f>
        <v>48.455081733299998</v>
      </c>
      <c r="S173" s="190">
        <v>0</v>
      </c>
      <c r="T173" s="191">
        <f>S173*H173</f>
        <v>0</v>
      </c>
      <c r="U173" s="36"/>
      <c r="V173" s="36"/>
      <c r="W173" s="36"/>
      <c r="X173" s="36"/>
      <c r="Y173" s="36"/>
      <c r="Z173" s="36"/>
      <c r="AA173" s="36"/>
      <c r="AB173" s="36"/>
      <c r="AC173" s="36"/>
      <c r="AD173" s="36"/>
      <c r="AE173" s="36"/>
      <c r="AR173" s="192" t="s">
        <v>386</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386</v>
      </c>
      <c r="BM173" s="192" t="s">
        <v>492</v>
      </c>
    </row>
    <row r="174" spans="1:65" s="13" customFormat="1" ht="11.25">
      <c r="B174" s="194"/>
      <c r="C174" s="195"/>
      <c r="D174" s="196" t="s">
        <v>388</v>
      </c>
      <c r="E174" s="197" t="s">
        <v>19</v>
      </c>
      <c r="F174" s="198" t="s">
        <v>493</v>
      </c>
      <c r="G174" s="195"/>
      <c r="H174" s="197" t="s">
        <v>19</v>
      </c>
      <c r="I174" s="199"/>
      <c r="J174" s="195"/>
      <c r="K174" s="195"/>
      <c r="L174" s="200"/>
      <c r="M174" s="201"/>
      <c r="N174" s="202"/>
      <c r="O174" s="202"/>
      <c r="P174" s="202"/>
      <c r="Q174" s="202"/>
      <c r="R174" s="202"/>
      <c r="S174" s="202"/>
      <c r="T174" s="203"/>
      <c r="AT174" s="204" t="s">
        <v>388</v>
      </c>
      <c r="AU174" s="204" t="s">
        <v>82</v>
      </c>
      <c r="AV174" s="13" t="s">
        <v>79</v>
      </c>
      <c r="AW174" s="13" t="s">
        <v>33</v>
      </c>
      <c r="AX174" s="13" t="s">
        <v>72</v>
      </c>
      <c r="AY174" s="204" t="s">
        <v>380</v>
      </c>
    </row>
    <row r="175" spans="1:65" s="14" customFormat="1" ht="11.25">
      <c r="B175" s="205"/>
      <c r="C175" s="206"/>
      <c r="D175" s="196" t="s">
        <v>388</v>
      </c>
      <c r="E175" s="207" t="s">
        <v>19</v>
      </c>
      <c r="F175" s="208" t="s">
        <v>494</v>
      </c>
      <c r="G175" s="206"/>
      <c r="H175" s="209">
        <v>45.704999999999998</v>
      </c>
      <c r="I175" s="210"/>
      <c r="J175" s="206"/>
      <c r="K175" s="206"/>
      <c r="L175" s="211"/>
      <c r="M175" s="212"/>
      <c r="N175" s="213"/>
      <c r="O175" s="213"/>
      <c r="P175" s="213"/>
      <c r="Q175" s="213"/>
      <c r="R175" s="213"/>
      <c r="S175" s="213"/>
      <c r="T175" s="214"/>
      <c r="AT175" s="215" t="s">
        <v>388</v>
      </c>
      <c r="AU175" s="215" t="s">
        <v>82</v>
      </c>
      <c r="AV175" s="14" t="s">
        <v>82</v>
      </c>
      <c r="AW175" s="14" t="s">
        <v>33</v>
      </c>
      <c r="AX175" s="14" t="s">
        <v>79</v>
      </c>
      <c r="AY175" s="215" t="s">
        <v>380</v>
      </c>
    </row>
    <row r="176" spans="1:65" s="2" customFormat="1" ht="21.75" customHeight="1">
      <c r="A176" s="36"/>
      <c r="B176" s="37"/>
      <c r="C176" s="181" t="s">
        <v>495</v>
      </c>
      <c r="D176" s="181" t="s">
        <v>382</v>
      </c>
      <c r="E176" s="182" t="s">
        <v>496</v>
      </c>
      <c r="F176" s="183" t="s">
        <v>497</v>
      </c>
      <c r="G176" s="184" t="s">
        <v>385</v>
      </c>
      <c r="H176" s="185">
        <v>30.404</v>
      </c>
      <c r="I176" s="186"/>
      <c r="J176" s="187">
        <f>ROUND(I176*H176,2)</f>
        <v>0</v>
      </c>
      <c r="K176" s="183" t="s">
        <v>399</v>
      </c>
      <c r="L176" s="41"/>
      <c r="M176" s="188" t="s">
        <v>19</v>
      </c>
      <c r="N176" s="189" t="s">
        <v>43</v>
      </c>
      <c r="O176" s="66"/>
      <c r="P176" s="190">
        <f>O176*H176</f>
        <v>0</v>
      </c>
      <c r="Q176" s="190">
        <v>2.4532922039999998</v>
      </c>
      <c r="R176" s="190">
        <f>Q176*H176</f>
        <v>74.589896170415997</v>
      </c>
      <c r="S176" s="190">
        <v>0</v>
      </c>
      <c r="T176" s="191">
        <f>S176*H176</f>
        <v>0</v>
      </c>
      <c r="U176" s="36"/>
      <c r="V176" s="36"/>
      <c r="W176" s="36"/>
      <c r="X176" s="36"/>
      <c r="Y176" s="36"/>
      <c r="Z176" s="36"/>
      <c r="AA176" s="36"/>
      <c r="AB176" s="36"/>
      <c r="AC176" s="36"/>
      <c r="AD176" s="36"/>
      <c r="AE176" s="36"/>
      <c r="AR176" s="192" t="s">
        <v>386</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386</v>
      </c>
      <c r="BM176" s="192" t="s">
        <v>498</v>
      </c>
    </row>
    <row r="177" spans="1:65" s="14" customFormat="1" ht="11.25">
      <c r="B177" s="205"/>
      <c r="C177" s="206"/>
      <c r="D177" s="196" t="s">
        <v>388</v>
      </c>
      <c r="E177" s="207" t="s">
        <v>19</v>
      </c>
      <c r="F177" s="208" t="s">
        <v>499</v>
      </c>
      <c r="G177" s="206"/>
      <c r="H177" s="209">
        <v>30.404</v>
      </c>
      <c r="I177" s="210"/>
      <c r="J177" s="206"/>
      <c r="K177" s="206"/>
      <c r="L177" s="211"/>
      <c r="M177" s="212"/>
      <c r="N177" s="213"/>
      <c r="O177" s="213"/>
      <c r="P177" s="213"/>
      <c r="Q177" s="213"/>
      <c r="R177" s="213"/>
      <c r="S177" s="213"/>
      <c r="T177" s="214"/>
      <c r="AT177" s="215" t="s">
        <v>388</v>
      </c>
      <c r="AU177" s="215" t="s">
        <v>82</v>
      </c>
      <c r="AV177" s="14" t="s">
        <v>82</v>
      </c>
      <c r="AW177" s="14" t="s">
        <v>33</v>
      </c>
      <c r="AX177" s="14" t="s">
        <v>79</v>
      </c>
      <c r="AY177" s="215" t="s">
        <v>380</v>
      </c>
    </row>
    <row r="178" spans="1:65" s="2" customFormat="1" ht="16.5" customHeight="1">
      <c r="A178" s="36"/>
      <c r="B178" s="37"/>
      <c r="C178" s="181" t="s">
        <v>500</v>
      </c>
      <c r="D178" s="181" t="s">
        <v>382</v>
      </c>
      <c r="E178" s="182" t="s">
        <v>501</v>
      </c>
      <c r="F178" s="183" t="s">
        <v>502</v>
      </c>
      <c r="G178" s="184" t="s">
        <v>398</v>
      </c>
      <c r="H178" s="185">
        <v>152.02000000000001</v>
      </c>
      <c r="I178" s="186"/>
      <c r="J178" s="187">
        <f>ROUND(I178*H178,2)</f>
        <v>0</v>
      </c>
      <c r="K178" s="183" t="s">
        <v>399</v>
      </c>
      <c r="L178" s="41"/>
      <c r="M178" s="188" t="s">
        <v>19</v>
      </c>
      <c r="N178" s="189" t="s">
        <v>43</v>
      </c>
      <c r="O178" s="66"/>
      <c r="P178" s="190">
        <f>O178*H178</f>
        <v>0</v>
      </c>
      <c r="Q178" s="190">
        <v>2.6919000000000001E-3</v>
      </c>
      <c r="R178" s="190">
        <f>Q178*H178</f>
        <v>0.40922263800000003</v>
      </c>
      <c r="S178" s="190">
        <v>0</v>
      </c>
      <c r="T178" s="191">
        <f>S178*H178</f>
        <v>0</v>
      </c>
      <c r="U178" s="36"/>
      <c r="V178" s="36"/>
      <c r="W178" s="36"/>
      <c r="X178" s="36"/>
      <c r="Y178" s="36"/>
      <c r="Z178" s="36"/>
      <c r="AA178" s="36"/>
      <c r="AB178" s="36"/>
      <c r="AC178" s="36"/>
      <c r="AD178" s="36"/>
      <c r="AE178" s="36"/>
      <c r="AR178" s="192" t="s">
        <v>386</v>
      </c>
      <c r="AT178" s="192" t="s">
        <v>382</v>
      </c>
      <c r="AU178" s="192" t="s">
        <v>82</v>
      </c>
      <c r="AY178" s="19" t="s">
        <v>380</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386</v>
      </c>
      <c r="BM178" s="192" t="s">
        <v>503</v>
      </c>
    </row>
    <row r="179" spans="1:65" s="14" customFormat="1" ht="11.25">
      <c r="B179" s="205"/>
      <c r="C179" s="206"/>
      <c r="D179" s="196" t="s">
        <v>388</v>
      </c>
      <c r="E179" s="207" t="s">
        <v>19</v>
      </c>
      <c r="F179" s="208" t="s">
        <v>504</v>
      </c>
      <c r="G179" s="206"/>
      <c r="H179" s="209">
        <v>152.02000000000001</v>
      </c>
      <c r="I179" s="210"/>
      <c r="J179" s="206"/>
      <c r="K179" s="206"/>
      <c r="L179" s="211"/>
      <c r="M179" s="212"/>
      <c r="N179" s="213"/>
      <c r="O179" s="213"/>
      <c r="P179" s="213"/>
      <c r="Q179" s="213"/>
      <c r="R179" s="213"/>
      <c r="S179" s="213"/>
      <c r="T179" s="214"/>
      <c r="AT179" s="215" t="s">
        <v>388</v>
      </c>
      <c r="AU179" s="215" t="s">
        <v>82</v>
      </c>
      <c r="AV179" s="14" t="s">
        <v>82</v>
      </c>
      <c r="AW179" s="14" t="s">
        <v>33</v>
      </c>
      <c r="AX179" s="14" t="s">
        <v>79</v>
      </c>
      <c r="AY179" s="215" t="s">
        <v>380</v>
      </c>
    </row>
    <row r="180" spans="1:65" s="2" customFormat="1" ht="16.5" customHeight="1">
      <c r="A180" s="36"/>
      <c r="B180" s="37"/>
      <c r="C180" s="181" t="s">
        <v>505</v>
      </c>
      <c r="D180" s="181" t="s">
        <v>382</v>
      </c>
      <c r="E180" s="182" t="s">
        <v>506</v>
      </c>
      <c r="F180" s="183" t="s">
        <v>507</v>
      </c>
      <c r="G180" s="184" t="s">
        <v>398</v>
      </c>
      <c r="H180" s="185">
        <v>152.02000000000001</v>
      </c>
      <c r="I180" s="186"/>
      <c r="J180" s="187">
        <f>ROUND(I180*H180,2)</f>
        <v>0</v>
      </c>
      <c r="K180" s="183" t="s">
        <v>399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386</v>
      </c>
      <c r="AT180" s="192" t="s">
        <v>382</v>
      </c>
      <c r="AU180" s="192" t="s">
        <v>82</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386</v>
      </c>
      <c r="BM180" s="192" t="s">
        <v>508</v>
      </c>
    </row>
    <row r="181" spans="1:65" s="2" customFormat="1" ht="16.5" customHeight="1">
      <c r="A181" s="36"/>
      <c r="B181" s="37"/>
      <c r="C181" s="181" t="s">
        <v>509</v>
      </c>
      <c r="D181" s="181" t="s">
        <v>382</v>
      </c>
      <c r="E181" s="182" t="s">
        <v>510</v>
      </c>
      <c r="F181" s="183" t="s">
        <v>511</v>
      </c>
      <c r="G181" s="184" t="s">
        <v>437</v>
      </c>
      <c r="H181" s="185">
        <v>2.5840000000000001</v>
      </c>
      <c r="I181" s="186"/>
      <c r="J181" s="187">
        <f>ROUND(I181*H181,2)</f>
        <v>0</v>
      </c>
      <c r="K181" s="183" t="s">
        <v>399</v>
      </c>
      <c r="L181" s="41"/>
      <c r="M181" s="188" t="s">
        <v>19</v>
      </c>
      <c r="N181" s="189" t="s">
        <v>43</v>
      </c>
      <c r="O181" s="66"/>
      <c r="P181" s="190">
        <f>O181*H181</f>
        <v>0</v>
      </c>
      <c r="Q181" s="190">
        <v>1.06017026</v>
      </c>
      <c r="R181" s="190">
        <f>Q181*H181</f>
        <v>2.7394799518400004</v>
      </c>
      <c r="S181" s="190">
        <v>0</v>
      </c>
      <c r="T181" s="191">
        <f>S181*H181</f>
        <v>0</v>
      </c>
      <c r="U181" s="36"/>
      <c r="V181" s="36"/>
      <c r="W181" s="36"/>
      <c r="X181" s="36"/>
      <c r="Y181" s="36"/>
      <c r="Z181" s="36"/>
      <c r="AA181" s="36"/>
      <c r="AB181" s="36"/>
      <c r="AC181" s="36"/>
      <c r="AD181" s="36"/>
      <c r="AE181" s="36"/>
      <c r="AR181" s="192" t="s">
        <v>386</v>
      </c>
      <c r="AT181" s="192" t="s">
        <v>382</v>
      </c>
      <c r="AU181" s="192" t="s">
        <v>82</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386</v>
      </c>
      <c r="BM181" s="192" t="s">
        <v>512</v>
      </c>
    </row>
    <row r="182" spans="1:65" s="13" customFormat="1" ht="11.25">
      <c r="B182" s="194"/>
      <c r="C182" s="195"/>
      <c r="D182" s="196" t="s">
        <v>388</v>
      </c>
      <c r="E182" s="197" t="s">
        <v>19</v>
      </c>
      <c r="F182" s="198" t="s">
        <v>493</v>
      </c>
      <c r="G182" s="195"/>
      <c r="H182" s="197" t="s">
        <v>19</v>
      </c>
      <c r="I182" s="199"/>
      <c r="J182" s="195"/>
      <c r="K182" s="195"/>
      <c r="L182" s="200"/>
      <c r="M182" s="201"/>
      <c r="N182" s="202"/>
      <c r="O182" s="202"/>
      <c r="P182" s="202"/>
      <c r="Q182" s="202"/>
      <c r="R182" s="202"/>
      <c r="S182" s="202"/>
      <c r="T182" s="203"/>
      <c r="AT182" s="204" t="s">
        <v>388</v>
      </c>
      <c r="AU182" s="204" t="s">
        <v>82</v>
      </c>
      <c r="AV182" s="13" t="s">
        <v>79</v>
      </c>
      <c r="AW182" s="13" t="s">
        <v>33</v>
      </c>
      <c r="AX182" s="13" t="s">
        <v>72</v>
      </c>
      <c r="AY182" s="204" t="s">
        <v>380</v>
      </c>
    </row>
    <row r="183" spans="1:65" s="14" customFormat="1" ht="11.25">
      <c r="B183" s="205"/>
      <c r="C183" s="206"/>
      <c r="D183" s="196" t="s">
        <v>388</v>
      </c>
      <c r="E183" s="207" t="s">
        <v>19</v>
      </c>
      <c r="F183" s="208" t="s">
        <v>513</v>
      </c>
      <c r="G183" s="206"/>
      <c r="H183" s="209">
        <v>2.5840000000000001</v>
      </c>
      <c r="I183" s="210"/>
      <c r="J183" s="206"/>
      <c r="K183" s="206"/>
      <c r="L183" s="211"/>
      <c r="M183" s="212"/>
      <c r="N183" s="213"/>
      <c r="O183" s="213"/>
      <c r="P183" s="213"/>
      <c r="Q183" s="213"/>
      <c r="R183" s="213"/>
      <c r="S183" s="213"/>
      <c r="T183" s="214"/>
      <c r="AT183" s="215" t="s">
        <v>388</v>
      </c>
      <c r="AU183" s="215" t="s">
        <v>82</v>
      </c>
      <c r="AV183" s="14" t="s">
        <v>82</v>
      </c>
      <c r="AW183" s="14" t="s">
        <v>33</v>
      </c>
      <c r="AX183" s="14" t="s">
        <v>79</v>
      </c>
      <c r="AY183" s="215" t="s">
        <v>380</v>
      </c>
    </row>
    <row r="184" spans="1:65" s="2" customFormat="1" ht="21.75" customHeight="1">
      <c r="A184" s="36"/>
      <c r="B184" s="37"/>
      <c r="C184" s="181" t="s">
        <v>514</v>
      </c>
      <c r="D184" s="181" t="s">
        <v>382</v>
      </c>
      <c r="E184" s="182" t="s">
        <v>515</v>
      </c>
      <c r="F184" s="183" t="s">
        <v>516</v>
      </c>
      <c r="G184" s="184" t="s">
        <v>385</v>
      </c>
      <c r="H184" s="185">
        <v>1.272</v>
      </c>
      <c r="I184" s="186"/>
      <c r="J184" s="187">
        <f>ROUND(I184*H184,2)</f>
        <v>0</v>
      </c>
      <c r="K184" s="183" t="s">
        <v>399</v>
      </c>
      <c r="L184" s="41"/>
      <c r="M184" s="188" t="s">
        <v>19</v>
      </c>
      <c r="N184" s="189" t="s">
        <v>43</v>
      </c>
      <c r="O184" s="66"/>
      <c r="P184" s="190">
        <f>O184*H184</f>
        <v>0</v>
      </c>
      <c r="Q184" s="190">
        <v>2.4532922039999998</v>
      </c>
      <c r="R184" s="190">
        <f>Q184*H184</f>
        <v>3.120587683488</v>
      </c>
      <c r="S184" s="190">
        <v>0</v>
      </c>
      <c r="T184" s="191">
        <f>S184*H184</f>
        <v>0</v>
      </c>
      <c r="U184" s="36"/>
      <c r="V184" s="36"/>
      <c r="W184" s="36"/>
      <c r="X184" s="36"/>
      <c r="Y184" s="36"/>
      <c r="Z184" s="36"/>
      <c r="AA184" s="36"/>
      <c r="AB184" s="36"/>
      <c r="AC184" s="36"/>
      <c r="AD184" s="36"/>
      <c r="AE184" s="36"/>
      <c r="AR184" s="192" t="s">
        <v>386</v>
      </c>
      <c r="AT184" s="192" t="s">
        <v>382</v>
      </c>
      <c r="AU184" s="192" t="s">
        <v>82</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386</v>
      </c>
      <c r="BM184" s="192" t="s">
        <v>517</v>
      </c>
    </row>
    <row r="185" spans="1:65" s="13" customFormat="1" ht="11.25">
      <c r="B185" s="194"/>
      <c r="C185" s="195"/>
      <c r="D185" s="196" t="s">
        <v>388</v>
      </c>
      <c r="E185" s="197" t="s">
        <v>19</v>
      </c>
      <c r="F185" s="198" t="s">
        <v>518</v>
      </c>
      <c r="G185" s="195"/>
      <c r="H185" s="197" t="s">
        <v>19</v>
      </c>
      <c r="I185" s="199"/>
      <c r="J185" s="195"/>
      <c r="K185" s="195"/>
      <c r="L185" s="200"/>
      <c r="M185" s="201"/>
      <c r="N185" s="202"/>
      <c r="O185" s="202"/>
      <c r="P185" s="202"/>
      <c r="Q185" s="202"/>
      <c r="R185" s="202"/>
      <c r="S185" s="202"/>
      <c r="T185" s="203"/>
      <c r="AT185" s="204" t="s">
        <v>388</v>
      </c>
      <c r="AU185" s="204" t="s">
        <v>82</v>
      </c>
      <c r="AV185" s="13" t="s">
        <v>79</v>
      </c>
      <c r="AW185" s="13" t="s">
        <v>33</v>
      </c>
      <c r="AX185" s="13" t="s">
        <v>72</v>
      </c>
      <c r="AY185" s="204" t="s">
        <v>380</v>
      </c>
    </row>
    <row r="186" spans="1:65" s="14" customFormat="1" ht="11.25">
      <c r="B186" s="205"/>
      <c r="C186" s="206"/>
      <c r="D186" s="196" t="s">
        <v>388</v>
      </c>
      <c r="E186" s="207" t="s">
        <v>19</v>
      </c>
      <c r="F186" s="208" t="s">
        <v>519</v>
      </c>
      <c r="G186" s="206"/>
      <c r="H186" s="209">
        <v>1.272</v>
      </c>
      <c r="I186" s="210"/>
      <c r="J186" s="206"/>
      <c r="K186" s="206"/>
      <c r="L186" s="211"/>
      <c r="M186" s="212"/>
      <c r="N186" s="213"/>
      <c r="O186" s="213"/>
      <c r="P186" s="213"/>
      <c r="Q186" s="213"/>
      <c r="R186" s="213"/>
      <c r="S186" s="213"/>
      <c r="T186" s="214"/>
      <c r="AT186" s="215" t="s">
        <v>388</v>
      </c>
      <c r="AU186" s="215" t="s">
        <v>82</v>
      </c>
      <c r="AV186" s="14" t="s">
        <v>82</v>
      </c>
      <c r="AW186" s="14" t="s">
        <v>33</v>
      </c>
      <c r="AX186" s="14" t="s">
        <v>79</v>
      </c>
      <c r="AY186" s="215" t="s">
        <v>380</v>
      </c>
    </row>
    <row r="187" spans="1:65" s="2" customFormat="1" ht="16.5" customHeight="1">
      <c r="A187" s="36"/>
      <c r="B187" s="37"/>
      <c r="C187" s="181" t="s">
        <v>520</v>
      </c>
      <c r="D187" s="181" t="s">
        <v>382</v>
      </c>
      <c r="E187" s="182" t="s">
        <v>521</v>
      </c>
      <c r="F187" s="183" t="s">
        <v>522</v>
      </c>
      <c r="G187" s="184" t="s">
        <v>398</v>
      </c>
      <c r="H187" s="185">
        <v>5.6520000000000001</v>
      </c>
      <c r="I187" s="186"/>
      <c r="J187" s="187">
        <f>ROUND(I187*H187,2)</f>
        <v>0</v>
      </c>
      <c r="K187" s="183" t="s">
        <v>399</v>
      </c>
      <c r="L187" s="41"/>
      <c r="M187" s="188" t="s">
        <v>19</v>
      </c>
      <c r="N187" s="189" t="s">
        <v>43</v>
      </c>
      <c r="O187" s="66"/>
      <c r="P187" s="190">
        <f>O187*H187</f>
        <v>0</v>
      </c>
      <c r="Q187" s="190">
        <v>2.6369000000000002E-3</v>
      </c>
      <c r="R187" s="190">
        <f>Q187*H187</f>
        <v>1.4903758800000002E-2</v>
      </c>
      <c r="S187" s="190">
        <v>0</v>
      </c>
      <c r="T187" s="191">
        <f>S187*H187</f>
        <v>0</v>
      </c>
      <c r="U187" s="36"/>
      <c r="V187" s="36"/>
      <c r="W187" s="36"/>
      <c r="X187" s="36"/>
      <c r="Y187" s="36"/>
      <c r="Z187" s="36"/>
      <c r="AA187" s="36"/>
      <c r="AB187" s="36"/>
      <c r="AC187" s="36"/>
      <c r="AD187" s="36"/>
      <c r="AE187" s="36"/>
      <c r="AR187" s="192" t="s">
        <v>386</v>
      </c>
      <c r="AT187" s="192" t="s">
        <v>382</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386</v>
      </c>
      <c r="BM187" s="192" t="s">
        <v>523</v>
      </c>
    </row>
    <row r="188" spans="1:65" s="14" customFormat="1" ht="11.25">
      <c r="B188" s="205"/>
      <c r="C188" s="206"/>
      <c r="D188" s="196" t="s">
        <v>388</v>
      </c>
      <c r="E188" s="207" t="s">
        <v>19</v>
      </c>
      <c r="F188" s="208" t="s">
        <v>524</v>
      </c>
      <c r="G188" s="206"/>
      <c r="H188" s="209">
        <v>5.6520000000000001</v>
      </c>
      <c r="I188" s="210"/>
      <c r="J188" s="206"/>
      <c r="K188" s="206"/>
      <c r="L188" s="211"/>
      <c r="M188" s="212"/>
      <c r="N188" s="213"/>
      <c r="O188" s="213"/>
      <c r="P188" s="213"/>
      <c r="Q188" s="213"/>
      <c r="R188" s="213"/>
      <c r="S188" s="213"/>
      <c r="T188" s="214"/>
      <c r="AT188" s="215" t="s">
        <v>388</v>
      </c>
      <c r="AU188" s="215" t="s">
        <v>82</v>
      </c>
      <c r="AV188" s="14" t="s">
        <v>82</v>
      </c>
      <c r="AW188" s="14" t="s">
        <v>33</v>
      </c>
      <c r="AX188" s="14" t="s">
        <v>79</v>
      </c>
      <c r="AY188" s="215" t="s">
        <v>380</v>
      </c>
    </row>
    <row r="189" spans="1:65" s="2" customFormat="1" ht="16.5" customHeight="1">
      <c r="A189" s="36"/>
      <c r="B189" s="37"/>
      <c r="C189" s="181" t="s">
        <v>525</v>
      </c>
      <c r="D189" s="181" t="s">
        <v>382</v>
      </c>
      <c r="E189" s="182" t="s">
        <v>526</v>
      </c>
      <c r="F189" s="183" t="s">
        <v>527</v>
      </c>
      <c r="G189" s="184" t="s">
        <v>398</v>
      </c>
      <c r="H189" s="185">
        <v>5.6520000000000001</v>
      </c>
      <c r="I189" s="186"/>
      <c r="J189" s="187">
        <f>ROUND(I189*H189,2)</f>
        <v>0</v>
      </c>
      <c r="K189" s="183" t="s">
        <v>399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386</v>
      </c>
      <c r="AT189" s="192" t="s">
        <v>382</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386</v>
      </c>
      <c r="BM189" s="192" t="s">
        <v>528</v>
      </c>
    </row>
    <row r="190" spans="1:65" s="2" customFormat="1" ht="16.5" customHeight="1">
      <c r="A190" s="36"/>
      <c r="B190" s="37"/>
      <c r="C190" s="181" t="s">
        <v>529</v>
      </c>
      <c r="D190" s="181" t="s">
        <v>382</v>
      </c>
      <c r="E190" s="182" t="s">
        <v>530</v>
      </c>
      <c r="F190" s="183" t="s">
        <v>531</v>
      </c>
      <c r="G190" s="184" t="s">
        <v>437</v>
      </c>
      <c r="H190" s="185">
        <v>0.10199999999999999</v>
      </c>
      <c r="I190" s="186"/>
      <c r="J190" s="187">
        <f>ROUND(I190*H190,2)</f>
        <v>0</v>
      </c>
      <c r="K190" s="183" t="s">
        <v>399</v>
      </c>
      <c r="L190" s="41"/>
      <c r="M190" s="188" t="s">
        <v>19</v>
      </c>
      <c r="N190" s="189" t="s">
        <v>43</v>
      </c>
      <c r="O190" s="66"/>
      <c r="P190" s="190">
        <f>O190*H190</f>
        <v>0</v>
      </c>
      <c r="Q190" s="190">
        <v>1.06017026</v>
      </c>
      <c r="R190" s="190">
        <f>Q190*H190</f>
        <v>0.10813736652</v>
      </c>
      <c r="S190" s="190">
        <v>0</v>
      </c>
      <c r="T190" s="191">
        <f>S190*H190</f>
        <v>0</v>
      </c>
      <c r="U190" s="36"/>
      <c r="V190" s="36"/>
      <c r="W190" s="36"/>
      <c r="X190" s="36"/>
      <c r="Y190" s="36"/>
      <c r="Z190" s="36"/>
      <c r="AA190" s="36"/>
      <c r="AB190" s="36"/>
      <c r="AC190" s="36"/>
      <c r="AD190" s="36"/>
      <c r="AE190" s="36"/>
      <c r="AR190" s="192" t="s">
        <v>386</v>
      </c>
      <c r="AT190" s="192" t="s">
        <v>382</v>
      </c>
      <c r="AU190" s="192" t="s">
        <v>82</v>
      </c>
      <c r="AY190" s="19" t="s">
        <v>380</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386</v>
      </c>
      <c r="BM190" s="192" t="s">
        <v>532</v>
      </c>
    </row>
    <row r="191" spans="1:65" s="13" customFormat="1" ht="11.25">
      <c r="B191" s="194"/>
      <c r="C191" s="195"/>
      <c r="D191" s="196" t="s">
        <v>388</v>
      </c>
      <c r="E191" s="197" t="s">
        <v>19</v>
      </c>
      <c r="F191" s="198" t="s">
        <v>475</v>
      </c>
      <c r="G191" s="195"/>
      <c r="H191" s="197" t="s">
        <v>19</v>
      </c>
      <c r="I191" s="199"/>
      <c r="J191" s="195"/>
      <c r="K191" s="195"/>
      <c r="L191" s="200"/>
      <c r="M191" s="201"/>
      <c r="N191" s="202"/>
      <c r="O191" s="202"/>
      <c r="P191" s="202"/>
      <c r="Q191" s="202"/>
      <c r="R191" s="202"/>
      <c r="S191" s="202"/>
      <c r="T191" s="203"/>
      <c r="AT191" s="204" t="s">
        <v>388</v>
      </c>
      <c r="AU191" s="204" t="s">
        <v>82</v>
      </c>
      <c r="AV191" s="13" t="s">
        <v>79</v>
      </c>
      <c r="AW191" s="13" t="s">
        <v>33</v>
      </c>
      <c r="AX191" s="13" t="s">
        <v>72</v>
      </c>
      <c r="AY191" s="204" t="s">
        <v>380</v>
      </c>
    </row>
    <row r="192" spans="1:65" s="14" customFormat="1" ht="11.25">
      <c r="B192" s="205"/>
      <c r="C192" s="206"/>
      <c r="D192" s="196" t="s">
        <v>388</v>
      </c>
      <c r="E192" s="207" t="s">
        <v>19</v>
      </c>
      <c r="F192" s="208" t="s">
        <v>533</v>
      </c>
      <c r="G192" s="206"/>
      <c r="H192" s="209">
        <v>0.10199999999999999</v>
      </c>
      <c r="I192" s="210"/>
      <c r="J192" s="206"/>
      <c r="K192" s="206"/>
      <c r="L192" s="211"/>
      <c r="M192" s="212"/>
      <c r="N192" s="213"/>
      <c r="O192" s="213"/>
      <c r="P192" s="213"/>
      <c r="Q192" s="213"/>
      <c r="R192" s="213"/>
      <c r="S192" s="213"/>
      <c r="T192" s="214"/>
      <c r="AT192" s="215" t="s">
        <v>388</v>
      </c>
      <c r="AU192" s="215" t="s">
        <v>82</v>
      </c>
      <c r="AV192" s="14" t="s">
        <v>82</v>
      </c>
      <c r="AW192" s="14" t="s">
        <v>33</v>
      </c>
      <c r="AX192" s="14" t="s">
        <v>79</v>
      </c>
      <c r="AY192" s="215" t="s">
        <v>380</v>
      </c>
    </row>
    <row r="193" spans="1:65" s="2" customFormat="1" ht="24.2" customHeight="1">
      <c r="A193" s="36"/>
      <c r="B193" s="37"/>
      <c r="C193" s="181" t="s">
        <v>534</v>
      </c>
      <c r="D193" s="181" t="s">
        <v>382</v>
      </c>
      <c r="E193" s="182" t="s">
        <v>535</v>
      </c>
      <c r="F193" s="183" t="s">
        <v>536</v>
      </c>
      <c r="G193" s="184" t="s">
        <v>398</v>
      </c>
      <c r="H193" s="185">
        <v>31.303999999999998</v>
      </c>
      <c r="I193" s="186"/>
      <c r="J193" s="187">
        <f>ROUND(I193*H193,2)</f>
        <v>0</v>
      </c>
      <c r="K193" s="183" t="s">
        <v>399</v>
      </c>
      <c r="L193" s="41"/>
      <c r="M193" s="188" t="s">
        <v>19</v>
      </c>
      <c r="N193" s="189" t="s">
        <v>43</v>
      </c>
      <c r="O193" s="66"/>
      <c r="P193" s="190">
        <f>O193*H193</f>
        <v>0</v>
      </c>
      <c r="Q193" s="190">
        <v>0.34661987999999999</v>
      </c>
      <c r="R193" s="190">
        <f>Q193*H193</f>
        <v>10.85058872352</v>
      </c>
      <c r="S193" s="190">
        <v>0</v>
      </c>
      <c r="T193" s="191">
        <f>S193*H193</f>
        <v>0</v>
      </c>
      <c r="U193" s="36"/>
      <c r="V193" s="36"/>
      <c r="W193" s="36"/>
      <c r="X193" s="36"/>
      <c r="Y193" s="36"/>
      <c r="Z193" s="36"/>
      <c r="AA193" s="36"/>
      <c r="AB193" s="36"/>
      <c r="AC193" s="36"/>
      <c r="AD193" s="36"/>
      <c r="AE193" s="36"/>
      <c r="AR193" s="192" t="s">
        <v>386</v>
      </c>
      <c r="AT193" s="192" t="s">
        <v>382</v>
      </c>
      <c r="AU193" s="192" t="s">
        <v>82</v>
      </c>
      <c r="AY193" s="19" t="s">
        <v>380</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386</v>
      </c>
      <c r="BM193" s="192" t="s">
        <v>537</v>
      </c>
    </row>
    <row r="194" spans="1:65" s="13" customFormat="1" ht="11.25">
      <c r="B194" s="194"/>
      <c r="C194" s="195"/>
      <c r="D194" s="196" t="s">
        <v>388</v>
      </c>
      <c r="E194" s="197" t="s">
        <v>19</v>
      </c>
      <c r="F194" s="198" t="s">
        <v>538</v>
      </c>
      <c r="G194" s="195"/>
      <c r="H194" s="197" t="s">
        <v>19</v>
      </c>
      <c r="I194" s="199"/>
      <c r="J194" s="195"/>
      <c r="K194" s="195"/>
      <c r="L194" s="200"/>
      <c r="M194" s="201"/>
      <c r="N194" s="202"/>
      <c r="O194" s="202"/>
      <c r="P194" s="202"/>
      <c r="Q194" s="202"/>
      <c r="R194" s="202"/>
      <c r="S194" s="202"/>
      <c r="T194" s="203"/>
      <c r="AT194" s="204" t="s">
        <v>388</v>
      </c>
      <c r="AU194" s="204" t="s">
        <v>82</v>
      </c>
      <c r="AV194" s="13" t="s">
        <v>79</v>
      </c>
      <c r="AW194" s="13" t="s">
        <v>33</v>
      </c>
      <c r="AX194" s="13" t="s">
        <v>72</v>
      </c>
      <c r="AY194" s="204" t="s">
        <v>380</v>
      </c>
    </row>
    <row r="195" spans="1:65" s="14" customFormat="1" ht="11.25">
      <c r="B195" s="205"/>
      <c r="C195" s="206"/>
      <c r="D195" s="196" t="s">
        <v>388</v>
      </c>
      <c r="E195" s="207" t="s">
        <v>19</v>
      </c>
      <c r="F195" s="208" t="s">
        <v>539</v>
      </c>
      <c r="G195" s="206"/>
      <c r="H195" s="209">
        <v>31.303999999999998</v>
      </c>
      <c r="I195" s="210"/>
      <c r="J195" s="206"/>
      <c r="K195" s="206"/>
      <c r="L195" s="211"/>
      <c r="M195" s="212"/>
      <c r="N195" s="213"/>
      <c r="O195" s="213"/>
      <c r="P195" s="213"/>
      <c r="Q195" s="213"/>
      <c r="R195" s="213"/>
      <c r="S195" s="213"/>
      <c r="T195" s="214"/>
      <c r="AT195" s="215" t="s">
        <v>388</v>
      </c>
      <c r="AU195" s="215" t="s">
        <v>82</v>
      </c>
      <c r="AV195" s="14" t="s">
        <v>82</v>
      </c>
      <c r="AW195" s="14" t="s">
        <v>33</v>
      </c>
      <c r="AX195" s="14" t="s">
        <v>79</v>
      </c>
      <c r="AY195" s="215" t="s">
        <v>380</v>
      </c>
    </row>
    <row r="196" spans="1:65" s="2" customFormat="1" ht="16.5" customHeight="1">
      <c r="A196" s="36"/>
      <c r="B196" s="37"/>
      <c r="C196" s="181" t="s">
        <v>540</v>
      </c>
      <c r="D196" s="181" t="s">
        <v>382</v>
      </c>
      <c r="E196" s="182" t="s">
        <v>541</v>
      </c>
      <c r="F196" s="183" t="s">
        <v>542</v>
      </c>
      <c r="G196" s="184" t="s">
        <v>385</v>
      </c>
      <c r="H196" s="185">
        <v>6.859</v>
      </c>
      <c r="I196" s="186"/>
      <c r="J196" s="187">
        <f>ROUND(I196*H196,2)</f>
        <v>0</v>
      </c>
      <c r="K196" s="183" t="s">
        <v>399</v>
      </c>
      <c r="L196" s="41"/>
      <c r="M196" s="188" t="s">
        <v>19</v>
      </c>
      <c r="N196" s="189" t="s">
        <v>43</v>
      </c>
      <c r="O196" s="66"/>
      <c r="P196" s="190">
        <f>O196*H196</f>
        <v>0</v>
      </c>
      <c r="Q196" s="190">
        <v>2.4532922039999998</v>
      </c>
      <c r="R196" s="190">
        <f>Q196*H196</f>
        <v>16.827131227235999</v>
      </c>
      <c r="S196" s="190">
        <v>0</v>
      </c>
      <c r="T196" s="191">
        <f>S196*H196</f>
        <v>0</v>
      </c>
      <c r="U196" s="36"/>
      <c r="V196" s="36"/>
      <c r="W196" s="36"/>
      <c r="X196" s="36"/>
      <c r="Y196" s="36"/>
      <c r="Z196" s="36"/>
      <c r="AA196" s="36"/>
      <c r="AB196" s="36"/>
      <c r="AC196" s="36"/>
      <c r="AD196" s="36"/>
      <c r="AE196" s="36"/>
      <c r="AR196" s="192" t="s">
        <v>386</v>
      </c>
      <c r="AT196" s="192" t="s">
        <v>382</v>
      </c>
      <c r="AU196" s="192" t="s">
        <v>82</v>
      </c>
      <c r="AY196" s="19" t="s">
        <v>380</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386</v>
      </c>
      <c r="BM196" s="192" t="s">
        <v>543</v>
      </c>
    </row>
    <row r="197" spans="1:65" s="14" customFormat="1" ht="11.25">
      <c r="B197" s="205"/>
      <c r="C197" s="206"/>
      <c r="D197" s="196" t="s">
        <v>388</v>
      </c>
      <c r="E197" s="207" t="s">
        <v>19</v>
      </c>
      <c r="F197" s="208" t="s">
        <v>544</v>
      </c>
      <c r="G197" s="206"/>
      <c r="H197" s="209">
        <v>4.0949999999999998</v>
      </c>
      <c r="I197" s="210"/>
      <c r="J197" s="206"/>
      <c r="K197" s="206"/>
      <c r="L197" s="211"/>
      <c r="M197" s="212"/>
      <c r="N197" s="213"/>
      <c r="O197" s="213"/>
      <c r="P197" s="213"/>
      <c r="Q197" s="213"/>
      <c r="R197" s="213"/>
      <c r="S197" s="213"/>
      <c r="T197" s="214"/>
      <c r="AT197" s="215" t="s">
        <v>388</v>
      </c>
      <c r="AU197" s="215" t="s">
        <v>82</v>
      </c>
      <c r="AV197" s="14" t="s">
        <v>82</v>
      </c>
      <c r="AW197" s="14" t="s">
        <v>33</v>
      </c>
      <c r="AX197" s="14" t="s">
        <v>72</v>
      </c>
      <c r="AY197" s="215" t="s">
        <v>380</v>
      </c>
    </row>
    <row r="198" spans="1:65" s="14" customFormat="1" ht="11.25">
      <c r="B198" s="205"/>
      <c r="C198" s="206"/>
      <c r="D198" s="196" t="s">
        <v>388</v>
      </c>
      <c r="E198" s="207" t="s">
        <v>19</v>
      </c>
      <c r="F198" s="208" t="s">
        <v>545</v>
      </c>
      <c r="G198" s="206"/>
      <c r="H198" s="209">
        <v>2.7639999999999998</v>
      </c>
      <c r="I198" s="210"/>
      <c r="J198" s="206"/>
      <c r="K198" s="206"/>
      <c r="L198" s="211"/>
      <c r="M198" s="212"/>
      <c r="N198" s="213"/>
      <c r="O198" s="213"/>
      <c r="P198" s="213"/>
      <c r="Q198" s="213"/>
      <c r="R198" s="213"/>
      <c r="S198" s="213"/>
      <c r="T198" s="214"/>
      <c r="AT198" s="215" t="s">
        <v>388</v>
      </c>
      <c r="AU198" s="215" t="s">
        <v>82</v>
      </c>
      <c r="AV198" s="14" t="s">
        <v>82</v>
      </c>
      <c r="AW198" s="14" t="s">
        <v>33</v>
      </c>
      <c r="AX198" s="14" t="s">
        <v>72</v>
      </c>
      <c r="AY198" s="215" t="s">
        <v>380</v>
      </c>
    </row>
    <row r="199" spans="1:65" s="15" customFormat="1" ht="11.25">
      <c r="B199" s="216"/>
      <c r="C199" s="217"/>
      <c r="D199" s="196" t="s">
        <v>388</v>
      </c>
      <c r="E199" s="218" t="s">
        <v>19</v>
      </c>
      <c r="F199" s="219" t="s">
        <v>419</v>
      </c>
      <c r="G199" s="217"/>
      <c r="H199" s="220">
        <v>6.859</v>
      </c>
      <c r="I199" s="221"/>
      <c r="J199" s="217"/>
      <c r="K199" s="217"/>
      <c r="L199" s="222"/>
      <c r="M199" s="223"/>
      <c r="N199" s="224"/>
      <c r="O199" s="224"/>
      <c r="P199" s="224"/>
      <c r="Q199" s="224"/>
      <c r="R199" s="224"/>
      <c r="S199" s="224"/>
      <c r="T199" s="225"/>
      <c r="AT199" s="226" t="s">
        <v>388</v>
      </c>
      <c r="AU199" s="226" t="s">
        <v>82</v>
      </c>
      <c r="AV199" s="15" t="s">
        <v>386</v>
      </c>
      <c r="AW199" s="15" t="s">
        <v>33</v>
      </c>
      <c r="AX199" s="15" t="s">
        <v>79</v>
      </c>
      <c r="AY199" s="226" t="s">
        <v>380</v>
      </c>
    </row>
    <row r="200" spans="1:65" s="2" customFormat="1" ht="16.5" customHeight="1">
      <c r="A200" s="36"/>
      <c r="B200" s="37"/>
      <c r="C200" s="181" t="s">
        <v>546</v>
      </c>
      <c r="D200" s="181" t="s">
        <v>382</v>
      </c>
      <c r="E200" s="182" t="s">
        <v>547</v>
      </c>
      <c r="F200" s="183" t="s">
        <v>548</v>
      </c>
      <c r="G200" s="184" t="s">
        <v>398</v>
      </c>
      <c r="H200" s="185">
        <v>44.52</v>
      </c>
      <c r="I200" s="186"/>
      <c r="J200" s="187">
        <f>ROUND(I200*H200,2)</f>
        <v>0</v>
      </c>
      <c r="K200" s="183" t="s">
        <v>399</v>
      </c>
      <c r="L200" s="41"/>
      <c r="M200" s="188" t="s">
        <v>19</v>
      </c>
      <c r="N200" s="189" t="s">
        <v>43</v>
      </c>
      <c r="O200" s="66"/>
      <c r="P200" s="190">
        <f>O200*H200</f>
        <v>0</v>
      </c>
      <c r="Q200" s="190">
        <v>2.7469E-3</v>
      </c>
      <c r="R200" s="190">
        <f>Q200*H200</f>
        <v>0.122291988</v>
      </c>
      <c r="S200" s="190">
        <v>0</v>
      </c>
      <c r="T200" s="191">
        <f>S200*H200</f>
        <v>0</v>
      </c>
      <c r="U200" s="36"/>
      <c r="V200" s="36"/>
      <c r="W200" s="36"/>
      <c r="X200" s="36"/>
      <c r="Y200" s="36"/>
      <c r="Z200" s="36"/>
      <c r="AA200" s="36"/>
      <c r="AB200" s="36"/>
      <c r="AC200" s="36"/>
      <c r="AD200" s="36"/>
      <c r="AE200" s="36"/>
      <c r="AR200" s="192" t="s">
        <v>386</v>
      </c>
      <c r="AT200" s="192" t="s">
        <v>382</v>
      </c>
      <c r="AU200" s="192" t="s">
        <v>82</v>
      </c>
      <c r="AY200" s="19" t="s">
        <v>380</v>
      </c>
      <c r="BE200" s="193">
        <f>IF(N200="základní",J200,0)</f>
        <v>0</v>
      </c>
      <c r="BF200" s="193">
        <f>IF(N200="snížená",J200,0)</f>
        <v>0</v>
      </c>
      <c r="BG200" s="193">
        <f>IF(N200="zákl. přenesená",J200,0)</f>
        <v>0</v>
      </c>
      <c r="BH200" s="193">
        <f>IF(N200="sníž. přenesená",J200,0)</f>
        <v>0</v>
      </c>
      <c r="BI200" s="193">
        <f>IF(N200="nulová",J200,0)</f>
        <v>0</v>
      </c>
      <c r="BJ200" s="19" t="s">
        <v>79</v>
      </c>
      <c r="BK200" s="193">
        <f>ROUND(I200*H200,2)</f>
        <v>0</v>
      </c>
      <c r="BL200" s="19" t="s">
        <v>386</v>
      </c>
      <c r="BM200" s="192" t="s">
        <v>549</v>
      </c>
    </row>
    <row r="201" spans="1:65" s="14" customFormat="1" ht="11.25">
      <c r="B201" s="205"/>
      <c r="C201" s="206"/>
      <c r="D201" s="196" t="s">
        <v>388</v>
      </c>
      <c r="E201" s="207" t="s">
        <v>19</v>
      </c>
      <c r="F201" s="208" t="s">
        <v>550</v>
      </c>
      <c r="G201" s="206"/>
      <c r="H201" s="209">
        <v>32.76</v>
      </c>
      <c r="I201" s="210"/>
      <c r="J201" s="206"/>
      <c r="K201" s="206"/>
      <c r="L201" s="211"/>
      <c r="M201" s="212"/>
      <c r="N201" s="213"/>
      <c r="O201" s="213"/>
      <c r="P201" s="213"/>
      <c r="Q201" s="213"/>
      <c r="R201" s="213"/>
      <c r="S201" s="213"/>
      <c r="T201" s="214"/>
      <c r="AT201" s="215" t="s">
        <v>388</v>
      </c>
      <c r="AU201" s="215" t="s">
        <v>82</v>
      </c>
      <c r="AV201" s="14" t="s">
        <v>82</v>
      </c>
      <c r="AW201" s="14" t="s">
        <v>33</v>
      </c>
      <c r="AX201" s="14" t="s">
        <v>72</v>
      </c>
      <c r="AY201" s="215" t="s">
        <v>380</v>
      </c>
    </row>
    <row r="202" spans="1:65" s="14" customFormat="1" ht="11.25">
      <c r="B202" s="205"/>
      <c r="C202" s="206"/>
      <c r="D202" s="196" t="s">
        <v>388</v>
      </c>
      <c r="E202" s="207" t="s">
        <v>19</v>
      </c>
      <c r="F202" s="208" t="s">
        <v>551</v>
      </c>
      <c r="G202" s="206"/>
      <c r="H202" s="209">
        <v>11.76</v>
      </c>
      <c r="I202" s="210"/>
      <c r="J202" s="206"/>
      <c r="K202" s="206"/>
      <c r="L202" s="211"/>
      <c r="M202" s="212"/>
      <c r="N202" s="213"/>
      <c r="O202" s="213"/>
      <c r="P202" s="213"/>
      <c r="Q202" s="213"/>
      <c r="R202" s="213"/>
      <c r="S202" s="213"/>
      <c r="T202" s="214"/>
      <c r="AT202" s="215" t="s">
        <v>388</v>
      </c>
      <c r="AU202" s="215" t="s">
        <v>82</v>
      </c>
      <c r="AV202" s="14" t="s">
        <v>82</v>
      </c>
      <c r="AW202" s="14" t="s">
        <v>33</v>
      </c>
      <c r="AX202" s="14" t="s">
        <v>72</v>
      </c>
      <c r="AY202" s="215" t="s">
        <v>380</v>
      </c>
    </row>
    <row r="203" spans="1:65" s="15" customFormat="1" ht="11.25">
      <c r="B203" s="216"/>
      <c r="C203" s="217"/>
      <c r="D203" s="196" t="s">
        <v>388</v>
      </c>
      <c r="E203" s="218" t="s">
        <v>19</v>
      </c>
      <c r="F203" s="219" t="s">
        <v>419</v>
      </c>
      <c r="G203" s="217"/>
      <c r="H203" s="220">
        <v>44.52</v>
      </c>
      <c r="I203" s="221"/>
      <c r="J203" s="217"/>
      <c r="K203" s="217"/>
      <c r="L203" s="222"/>
      <c r="M203" s="223"/>
      <c r="N203" s="224"/>
      <c r="O203" s="224"/>
      <c r="P203" s="224"/>
      <c r="Q203" s="224"/>
      <c r="R203" s="224"/>
      <c r="S203" s="224"/>
      <c r="T203" s="225"/>
      <c r="AT203" s="226" t="s">
        <v>388</v>
      </c>
      <c r="AU203" s="226" t="s">
        <v>82</v>
      </c>
      <c r="AV203" s="15" t="s">
        <v>386</v>
      </c>
      <c r="AW203" s="15" t="s">
        <v>33</v>
      </c>
      <c r="AX203" s="15" t="s">
        <v>79</v>
      </c>
      <c r="AY203" s="226" t="s">
        <v>380</v>
      </c>
    </row>
    <row r="204" spans="1:65" s="2" customFormat="1" ht="16.5" customHeight="1">
      <c r="A204" s="36"/>
      <c r="B204" s="37"/>
      <c r="C204" s="181" t="s">
        <v>552</v>
      </c>
      <c r="D204" s="181" t="s">
        <v>382</v>
      </c>
      <c r="E204" s="182" t="s">
        <v>553</v>
      </c>
      <c r="F204" s="183" t="s">
        <v>554</v>
      </c>
      <c r="G204" s="184" t="s">
        <v>398</v>
      </c>
      <c r="H204" s="185">
        <v>44.52</v>
      </c>
      <c r="I204" s="186"/>
      <c r="J204" s="187">
        <f>ROUND(I204*H204,2)</f>
        <v>0</v>
      </c>
      <c r="K204" s="183" t="s">
        <v>399</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386</v>
      </c>
      <c r="AT204" s="192" t="s">
        <v>382</v>
      </c>
      <c r="AU204" s="192" t="s">
        <v>82</v>
      </c>
      <c r="AY204" s="19" t="s">
        <v>380</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386</v>
      </c>
      <c r="BM204" s="192" t="s">
        <v>555</v>
      </c>
    </row>
    <row r="205" spans="1:65" s="2" customFormat="1" ht="33" customHeight="1">
      <c r="A205" s="36"/>
      <c r="B205" s="37"/>
      <c r="C205" s="181" t="s">
        <v>556</v>
      </c>
      <c r="D205" s="181" t="s">
        <v>382</v>
      </c>
      <c r="E205" s="182" t="s">
        <v>557</v>
      </c>
      <c r="F205" s="183" t="s">
        <v>558</v>
      </c>
      <c r="G205" s="184" t="s">
        <v>437</v>
      </c>
      <c r="H205" s="185">
        <v>0.92700000000000005</v>
      </c>
      <c r="I205" s="186"/>
      <c r="J205" s="187">
        <f>ROUND(I205*H205,2)</f>
        <v>0</v>
      </c>
      <c r="K205" s="183" t="s">
        <v>399</v>
      </c>
      <c r="L205" s="41"/>
      <c r="M205" s="188" t="s">
        <v>19</v>
      </c>
      <c r="N205" s="189" t="s">
        <v>43</v>
      </c>
      <c r="O205" s="66"/>
      <c r="P205" s="190">
        <f>O205*H205</f>
        <v>0</v>
      </c>
      <c r="Q205" s="190">
        <v>1.0587076</v>
      </c>
      <c r="R205" s="190">
        <f>Q205*H205</f>
        <v>0.98142194520000003</v>
      </c>
      <c r="S205" s="190">
        <v>0</v>
      </c>
      <c r="T205" s="191">
        <f>S205*H205</f>
        <v>0</v>
      </c>
      <c r="U205" s="36"/>
      <c r="V205" s="36"/>
      <c r="W205" s="36"/>
      <c r="X205" s="36"/>
      <c r="Y205" s="36"/>
      <c r="Z205" s="36"/>
      <c r="AA205" s="36"/>
      <c r="AB205" s="36"/>
      <c r="AC205" s="36"/>
      <c r="AD205" s="36"/>
      <c r="AE205" s="36"/>
      <c r="AR205" s="192" t="s">
        <v>386</v>
      </c>
      <c r="AT205" s="192" t="s">
        <v>382</v>
      </c>
      <c r="AU205" s="192" t="s">
        <v>82</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386</v>
      </c>
      <c r="BM205" s="192" t="s">
        <v>559</v>
      </c>
    </row>
    <row r="206" spans="1:65" s="13" customFormat="1" ht="11.25">
      <c r="B206" s="194"/>
      <c r="C206" s="195"/>
      <c r="D206" s="196" t="s">
        <v>388</v>
      </c>
      <c r="E206" s="197" t="s">
        <v>19</v>
      </c>
      <c r="F206" s="198" t="s">
        <v>560</v>
      </c>
      <c r="G206" s="195"/>
      <c r="H206" s="197" t="s">
        <v>19</v>
      </c>
      <c r="I206" s="199"/>
      <c r="J206" s="195"/>
      <c r="K206" s="195"/>
      <c r="L206" s="200"/>
      <c r="M206" s="201"/>
      <c r="N206" s="202"/>
      <c r="O206" s="202"/>
      <c r="P206" s="202"/>
      <c r="Q206" s="202"/>
      <c r="R206" s="202"/>
      <c r="S206" s="202"/>
      <c r="T206" s="203"/>
      <c r="AT206" s="204" t="s">
        <v>388</v>
      </c>
      <c r="AU206" s="204" t="s">
        <v>82</v>
      </c>
      <c r="AV206" s="13" t="s">
        <v>79</v>
      </c>
      <c r="AW206" s="13" t="s">
        <v>33</v>
      </c>
      <c r="AX206" s="13" t="s">
        <v>72</v>
      </c>
      <c r="AY206" s="204" t="s">
        <v>380</v>
      </c>
    </row>
    <row r="207" spans="1:65" s="14" customFormat="1" ht="11.25">
      <c r="B207" s="205"/>
      <c r="C207" s="206"/>
      <c r="D207" s="196" t="s">
        <v>388</v>
      </c>
      <c r="E207" s="207" t="s">
        <v>19</v>
      </c>
      <c r="F207" s="208" t="s">
        <v>561</v>
      </c>
      <c r="G207" s="206"/>
      <c r="H207" s="209">
        <v>0.61699999999999999</v>
      </c>
      <c r="I207" s="210"/>
      <c r="J207" s="206"/>
      <c r="K207" s="206"/>
      <c r="L207" s="211"/>
      <c r="M207" s="212"/>
      <c r="N207" s="213"/>
      <c r="O207" s="213"/>
      <c r="P207" s="213"/>
      <c r="Q207" s="213"/>
      <c r="R207" s="213"/>
      <c r="S207" s="213"/>
      <c r="T207" s="214"/>
      <c r="AT207" s="215" t="s">
        <v>388</v>
      </c>
      <c r="AU207" s="215" t="s">
        <v>82</v>
      </c>
      <c r="AV207" s="14" t="s">
        <v>82</v>
      </c>
      <c r="AW207" s="14" t="s">
        <v>33</v>
      </c>
      <c r="AX207" s="14" t="s">
        <v>72</v>
      </c>
      <c r="AY207" s="215" t="s">
        <v>380</v>
      </c>
    </row>
    <row r="208" spans="1:65" s="13" customFormat="1" ht="11.25">
      <c r="B208" s="194"/>
      <c r="C208" s="195"/>
      <c r="D208" s="196" t="s">
        <v>388</v>
      </c>
      <c r="E208" s="197" t="s">
        <v>19</v>
      </c>
      <c r="F208" s="198" t="s">
        <v>562</v>
      </c>
      <c r="G208" s="195"/>
      <c r="H208" s="197" t="s">
        <v>19</v>
      </c>
      <c r="I208" s="199"/>
      <c r="J208" s="195"/>
      <c r="K208" s="195"/>
      <c r="L208" s="200"/>
      <c r="M208" s="201"/>
      <c r="N208" s="202"/>
      <c r="O208" s="202"/>
      <c r="P208" s="202"/>
      <c r="Q208" s="202"/>
      <c r="R208" s="202"/>
      <c r="S208" s="202"/>
      <c r="T208" s="203"/>
      <c r="AT208" s="204" t="s">
        <v>388</v>
      </c>
      <c r="AU208" s="204" t="s">
        <v>82</v>
      </c>
      <c r="AV208" s="13" t="s">
        <v>79</v>
      </c>
      <c r="AW208" s="13" t="s">
        <v>33</v>
      </c>
      <c r="AX208" s="13" t="s">
        <v>72</v>
      </c>
      <c r="AY208" s="204" t="s">
        <v>380</v>
      </c>
    </row>
    <row r="209" spans="1:65" s="14" customFormat="1" ht="11.25">
      <c r="B209" s="205"/>
      <c r="C209" s="206"/>
      <c r="D209" s="196" t="s">
        <v>388</v>
      </c>
      <c r="E209" s="207" t="s">
        <v>19</v>
      </c>
      <c r="F209" s="208" t="s">
        <v>563</v>
      </c>
      <c r="G209" s="206"/>
      <c r="H209" s="209">
        <v>0.31</v>
      </c>
      <c r="I209" s="210"/>
      <c r="J209" s="206"/>
      <c r="K209" s="206"/>
      <c r="L209" s="211"/>
      <c r="M209" s="212"/>
      <c r="N209" s="213"/>
      <c r="O209" s="213"/>
      <c r="P209" s="213"/>
      <c r="Q209" s="213"/>
      <c r="R209" s="213"/>
      <c r="S209" s="213"/>
      <c r="T209" s="214"/>
      <c r="AT209" s="215" t="s">
        <v>388</v>
      </c>
      <c r="AU209" s="215" t="s">
        <v>82</v>
      </c>
      <c r="AV209" s="14" t="s">
        <v>82</v>
      </c>
      <c r="AW209" s="14" t="s">
        <v>33</v>
      </c>
      <c r="AX209" s="14" t="s">
        <v>72</v>
      </c>
      <c r="AY209" s="215" t="s">
        <v>380</v>
      </c>
    </row>
    <row r="210" spans="1:65" s="15" customFormat="1" ht="11.25">
      <c r="B210" s="216"/>
      <c r="C210" s="217"/>
      <c r="D210" s="196" t="s">
        <v>388</v>
      </c>
      <c r="E210" s="218" t="s">
        <v>19</v>
      </c>
      <c r="F210" s="219" t="s">
        <v>419</v>
      </c>
      <c r="G210" s="217"/>
      <c r="H210" s="220">
        <v>0.92700000000000005</v>
      </c>
      <c r="I210" s="221"/>
      <c r="J210" s="217"/>
      <c r="K210" s="217"/>
      <c r="L210" s="222"/>
      <c r="M210" s="223"/>
      <c r="N210" s="224"/>
      <c r="O210" s="224"/>
      <c r="P210" s="224"/>
      <c r="Q210" s="224"/>
      <c r="R210" s="224"/>
      <c r="S210" s="224"/>
      <c r="T210" s="225"/>
      <c r="AT210" s="226" t="s">
        <v>388</v>
      </c>
      <c r="AU210" s="226" t="s">
        <v>82</v>
      </c>
      <c r="AV210" s="15" t="s">
        <v>386</v>
      </c>
      <c r="AW210" s="15" t="s">
        <v>33</v>
      </c>
      <c r="AX210" s="15" t="s">
        <v>79</v>
      </c>
      <c r="AY210" s="226" t="s">
        <v>380</v>
      </c>
    </row>
    <row r="211" spans="1:65" s="12" customFormat="1" ht="22.9" customHeight="1">
      <c r="B211" s="165"/>
      <c r="C211" s="166"/>
      <c r="D211" s="167" t="s">
        <v>71</v>
      </c>
      <c r="E211" s="179" t="s">
        <v>99</v>
      </c>
      <c r="F211" s="179" t="s">
        <v>564</v>
      </c>
      <c r="G211" s="166"/>
      <c r="H211" s="166"/>
      <c r="I211" s="169"/>
      <c r="J211" s="180">
        <f>BK211</f>
        <v>0</v>
      </c>
      <c r="K211" s="166"/>
      <c r="L211" s="171"/>
      <c r="M211" s="172"/>
      <c r="N211" s="173"/>
      <c r="O211" s="173"/>
      <c r="P211" s="174">
        <f>SUM(P212:P469)</f>
        <v>0</v>
      </c>
      <c r="Q211" s="173"/>
      <c r="R211" s="174">
        <f>SUM(R212:R469)</f>
        <v>1711.2712933096964</v>
      </c>
      <c r="S211" s="173"/>
      <c r="T211" s="175">
        <f>SUM(T212:T469)</f>
        <v>0</v>
      </c>
      <c r="AR211" s="176" t="s">
        <v>79</v>
      </c>
      <c r="AT211" s="177" t="s">
        <v>71</v>
      </c>
      <c r="AU211" s="177" t="s">
        <v>79</v>
      </c>
      <c r="AY211" s="176" t="s">
        <v>380</v>
      </c>
      <c r="BK211" s="178">
        <f>SUM(BK212:BK469)</f>
        <v>0</v>
      </c>
    </row>
    <row r="212" spans="1:65" s="2" customFormat="1" ht="24.2" customHeight="1">
      <c r="A212" s="36"/>
      <c r="B212" s="37"/>
      <c r="C212" s="181" t="s">
        <v>565</v>
      </c>
      <c r="D212" s="181" t="s">
        <v>382</v>
      </c>
      <c r="E212" s="182" t="s">
        <v>566</v>
      </c>
      <c r="F212" s="183" t="s">
        <v>567</v>
      </c>
      <c r="G212" s="184" t="s">
        <v>398</v>
      </c>
      <c r="H212" s="185">
        <v>934.03099999999995</v>
      </c>
      <c r="I212" s="186"/>
      <c r="J212" s="187">
        <f>ROUND(I212*H212,2)</f>
        <v>0</v>
      </c>
      <c r="K212" s="183" t="s">
        <v>399</v>
      </c>
      <c r="L212" s="41"/>
      <c r="M212" s="188" t="s">
        <v>19</v>
      </c>
      <c r="N212" s="189" t="s">
        <v>43</v>
      </c>
      <c r="O212" s="66"/>
      <c r="P212" s="190">
        <f>O212*H212</f>
        <v>0</v>
      </c>
      <c r="Q212" s="190">
        <v>0.2514574</v>
      </c>
      <c r="R212" s="190">
        <f>Q212*H212</f>
        <v>234.8690067794</v>
      </c>
      <c r="S212" s="190">
        <v>0</v>
      </c>
      <c r="T212" s="191">
        <f>S212*H212</f>
        <v>0</v>
      </c>
      <c r="U212" s="36"/>
      <c r="V212" s="36"/>
      <c r="W212" s="36"/>
      <c r="X212" s="36"/>
      <c r="Y212" s="36"/>
      <c r="Z212" s="36"/>
      <c r="AA212" s="36"/>
      <c r="AB212" s="36"/>
      <c r="AC212" s="36"/>
      <c r="AD212" s="36"/>
      <c r="AE212" s="36"/>
      <c r="AR212" s="192" t="s">
        <v>386</v>
      </c>
      <c r="AT212" s="192" t="s">
        <v>382</v>
      </c>
      <c r="AU212" s="192" t="s">
        <v>82</v>
      </c>
      <c r="AY212" s="19" t="s">
        <v>380</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386</v>
      </c>
      <c r="BM212" s="192" t="s">
        <v>568</v>
      </c>
    </row>
    <row r="213" spans="1:65" s="13" customFormat="1" ht="11.25">
      <c r="B213" s="194"/>
      <c r="C213" s="195"/>
      <c r="D213" s="196" t="s">
        <v>388</v>
      </c>
      <c r="E213" s="197" t="s">
        <v>19</v>
      </c>
      <c r="F213" s="198" t="s">
        <v>569</v>
      </c>
      <c r="G213" s="195"/>
      <c r="H213" s="197" t="s">
        <v>19</v>
      </c>
      <c r="I213" s="199"/>
      <c r="J213" s="195"/>
      <c r="K213" s="195"/>
      <c r="L213" s="200"/>
      <c r="M213" s="201"/>
      <c r="N213" s="202"/>
      <c r="O213" s="202"/>
      <c r="P213" s="202"/>
      <c r="Q213" s="202"/>
      <c r="R213" s="202"/>
      <c r="S213" s="202"/>
      <c r="T213" s="203"/>
      <c r="AT213" s="204" t="s">
        <v>388</v>
      </c>
      <c r="AU213" s="204" t="s">
        <v>82</v>
      </c>
      <c r="AV213" s="13" t="s">
        <v>79</v>
      </c>
      <c r="AW213" s="13" t="s">
        <v>33</v>
      </c>
      <c r="AX213" s="13" t="s">
        <v>72</v>
      </c>
      <c r="AY213" s="204" t="s">
        <v>380</v>
      </c>
    </row>
    <row r="214" spans="1:65" s="14" customFormat="1" ht="11.25">
      <c r="B214" s="205"/>
      <c r="C214" s="206"/>
      <c r="D214" s="196" t="s">
        <v>388</v>
      </c>
      <c r="E214" s="207" t="s">
        <v>19</v>
      </c>
      <c r="F214" s="208" t="s">
        <v>570</v>
      </c>
      <c r="G214" s="206"/>
      <c r="H214" s="209">
        <v>292.58499999999998</v>
      </c>
      <c r="I214" s="210"/>
      <c r="J214" s="206"/>
      <c r="K214" s="206"/>
      <c r="L214" s="211"/>
      <c r="M214" s="212"/>
      <c r="N214" s="213"/>
      <c r="O214" s="213"/>
      <c r="P214" s="213"/>
      <c r="Q214" s="213"/>
      <c r="R214" s="213"/>
      <c r="S214" s="213"/>
      <c r="T214" s="214"/>
      <c r="AT214" s="215" t="s">
        <v>388</v>
      </c>
      <c r="AU214" s="215" t="s">
        <v>82</v>
      </c>
      <c r="AV214" s="14" t="s">
        <v>82</v>
      </c>
      <c r="AW214" s="14" t="s">
        <v>33</v>
      </c>
      <c r="AX214" s="14" t="s">
        <v>72</v>
      </c>
      <c r="AY214" s="215" t="s">
        <v>380</v>
      </c>
    </row>
    <row r="215" spans="1:65" s="14" customFormat="1" ht="11.25">
      <c r="B215" s="205"/>
      <c r="C215" s="206"/>
      <c r="D215" s="196" t="s">
        <v>388</v>
      </c>
      <c r="E215" s="207" t="s">
        <v>19</v>
      </c>
      <c r="F215" s="208" t="s">
        <v>571</v>
      </c>
      <c r="G215" s="206"/>
      <c r="H215" s="209">
        <v>-36.575000000000003</v>
      </c>
      <c r="I215" s="210"/>
      <c r="J215" s="206"/>
      <c r="K215" s="206"/>
      <c r="L215" s="211"/>
      <c r="M215" s="212"/>
      <c r="N215" s="213"/>
      <c r="O215" s="213"/>
      <c r="P215" s="213"/>
      <c r="Q215" s="213"/>
      <c r="R215" s="213"/>
      <c r="S215" s="213"/>
      <c r="T215" s="214"/>
      <c r="AT215" s="215" t="s">
        <v>388</v>
      </c>
      <c r="AU215" s="215" t="s">
        <v>82</v>
      </c>
      <c r="AV215" s="14" t="s">
        <v>82</v>
      </c>
      <c r="AW215" s="14" t="s">
        <v>33</v>
      </c>
      <c r="AX215" s="14" t="s">
        <v>72</v>
      </c>
      <c r="AY215" s="215" t="s">
        <v>380</v>
      </c>
    </row>
    <row r="216" spans="1:65" s="16" customFormat="1" ht="11.25">
      <c r="B216" s="237"/>
      <c r="C216" s="238"/>
      <c r="D216" s="196" t="s">
        <v>388</v>
      </c>
      <c r="E216" s="239" t="s">
        <v>19</v>
      </c>
      <c r="F216" s="240" t="s">
        <v>572</v>
      </c>
      <c r="G216" s="238"/>
      <c r="H216" s="241">
        <v>256.01</v>
      </c>
      <c r="I216" s="242"/>
      <c r="J216" s="238"/>
      <c r="K216" s="238"/>
      <c r="L216" s="243"/>
      <c r="M216" s="244"/>
      <c r="N216" s="245"/>
      <c r="O216" s="245"/>
      <c r="P216" s="245"/>
      <c r="Q216" s="245"/>
      <c r="R216" s="245"/>
      <c r="S216" s="245"/>
      <c r="T216" s="246"/>
      <c r="AT216" s="247" t="s">
        <v>388</v>
      </c>
      <c r="AU216" s="247" t="s">
        <v>82</v>
      </c>
      <c r="AV216" s="16" t="s">
        <v>99</v>
      </c>
      <c r="AW216" s="16" t="s">
        <v>33</v>
      </c>
      <c r="AX216" s="16" t="s">
        <v>72</v>
      </c>
      <c r="AY216" s="247" t="s">
        <v>380</v>
      </c>
    </row>
    <row r="217" spans="1:65" s="13" customFormat="1" ht="11.25">
      <c r="B217" s="194"/>
      <c r="C217" s="195"/>
      <c r="D217" s="196" t="s">
        <v>388</v>
      </c>
      <c r="E217" s="197" t="s">
        <v>19</v>
      </c>
      <c r="F217" s="198" t="s">
        <v>573</v>
      </c>
      <c r="G217" s="195"/>
      <c r="H217" s="197" t="s">
        <v>19</v>
      </c>
      <c r="I217" s="199"/>
      <c r="J217" s="195"/>
      <c r="K217" s="195"/>
      <c r="L217" s="200"/>
      <c r="M217" s="201"/>
      <c r="N217" s="202"/>
      <c r="O217" s="202"/>
      <c r="P217" s="202"/>
      <c r="Q217" s="202"/>
      <c r="R217" s="202"/>
      <c r="S217" s="202"/>
      <c r="T217" s="203"/>
      <c r="AT217" s="204" t="s">
        <v>388</v>
      </c>
      <c r="AU217" s="204" t="s">
        <v>82</v>
      </c>
      <c r="AV217" s="13" t="s">
        <v>79</v>
      </c>
      <c r="AW217" s="13" t="s">
        <v>33</v>
      </c>
      <c r="AX217" s="13" t="s">
        <v>72</v>
      </c>
      <c r="AY217" s="204" t="s">
        <v>380</v>
      </c>
    </row>
    <row r="218" spans="1:65" s="14" customFormat="1" ht="11.25">
      <c r="B218" s="205"/>
      <c r="C218" s="206"/>
      <c r="D218" s="196" t="s">
        <v>388</v>
      </c>
      <c r="E218" s="207" t="s">
        <v>19</v>
      </c>
      <c r="F218" s="208" t="s">
        <v>574</v>
      </c>
      <c r="G218" s="206"/>
      <c r="H218" s="209">
        <v>412.67099999999999</v>
      </c>
      <c r="I218" s="210"/>
      <c r="J218" s="206"/>
      <c r="K218" s="206"/>
      <c r="L218" s="211"/>
      <c r="M218" s="212"/>
      <c r="N218" s="213"/>
      <c r="O218" s="213"/>
      <c r="P218" s="213"/>
      <c r="Q218" s="213"/>
      <c r="R218" s="213"/>
      <c r="S218" s="213"/>
      <c r="T218" s="214"/>
      <c r="AT218" s="215" t="s">
        <v>388</v>
      </c>
      <c r="AU218" s="215" t="s">
        <v>82</v>
      </c>
      <c r="AV218" s="14" t="s">
        <v>82</v>
      </c>
      <c r="AW218" s="14" t="s">
        <v>33</v>
      </c>
      <c r="AX218" s="14" t="s">
        <v>72</v>
      </c>
      <c r="AY218" s="215" t="s">
        <v>380</v>
      </c>
    </row>
    <row r="219" spans="1:65" s="14" customFormat="1" ht="11.25">
      <c r="B219" s="205"/>
      <c r="C219" s="206"/>
      <c r="D219" s="196" t="s">
        <v>388</v>
      </c>
      <c r="E219" s="207" t="s">
        <v>19</v>
      </c>
      <c r="F219" s="208" t="s">
        <v>575</v>
      </c>
      <c r="G219" s="206"/>
      <c r="H219" s="209">
        <v>-49.414999999999999</v>
      </c>
      <c r="I219" s="210"/>
      <c r="J219" s="206"/>
      <c r="K219" s="206"/>
      <c r="L219" s="211"/>
      <c r="M219" s="212"/>
      <c r="N219" s="213"/>
      <c r="O219" s="213"/>
      <c r="P219" s="213"/>
      <c r="Q219" s="213"/>
      <c r="R219" s="213"/>
      <c r="S219" s="213"/>
      <c r="T219" s="214"/>
      <c r="AT219" s="215" t="s">
        <v>388</v>
      </c>
      <c r="AU219" s="215" t="s">
        <v>82</v>
      </c>
      <c r="AV219" s="14" t="s">
        <v>82</v>
      </c>
      <c r="AW219" s="14" t="s">
        <v>33</v>
      </c>
      <c r="AX219" s="14" t="s">
        <v>72</v>
      </c>
      <c r="AY219" s="215" t="s">
        <v>380</v>
      </c>
    </row>
    <row r="220" spans="1:65" s="16" customFormat="1" ht="11.25">
      <c r="B220" s="237"/>
      <c r="C220" s="238"/>
      <c r="D220" s="196" t="s">
        <v>388</v>
      </c>
      <c r="E220" s="239" t="s">
        <v>19</v>
      </c>
      <c r="F220" s="240" t="s">
        <v>572</v>
      </c>
      <c r="G220" s="238"/>
      <c r="H220" s="241">
        <v>363.25599999999997</v>
      </c>
      <c r="I220" s="242"/>
      <c r="J220" s="238"/>
      <c r="K220" s="238"/>
      <c r="L220" s="243"/>
      <c r="M220" s="244"/>
      <c r="N220" s="245"/>
      <c r="O220" s="245"/>
      <c r="P220" s="245"/>
      <c r="Q220" s="245"/>
      <c r="R220" s="245"/>
      <c r="S220" s="245"/>
      <c r="T220" s="246"/>
      <c r="AT220" s="247" t="s">
        <v>388</v>
      </c>
      <c r="AU220" s="247" t="s">
        <v>82</v>
      </c>
      <c r="AV220" s="16" t="s">
        <v>99</v>
      </c>
      <c r="AW220" s="16" t="s">
        <v>33</v>
      </c>
      <c r="AX220" s="16" t="s">
        <v>72</v>
      </c>
      <c r="AY220" s="247" t="s">
        <v>380</v>
      </c>
    </row>
    <row r="221" spans="1:65" s="13" customFormat="1" ht="11.25">
      <c r="B221" s="194"/>
      <c r="C221" s="195"/>
      <c r="D221" s="196" t="s">
        <v>388</v>
      </c>
      <c r="E221" s="197" t="s">
        <v>19</v>
      </c>
      <c r="F221" s="198" t="s">
        <v>576</v>
      </c>
      <c r="G221" s="195"/>
      <c r="H221" s="197" t="s">
        <v>19</v>
      </c>
      <c r="I221" s="199"/>
      <c r="J221" s="195"/>
      <c r="K221" s="195"/>
      <c r="L221" s="200"/>
      <c r="M221" s="201"/>
      <c r="N221" s="202"/>
      <c r="O221" s="202"/>
      <c r="P221" s="202"/>
      <c r="Q221" s="202"/>
      <c r="R221" s="202"/>
      <c r="S221" s="202"/>
      <c r="T221" s="203"/>
      <c r="AT221" s="204" t="s">
        <v>388</v>
      </c>
      <c r="AU221" s="204" t="s">
        <v>82</v>
      </c>
      <c r="AV221" s="13" t="s">
        <v>79</v>
      </c>
      <c r="AW221" s="13" t="s">
        <v>33</v>
      </c>
      <c r="AX221" s="13" t="s">
        <v>72</v>
      </c>
      <c r="AY221" s="204" t="s">
        <v>380</v>
      </c>
    </row>
    <row r="222" spans="1:65" s="14" customFormat="1" ht="11.25">
      <c r="B222" s="205"/>
      <c r="C222" s="206"/>
      <c r="D222" s="196" t="s">
        <v>388</v>
      </c>
      <c r="E222" s="207" t="s">
        <v>19</v>
      </c>
      <c r="F222" s="208" t="s">
        <v>577</v>
      </c>
      <c r="G222" s="206"/>
      <c r="H222" s="209">
        <v>326.125</v>
      </c>
      <c r="I222" s="210"/>
      <c r="J222" s="206"/>
      <c r="K222" s="206"/>
      <c r="L222" s="211"/>
      <c r="M222" s="212"/>
      <c r="N222" s="213"/>
      <c r="O222" s="213"/>
      <c r="P222" s="213"/>
      <c r="Q222" s="213"/>
      <c r="R222" s="213"/>
      <c r="S222" s="213"/>
      <c r="T222" s="214"/>
      <c r="AT222" s="215" t="s">
        <v>388</v>
      </c>
      <c r="AU222" s="215" t="s">
        <v>82</v>
      </c>
      <c r="AV222" s="14" t="s">
        <v>82</v>
      </c>
      <c r="AW222" s="14" t="s">
        <v>33</v>
      </c>
      <c r="AX222" s="14" t="s">
        <v>72</v>
      </c>
      <c r="AY222" s="215" t="s">
        <v>380</v>
      </c>
    </row>
    <row r="223" spans="1:65" s="14" customFormat="1" ht="11.25">
      <c r="B223" s="205"/>
      <c r="C223" s="206"/>
      <c r="D223" s="196" t="s">
        <v>388</v>
      </c>
      <c r="E223" s="207" t="s">
        <v>19</v>
      </c>
      <c r="F223" s="208" t="s">
        <v>578</v>
      </c>
      <c r="G223" s="206"/>
      <c r="H223" s="209">
        <v>-11.36</v>
      </c>
      <c r="I223" s="210"/>
      <c r="J223" s="206"/>
      <c r="K223" s="206"/>
      <c r="L223" s="211"/>
      <c r="M223" s="212"/>
      <c r="N223" s="213"/>
      <c r="O223" s="213"/>
      <c r="P223" s="213"/>
      <c r="Q223" s="213"/>
      <c r="R223" s="213"/>
      <c r="S223" s="213"/>
      <c r="T223" s="214"/>
      <c r="AT223" s="215" t="s">
        <v>388</v>
      </c>
      <c r="AU223" s="215" t="s">
        <v>82</v>
      </c>
      <c r="AV223" s="14" t="s">
        <v>82</v>
      </c>
      <c r="AW223" s="14" t="s">
        <v>33</v>
      </c>
      <c r="AX223" s="14" t="s">
        <v>72</v>
      </c>
      <c r="AY223" s="215" t="s">
        <v>380</v>
      </c>
    </row>
    <row r="224" spans="1:65" s="16" customFormat="1" ht="11.25">
      <c r="B224" s="237"/>
      <c r="C224" s="238"/>
      <c r="D224" s="196" t="s">
        <v>388</v>
      </c>
      <c r="E224" s="239" t="s">
        <v>19</v>
      </c>
      <c r="F224" s="240" t="s">
        <v>572</v>
      </c>
      <c r="G224" s="238"/>
      <c r="H224" s="241">
        <v>314.76499999999999</v>
      </c>
      <c r="I224" s="242"/>
      <c r="J224" s="238"/>
      <c r="K224" s="238"/>
      <c r="L224" s="243"/>
      <c r="M224" s="244"/>
      <c r="N224" s="245"/>
      <c r="O224" s="245"/>
      <c r="P224" s="245"/>
      <c r="Q224" s="245"/>
      <c r="R224" s="245"/>
      <c r="S224" s="245"/>
      <c r="T224" s="246"/>
      <c r="AT224" s="247" t="s">
        <v>388</v>
      </c>
      <c r="AU224" s="247" t="s">
        <v>82</v>
      </c>
      <c r="AV224" s="16" t="s">
        <v>99</v>
      </c>
      <c r="AW224" s="16" t="s">
        <v>33</v>
      </c>
      <c r="AX224" s="16" t="s">
        <v>72</v>
      </c>
      <c r="AY224" s="247" t="s">
        <v>380</v>
      </c>
    </row>
    <row r="225" spans="1:65" s="15" customFormat="1" ht="11.25">
      <c r="B225" s="216"/>
      <c r="C225" s="217"/>
      <c r="D225" s="196" t="s">
        <v>388</v>
      </c>
      <c r="E225" s="218" t="s">
        <v>19</v>
      </c>
      <c r="F225" s="219" t="s">
        <v>419</v>
      </c>
      <c r="G225" s="217"/>
      <c r="H225" s="220">
        <v>934.03099999999995</v>
      </c>
      <c r="I225" s="221"/>
      <c r="J225" s="217"/>
      <c r="K225" s="217"/>
      <c r="L225" s="222"/>
      <c r="M225" s="223"/>
      <c r="N225" s="224"/>
      <c r="O225" s="224"/>
      <c r="P225" s="224"/>
      <c r="Q225" s="224"/>
      <c r="R225" s="224"/>
      <c r="S225" s="224"/>
      <c r="T225" s="225"/>
      <c r="AT225" s="226" t="s">
        <v>388</v>
      </c>
      <c r="AU225" s="226" t="s">
        <v>82</v>
      </c>
      <c r="AV225" s="15" t="s">
        <v>386</v>
      </c>
      <c r="AW225" s="15" t="s">
        <v>33</v>
      </c>
      <c r="AX225" s="15" t="s">
        <v>79</v>
      </c>
      <c r="AY225" s="226" t="s">
        <v>380</v>
      </c>
    </row>
    <row r="226" spans="1:65" s="2" customFormat="1" ht="21.75" customHeight="1">
      <c r="A226" s="36"/>
      <c r="B226" s="37"/>
      <c r="C226" s="181" t="s">
        <v>579</v>
      </c>
      <c r="D226" s="181" t="s">
        <v>382</v>
      </c>
      <c r="E226" s="182" t="s">
        <v>580</v>
      </c>
      <c r="F226" s="183" t="s">
        <v>581</v>
      </c>
      <c r="G226" s="184" t="s">
        <v>385</v>
      </c>
      <c r="H226" s="185">
        <v>471.66899999999998</v>
      </c>
      <c r="I226" s="186"/>
      <c r="J226" s="187">
        <f>ROUND(I226*H226,2)</f>
        <v>0</v>
      </c>
      <c r="K226" s="183" t="s">
        <v>399</v>
      </c>
      <c r="L226" s="41"/>
      <c r="M226" s="188" t="s">
        <v>19</v>
      </c>
      <c r="N226" s="189" t="s">
        <v>43</v>
      </c>
      <c r="O226" s="66"/>
      <c r="P226" s="190">
        <f>O226*H226</f>
        <v>0</v>
      </c>
      <c r="Q226" s="190">
        <v>2.4532922039999998</v>
      </c>
      <c r="R226" s="190">
        <f>Q226*H226</f>
        <v>1157.1418805684759</v>
      </c>
      <c r="S226" s="190">
        <v>0</v>
      </c>
      <c r="T226" s="191">
        <f>S226*H226</f>
        <v>0</v>
      </c>
      <c r="U226" s="36"/>
      <c r="V226" s="36"/>
      <c r="W226" s="36"/>
      <c r="X226" s="36"/>
      <c r="Y226" s="36"/>
      <c r="Z226" s="36"/>
      <c r="AA226" s="36"/>
      <c r="AB226" s="36"/>
      <c r="AC226" s="36"/>
      <c r="AD226" s="36"/>
      <c r="AE226" s="36"/>
      <c r="AR226" s="192" t="s">
        <v>386</v>
      </c>
      <c r="AT226" s="192" t="s">
        <v>382</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386</v>
      </c>
      <c r="BM226" s="192" t="s">
        <v>582</v>
      </c>
    </row>
    <row r="227" spans="1:65" s="13" customFormat="1" ht="11.25">
      <c r="B227" s="194"/>
      <c r="C227" s="195"/>
      <c r="D227" s="196" t="s">
        <v>388</v>
      </c>
      <c r="E227" s="197" t="s">
        <v>19</v>
      </c>
      <c r="F227" s="198" t="s">
        <v>583</v>
      </c>
      <c r="G227" s="195"/>
      <c r="H227" s="197" t="s">
        <v>19</v>
      </c>
      <c r="I227" s="199"/>
      <c r="J227" s="195"/>
      <c r="K227" s="195"/>
      <c r="L227" s="200"/>
      <c r="M227" s="201"/>
      <c r="N227" s="202"/>
      <c r="O227" s="202"/>
      <c r="P227" s="202"/>
      <c r="Q227" s="202"/>
      <c r="R227" s="202"/>
      <c r="S227" s="202"/>
      <c r="T227" s="203"/>
      <c r="AT227" s="204" t="s">
        <v>388</v>
      </c>
      <c r="AU227" s="204" t="s">
        <v>82</v>
      </c>
      <c r="AV227" s="13" t="s">
        <v>79</v>
      </c>
      <c r="AW227" s="13" t="s">
        <v>33</v>
      </c>
      <c r="AX227" s="13" t="s">
        <v>72</v>
      </c>
      <c r="AY227" s="204" t="s">
        <v>380</v>
      </c>
    </row>
    <row r="228" spans="1:65" s="14" customFormat="1" ht="11.25">
      <c r="B228" s="205"/>
      <c r="C228" s="206"/>
      <c r="D228" s="196" t="s">
        <v>388</v>
      </c>
      <c r="E228" s="207" t="s">
        <v>19</v>
      </c>
      <c r="F228" s="208" t="s">
        <v>584</v>
      </c>
      <c r="G228" s="206"/>
      <c r="H228" s="209">
        <v>115.11199999999999</v>
      </c>
      <c r="I228" s="210"/>
      <c r="J228" s="206"/>
      <c r="K228" s="206"/>
      <c r="L228" s="211"/>
      <c r="M228" s="212"/>
      <c r="N228" s="213"/>
      <c r="O228" s="213"/>
      <c r="P228" s="213"/>
      <c r="Q228" s="213"/>
      <c r="R228" s="213"/>
      <c r="S228" s="213"/>
      <c r="T228" s="214"/>
      <c r="AT228" s="215" t="s">
        <v>388</v>
      </c>
      <c r="AU228" s="215" t="s">
        <v>82</v>
      </c>
      <c r="AV228" s="14" t="s">
        <v>82</v>
      </c>
      <c r="AW228" s="14" t="s">
        <v>33</v>
      </c>
      <c r="AX228" s="14" t="s">
        <v>72</v>
      </c>
      <c r="AY228" s="215" t="s">
        <v>380</v>
      </c>
    </row>
    <row r="229" spans="1:65" s="14" customFormat="1" ht="11.25">
      <c r="B229" s="205"/>
      <c r="C229" s="206"/>
      <c r="D229" s="196" t="s">
        <v>388</v>
      </c>
      <c r="E229" s="207" t="s">
        <v>19</v>
      </c>
      <c r="F229" s="208" t="s">
        <v>585</v>
      </c>
      <c r="G229" s="206"/>
      <c r="H229" s="209">
        <v>152.17599999999999</v>
      </c>
      <c r="I229" s="210"/>
      <c r="J229" s="206"/>
      <c r="K229" s="206"/>
      <c r="L229" s="211"/>
      <c r="M229" s="212"/>
      <c r="N229" s="213"/>
      <c r="O229" s="213"/>
      <c r="P229" s="213"/>
      <c r="Q229" s="213"/>
      <c r="R229" s="213"/>
      <c r="S229" s="213"/>
      <c r="T229" s="214"/>
      <c r="AT229" s="215" t="s">
        <v>388</v>
      </c>
      <c r="AU229" s="215" t="s">
        <v>82</v>
      </c>
      <c r="AV229" s="14" t="s">
        <v>82</v>
      </c>
      <c r="AW229" s="14" t="s">
        <v>33</v>
      </c>
      <c r="AX229" s="14" t="s">
        <v>72</v>
      </c>
      <c r="AY229" s="215" t="s">
        <v>380</v>
      </c>
    </row>
    <row r="230" spans="1:65" s="14" customFormat="1" ht="11.25">
      <c r="B230" s="205"/>
      <c r="C230" s="206"/>
      <c r="D230" s="196" t="s">
        <v>388</v>
      </c>
      <c r="E230" s="207" t="s">
        <v>19</v>
      </c>
      <c r="F230" s="208" t="s">
        <v>586</v>
      </c>
      <c r="G230" s="206"/>
      <c r="H230" s="209">
        <v>14.98</v>
      </c>
      <c r="I230" s="210"/>
      <c r="J230" s="206"/>
      <c r="K230" s="206"/>
      <c r="L230" s="211"/>
      <c r="M230" s="212"/>
      <c r="N230" s="213"/>
      <c r="O230" s="213"/>
      <c r="P230" s="213"/>
      <c r="Q230" s="213"/>
      <c r="R230" s="213"/>
      <c r="S230" s="213"/>
      <c r="T230" s="214"/>
      <c r="AT230" s="215" t="s">
        <v>388</v>
      </c>
      <c r="AU230" s="215" t="s">
        <v>82</v>
      </c>
      <c r="AV230" s="14" t="s">
        <v>82</v>
      </c>
      <c r="AW230" s="14" t="s">
        <v>33</v>
      </c>
      <c r="AX230" s="14" t="s">
        <v>72</v>
      </c>
      <c r="AY230" s="215" t="s">
        <v>380</v>
      </c>
    </row>
    <row r="231" spans="1:65" s="14" customFormat="1" ht="11.25">
      <c r="B231" s="205"/>
      <c r="C231" s="206"/>
      <c r="D231" s="196" t="s">
        <v>388</v>
      </c>
      <c r="E231" s="207" t="s">
        <v>19</v>
      </c>
      <c r="F231" s="208" t="s">
        <v>587</v>
      </c>
      <c r="G231" s="206"/>
      <c r="H231" s="209">
        <v>-29.62</v>
      </c>
      <c r="I231" s="210"/>
      <c r="J231" s="206"/>
      <c r="K231" s="206"/>
      <c r="L231" s="211"/>
      <c r="M231" s="212"/>
      <c r="N231" s="213"/>
      <c r="O231" s="213"/>
      <c r="P231" s="213"/>
      <c r="Q231" s="213"/>
      <c r="R231" s="213"/>
      <c r="S231" s="213"/>
      <c r="T231" s="214"/>
      <c r="AT231" s="215" t="s">
        <v>388</v>
      </c>
      <c r="AU231" s="215" t="s">
        <v>82</v>
      </c>
      <c r="AV231" s="14" t="s">
        <v>82</v>
      </c>
      <c r="AW231" s="14" t="s">
        <v>33</v>
      </c>
      <c r="AX231" s="14" t="s">
        <v>72</v>
      </c>
      <c r="AY231" s="215" t="s">
        <v>380</v>
      </c>
    </row>
    <row r="232" spans="1:65" s="14" customFormat="1" ht="11.25">
      <c r="B232" s="205"/>
      <c r="C232" s="206"/>
      <c r="D232" s="196" t="s">
        <v>388</v>
      </c>
      <c r="E232" s="207" t="s">
        <v>19</v>
      </c>
      <c r="F232" s="208" t="s">
        <v>588</v>
      </c>
      <c r="G232" s="206"/>
      <c r="H232" s="209">
        <v>-2.585</v>
      </c>
      <c r="I232" s="210"/>
      <c r="J232" s="206"/>
      <c r="K232" s="206"/>
      <c r="L232" s="211"/>
      <c r="M232" s="212"/>
      <c r="N232" s="213"/>
      <c r="O232" s="213"/>
      <c r="P232" s="213"/>
      <c r="Q232" s="213"/>
      <c r="R232" s="213"/>
      <c r="S232" s="213"/>
      <c r="T232" s="214"/>
      <c r="AT232" s="215" t="s">
        <v>388</v>
      </c>
      <c r="AU232" s="215" t="s">
        <v>82</v>
      </c>
      <c r="AV232" s="14" t="s">
        <v>82</v>
      </c>
      <c r="AW232" s="14" t="s">
        <v>33</v>
      </c>
      <c r="AX232" s="14" t="s">
        <v>72</v>
      </c>
      <c r="AY232" s="215" t="s">
        <v>380</v>
      </c>
    </row>
    <row r="233" spans="1:65" s="14" customFormat="1" ht="11.25">
      <c r="B233" s="205"/>
      <c r="C233" s="206"/>
      <c r="D233" s="196" t="s">
        <v>388</v>
      </c>
      <c r="E233" s="207" t="s">
        <v>19</v>
      </c>
      <c r="F233" s="208" t="s">
        <v>589</v>
      </c>
      <c r="G233" s="206"/>
      <c r="H233" s="209">
        <v>-1.24</v>
      </c>
      <c r="I233" s="210"/>
      <c r="J233" s="206"/>
      <c r="K233" s="206"/>
      <c r="L233" s="211"/>
      <c r="M233" s="212"/>
      <c r="N233" s="213"/>
      <c r="O233" s="213"/>
      <c r="P233" s="213"/>
      <c r="Q233" s="213"/>
      <c r="R233" s="213"/>
      <c r="S233" s="213"/>
      <c r="T233" s="214"/>
      <c r="AT233" s="215" t="s">
        <v>388</v>
      </c>
      <c r="AU233" s="215" t="s">
        <v>82</v>
      </c>
      <c r="AV233" s="14" t="s">
        <v>82</v>
      </c>
      <c r="AW233" s="14" t="s">
        <v>33</v>
      </c>
      <c r="AX233" s="14" t="s">
        <v>72</v>
      </c>
      <c r="AY233" s="215" t="s">
        <v>380</v>
      </c>
    </row>
    <row r="234" spans="1:65" s="16" customFormat="1" ht="11.25">
      <c r="B234" s="237"/>
      <c r="C234" s="238"/>
      <c r="D234" s="196" t="s">
        <v>388</v>
      </c>
      <c r="E234" s="239" t="s">
        <v>19</v>
      </c>
      <c r="F234" s="240" t="s">
        <v>572</v>
      </c>
      <c r="G234" s="238"/>
      <c r="H234" s="241">
        <v>248.82300000000001</v>
      </c>
      <c r="I234" s="242"/>
      <c r="J234" s="238"/>
      <c r="K234" s="238"/>
      <c r="L234" s="243"/>
      <c r="M234" s="244"/>
      <c r="N234" s="245"/>
      <c r="O234" s="245"/>
      <c r="P234" s="245"/>
      <c r="Q234" s="245"/>
      <c r="R234" s="245"/>
      <c r="S234" s="245"/>
      <c r="T234" s="246"/>
      <c r="AT234" s="247" t="s">
        <v>388</v>
      </c>
      <c r="AU234" s="247" t="s">
        <v>82</v>
      </c>
      <c r="AV234" s="16" t="s">
        <v>99</v>
      </c>
      <c r="AW234" s="16" t="s">
        <v>33</v>
      </c>
      <c r="AX234" s="16" t="s">
        <v>72</v>
      </c>
      <c r="AY234" s="247" t="s">
        <v>380</v>
      </c>
    </row>
    <row r="235" spans="1:65" s="13" customFormat="1" ht="11.25">
      <c r="B235" s="194"/>
      <c r="C235" s="195"/>
      <c r="D235" s="196" t="s">
        <v>388</v>
      </c>
      <c r="E235" s="197" t="s">
        <v>19</v>
      </c>
      <c r="F235" s="198" t="s">
        <v>569</v>
      </c>
      <c r="G235" s="195"/>
      <c r="H235" s="197" t="s">
        <v>19</v>
      </c>
      <c r="I235" s="199"/>
      <c r="J235" s="195"/>
      <c r="K235" s="195"/>
      <c r="L235" s="200"/>
      <c r="M235" s="201"/>
      <c r="N235" s="202"/>
      <c r="O235" s="202"/>
      <c r="P235" s="202"/>
      <c r="Q235" s="202"/>
      <c r="R235" s="202"/>
      <c r="S235" s="202"/>
      <c r="T235" s="203"/>
      <c r="AT235" s="204" t="s">
        <v>388</v>
      </c>
      <c r="AU235" s="204" t="s">
        <v>82</v>
      </c>
      <c r="AV235" s="13" t="s">
        <v>79</v>
      </c>
      <c r="AW235" s="13" t="s">
        <v>33</v>
      </c>
      <c r="AX235" s="13" t="s">
        <v>72</v>
      </c>
      <c r="AY235" s="204" t="s">
        <v>380</v>
      </c>
    </row>
    <row r="236" spans="1:65" s="14" customFormat="1" ht="11.25">
      <c r="B236" s="205"/>
      <c r="C236" s="206"/>
      <c r="D236" s="196" t="s">
        <v>388</v>
      </c>
      <c r="E236" s="207" t="s">
        <v>19</v>
      </c>
      <c r="F236" s="208" t="s">
        <v>590</v>
      </c>
      <c r="G236" s="206"/>
      <c r="H236" s="209">
        <v>191.97499999999999</v>
      </c>
      <c r="I236" s="210"/>
      <c r="J236" s="206"/>
      <c r="K236" s="206"/>
      <c r="L236" s="211"/>
      <c r="M236" s="212"/>
      <c r="N236" s="213"/>
      <c r="O236" s="213"/>
      <c r="P236" s="213"/>
      <c r="Q236" s="213"/>
      <c r="R236" s="213"/>
      <c r="S236" s="213"/>
      <c r="T236" s="214"/>
      <c r="AT236" s="215" t="s">
        <v>388</v>
      </c>
      <c r="AU236" s="215" t="s">
        <v>82</v>
      </c>
      <c r="AV236" s="14" t="s">
        <v>82</v>
      </c>
      <c r="AW236" s="14" t="s">
        <v>33</v>
      </c>
      <c r="AX236" s="14" t="s">
        <v>72</v>
      </c>
      <c r="AY236" s="215" t="s">
        <v>380</v>
      </c>
    </row>
    <row r="237" spans="1:65" s="14" customFormat="1" ht="11.25">
      <c r="B237" s="205"/>
      <c r="C237" s="206"/>
      <c r="D237" s="196" t="s">
        <v>388</v>
      </c>
      <c r="E237" s="207" t="s">
        <v>19</v>
      </c>
      <c r="F237" s="208" t="s">
        <v>591</v>
      </c>
      <c r="G237" s="206"/>
      <c r="H237" s="209">
        <v>14.733000000000001</v>
      </c>
      <c r="I237" s="210"/>
      <c r="J237" s="206"/>
      <c r="K237" s="206"/>
      <c r="L237" s="211"/>
      <c r="M237" s="212"/>
      <c r="N237" s="213"/>
      <c r="O237" s="213"/>
      <c r="P237" s="213"/>
      <c r="Q237" s="213"/>
      <c r="R237" s="213"/>
      <c r="S237" s="213"/>
      <c r="T237" s="214"/>
      <c r="AT237" s="215" t="s">
        <v>388</v>
      </c>
      <c r="AU237" s="215" t="s">
        <v>82</v>
      </c>
      <c r="AV237" s="14" t="s">
        <v>82</v>
      </c>
      <c r="AW237" s="14" t="s">
        <v>33</v>
      </c>
      <c r="AX237" s="14" t="s">
        <v>72</v>
      </c>
      <c r="AY237" s="215" t="s">
        <v>380</v>
      </c>
    </row>
    <row r="238" spans="1:65" s="14" customFormat="1" ht="11.25">
      <c r="B238" s="205"/>
      <c r="C238" s="206"/>
      <c r="D238" s="196" t="s">
        <v>388</v>
      </c>
      <c r="E238" s="207" t="s">
        <v>19</v>
      </c>
      <c r="F238" s="208" t="s">
        <v>592</v>
      </c>
      <c r="G238" s="206"/>
      <c r="H238" s="209">
        <v>-17.007999999999999</v>
      </c>
      <c r="I238" s="210"/>
      <c r="J238" s="206"/>
      <c r="K238" s="206"/>
      <c r="L238" s="211"/>
      <c r="M238" s="212"/>
      <c r="N238" s="213"/>
      <c r="O238" s="213"/>
      <c r="P238" s="213"/>
      <c r="Q238" s="213"/>
      <c r="R238" s="213"/>
      <c r="S238" s="213"/>
      <c r="T238" s="214"/>
      <c r="AT238" s="215" t="s">
        <v>388</v>
      </c>
      <c r="AU238" s="215" t="s">
        <v>82</v>
      </c>
      <c r="AV238" s="14" t="s">
        <v>82</v>
      </c>
      <c r="AW238" s="14" t="s">
        <v>33</v>
      </c>
      <c r="AX238" s="14" t="s">
        <v>72</v>
      </c>
      <c r="AY238" s="215" t="s">
        <v>380</v>
      </c>
    </row>
    <row r="239" spans="1:65" s="14" customFormat="1" ht="11.25">
      <c r="B239" s="205"/>
      <c r="C239" s="206"/>
      <c r="D239" s="196" t="s">
        <v>388</v>
      </c>
      <c r="E239" s="207" t="s">
        <v>19</v>
      </c>
      <c r="F239" s="208" t="s">
        <v>593</v>
      </c>
      <c r="G239" s="206"/>
      <c r="H239" s="209">
        <v>-1.21</v>
      </c>
      <c r="I239" s="210"/>
      <c r="J239" s="206"/>
      <c r="K239" s="206"/>
      <c r="L239" s="211"/>
      <c r="M239" s="212"/>
      <c r="N239" s="213"/>
      <c r="O239" s="213"/>
      <c r="P239" s="213"/>
      <c r="Q239" s="213"/>
      <c r="R239" s="213"/>
      <c r="S239" s="213"/>
      <c r="T239" s="214"/>
      <c r="AT239" s="215" t="s">
        <v>388</v>
      </c>
      <c r="AU239" s="215" t="s">
        <v>82</v>
      </c>
      <c r="AV239" s="14" t="s">
        <v>82</v>
      </c>
      <c r="AW239" s="14" t="s">
        <v>33</v>
      </c>
      <c r="AX239" s="14" t="s">
        <v>72</v>
      </c>
      <c r="AY239" s="215" t="s">
        <v>380</v>
      </c>
    </row>
    <row r="240" spans="1:65" s="16" customFormat="1" ht="11.25">
      <c r="B240" s="237"/>
      <c r="C240" s="238"/>
      <c r="D240" s="196" t="s">
        <v>388</v>
      </c>
      <c r="E240" s="239" t="s">
        <v>19</v>
      </c>
      <c r="F240" s="240" t="s">
        <v>572</v>
      </c>
      <c r="G240" s="238"/>
      <c r="H240" s="241">
        <v>188.49</v>
      </c>
      <c r="I240" s="242"/>
      <c r="J240" s="238"/>
      <c r="K240" s="238"/>
      <c r="L240" s="243"/>
      <c r="M240" s="244"/>
      <c r="N240" s="245"/>
      <c r="O240" s="245"/>
      <c r="P240" s="245"/>
      <c r="Q240" s="245"/>
      <c r="R240" s="245"/>
      <c r="S240" s="245"/>
      <c r="T240" s="246"/>
      <c r="AT240" s="247" t="s">
        <v>388</v>
      </c>
      <c r="AU240" s="247" t="s">
        <v>82</v>
      </c>
      <c r="AV240" s="16" t="s">
        <v>99</v>
      </c>
      <c r="AW240" s="16" t="s">
        <v>33</v>
      </c>
      <c r="AX240" s="16" t="s">
        <v>72</v>
      </c>
      <c r="AY240" s="247" t="s">
        <v>380</v>
      </c>
    </row>
    <row r="241" spans="1:65" s="13" customFormat="1" ht="11.25">
      <c r="B241" s="194"/>
      <c r="C241" s="195"/>
      <c r="D241" s="196" t="s">
        <v>388</v>
      </c>
      <c r="E241" s="197" t="s">
        <v>19</v>
      </c>
      <c r="F241" s="198" t="s">
        <v>573</v>
      </c>
      <c r="G241" s="195"/>
      <c r="H241" s="197" t="s">
        <v>19</v>
      </c>
      <c r="I241" s="199"/>
      <c r="J241" s="195"/>
      <c r="K241" s="195"/>
      <c r="L241" s="200"/>
      <c r="M241" s="201"/>
      <c r="N241" s="202"/>
      <c r="O241" s="202"/>
      <c r="P241" s="202"/>
      <c r="Q241" s="202"/>
      <c r="R241" s="202"/>
      <c r="S241" s="202"/>
      <c r="T241" s="203"/>
      <c r="AT241" s="204" t="s">
        <v>388</v>
      </c>
      <c r="AU241" s="204" t="s">
        <v>82</v>
      </c>
      <c r="AV241" s="13" t="s">
        <v>79</v>
      </c>
      <c r="AW241" s="13" t="s">
        <v>33</v>
      </c>
      <c r="AX241" s="13" t="s">
        <v>72</v>
      </c>
      <c r="AY241" s="204" t="s">
        <v>380</v>
      </c>
    </row>
    <row r="242" spans="1:65" s="14" customFormat="1" ht="11.25">
      <c r="B242" s="205"/>
      <c r="C242" s="206"/>
      <c r="D242" s="196" t="s">
        <v>388</v>
      </c>
      <c r="E242" s="207" t="s">
        <v>19</v>
      </c>
      <c r="F242" s="208" t="s">
        <v>594</v>
      </c>
      <c r="G242" s="206"/>
      <c r="H242" s="209">
        <v>11.847</v>
      </c>
      <c r="I242" s="210"/>
      <c r="J242" s="206"/>
      <c r="K242" s="206"/>
      <c r="L242" s="211"/>
      <c r="M242" s="212"/>
      <c r="N242" s="213"/>
      <c r="O242" s="213"/>
      <c r="P242" s="213"/>
      <c r="Q242" s="213"/>
      <c r="R242" s="213"/>
      <c r="S242" s="213"/>
      <c r="T242" s="214"/>
      <c r="AT242" s="215" t="s">
        <v>388</v>
      </c>
      <c r="AU242" s="215" t="s">
        <v>82</v>
      </c>
      <c r="AV242" s="14" t="s">
        <v>82</v>
      </c>
      <c r="AW242" s="14" t="s">
        <v>33</v>
      </c>
      <c r="AX242" s="14" t="s">
        <v>72</v>
      </c>
      <c r="AY242" s="215" t="s">
        <v>380</v>
      </c>
    </row>
    <row r="243" spans="1:65" s="14" customFormat="1" ht="11.25">
      <c r="B243" s="205"/>
      <c r="C243" s="206"/>
      <c r="D243" s="196" t="s">
        <v>388</v>
      </c>
      <c r="E243" s="207" t="s">
        <v>19</v>
      </c>
      <c r="F243" s="208" t="s">
        <v>591</v>
      </c>
      <c r="G243" s="206"/>
      <c r="H243" s="209">
        <v>14.733000000000001</v>
      </c>
      <c r="I243" s="210"/>
      <c r="J243" s="206"/>
      <c r="K243" s="206"/>
      <c r="L243" s="211"/>
      <c r="M243" s="212"/>
      <c r="N243" s="213"/>
      <c r="O243" s="213"/>
      <c r="P243" s="213"/>
      <c r="Q243" s="213"/>
      <c r="R243" s="213"/>
      <c r="S243" s="213"/>
      <c r="T243" s="214"/>
      <c r="AT243" s="215" t="s">
        <v>388</v>
      </c>
      <c r="AU243" s="215" t="s">
        <v>82</v>
      </c>
      <c r="AV243" s="14" t="s">
        <v>82</v>
      </c>
      <c r="AW243" s="14" t="s">
        <v>33</v>
      </c>
      <c r="AX243" s="14" t="s">
        <v>72</v>
      </c>
      <c r="AY243" s="215" t="s">
        <v>380</v>
      </c>
    </row>
    <row r="244" spans="1:65" s="14" customFormat="1" ht="11.25">
      <c r="B244" s="205"/>
      <c r="C244" s="206"/>
      <c r="D244" s="196" t="s">
        <v>388</v>
      </c>
      <c r="E244" s="207" t="s">
        <v>19</v>
      </c>
      <c r="F244" s="208" t="s">
        <v>595</v>
      </c>
      <c r="G244" s="206"/>
      <c r="H244" s="209">
        <v>-6.6150000000000002</v>
      </c>
      <c r="I244" s="210"/>
      <c r="J244" s="206"/>
      <c r="K244" s="206"/>
      <c r="L244" s="211"/>
      <c r="M244" s="212"/>
      <c r="N244" s="213"/>
      <c r="O244" s="213"/>
      <c r="P244" s="213"/>
      <c r="Q244" s="213"/>
      <c r="R244" s="213"/>
      <c r="S244" s="213"/>
      <c r="T244" s="214"/>
      <c r="AT244" s="215" t="s">
        <v>388</v>
      </c>
      <c r="AU244" s="215" t="s">
        <v>82</v>
      </c>
      <c r="AV244" s="14" t="s">
        <v>82</v>
      </c>
      <c r="AW244" s="14" t="s">
        <v>33</v>
      </c>
      <c r="AX244" s="14" t="s">
        <v>72</v>
      </c>
      <c r="AY244" s="215" t="s">
        <v>380</v>
      </c>
    </row>
    <row r="245" spans="1:65" s="14" customFormat="1" ht="11.25">
      <c r="B245" s="205"/>
      <c r="C245" s="206"/>
      <c r="D245" s="196" t="s">
        <v>388</v>
      </c>
      <c r="E245" s="207" t="s">
        <v>19</v>
      </c>
      <c r="F245" s="208" t="s">
        <v>593</v>
      </c>
      <c r="G245" s="206"/>
      <c r="H245" s="209">
        <v>-1.21</v>
      </c>
      <c r="I245" s="210"/>
      <c r="J245" s="206"/>
      <c r="K245" s="206"/>
      <c r="L245" s="211"/>
      <c r="M245" s="212"/>
      <c r="N245" s="213"/>
      <c r="O245" s="213"/>
      <c r="P245" s="213"/>
      <c r="Q245" s="213"/>
      <c r="R245" s="213"/>
      <c r="S245" s="213"/>
      <c r="T245" s="214"/>
      <c r="AT245" s="215" t="s">
        <v>388</v>
      </c>
      <c r="AU245" s="215" t="s">
        <v>82</v>
      </c>
      <c r="AV245" s="14" t="s">
        <v>82</v>
      </c>
      <c r="AW245" s="14" t="s">
        <v>33</v>
      </c>
      <c r="AX245" s="14" t="s">
        <v>72</v>
      </c>
      <c r="AY245" s="215" t="s">
        <v>380</v>
      </c>
    </row>
    <row r="246" spans="1:65" s="16" customFormat="1" ht="11.25">
      <c r="B246" s="237"/>
      <c r="C246" s="238"/>
      <c r="D246" s="196" t="s">
        <v>388</v>
      </c>
      <c r="E246" s="239" t="s">
        <v>19</v>
      </c>
      <c r="F246" s="240" t="s">
        <v>572</v>
      </c>
      <c r="G246" s="238"/>
      <c r="H246" s="241">
        <v>18.754999999999999</v>
      </c>
      <c r="I246" s="242"/>
      <c r="J246" s="238"/>
      <c r="K246" s="238"/>
      <c r="L246" s="243"/>
      <c r="M246" s="244"/>
      <c r="N246" s="245"/>
      <c r="O246" s="245"/>
      <c r="P246" s="245"/>
      <c r="Q246" s="245"/>
      <c r="R246" s="245"/>
      <c r="S246" s="245"/>
      <c r="T246" s="246"/>
      <c r="AT246" s="247" t="s">
        <v>388</v>
      </c>
      <c r="AU246" s="247" t="s">
        <v>82</v>
      </c>
      <c r="AV246" s="16" t="s">
        <v>99</v>
      </c>
      <c r="AW246" s="16" t="s">
        <v>33</v>
      </c>
      <c r="AX246" s="16" t="s">
        <v>72</v>
      </c>
      <c r="AY246" s="247" t="s">
        <v>380</v>
      </c>
    </row>
    <row r="247" spans="1:65" s="13" customFormat="1" ht="11.25">
      <c r="B247" s="194"/>
      <c r="C247" s="195"/>
      <c r="D247" s="196" t="s">
        <v>388</v>
      </c>
      <c r="E247" s="197" t="s">
        <v>19</v>
      </c>
      <c r="F247" s="198" t="s">
        <v>576</v>
      </c>
      <c r="G247" s="195"/>
      <c r="H247" s="197" t="s">
        <v>19</v>
      </c>
      <c r="I247" s="199"/>
      <c r="J247" s="195"/>
      <c r="K247" s="195"/>
      <c r="L247" s="200"/>
      <c r="M247" s="201"/>
      <c r="N247" s="202"/>
      <c r="O247" s="202"/>
      <c r="P247" s="202"/>
      <c r="Q247" s="202"/>
      <c r="R247" s="202"/>
      <c r="S247" s="202"/>
      <c r="T247" s="203"/>
      <c r="AT247" s="204" t="s">
        <v>388</v>
      </c>
      <c r="AU247" s="204" t="s">
        <v>82</v>
      </c>
      <c r="AV247" s="13" t="s">
        <v>79</v>
      </c>
      <c r="AW247" s="13" t="s">
        <v>33</v>
      </c>
      <c r="AX247" s="13" t="s">
        <v>72</v>
      </c>
      <c r="AY247" s="204" t="s">
        <v>380</v>
      </c>
    </row>
    <row r="248" spans="1:65" s="14" customFormat="1" ht="11.25">
      <c r="B248" s="205"/>
      <c r="C248" s="206"/>
      <c r="D248" s="196" t="s">
        <v>388</v>
      </c>
      <c r="E248" s="207" t="s">
        <v>19</v>
      </c>
      <c r="F248" s="208" t="s">
        <v>596</v>
      </c>
      <c r="G248" s="206"/>
      <c r="H248" s="209">
        <v>4.4560000000000004</v>
      </c>
      <c r="I248" s="210"/>
      <c r="J248" s="206"/>
      <c r="K248" s="206"/>
      <c r="L248" s="211"/>
      <c r="M248" s="212"/>
      <c r="N248" s="213"/>
      <c r="O248" s="213"/>
      <c r="P248" s="213"/>
      <c r="Q248" s="213"/>
      <c r="R248" s="213"/>
      <c r="S248" s="213"/>
      <c r="T248" s="214"/>
      <c r="AT248" s="215" t="s">
        <v>388</v>
      </c>
      <c r="AU248" s="215" t="s">
        <v>82</v>
      </c>
      <c r="AV248" s="14" t="s">
        <v>82</v>
      </c>
      <c r="AW248" s="14" t="s">
        <v>33</v>
      </c>
      <c r="AX248" s="14" t="s">
        <v>72</v>
      </c>
      <c r="AY248" s="215" t="s">
        <v>380</v>
      </c>
    </row>
    <row r="249" spans="1:65" s="14" customFormat="1" ht="11.25">
      <c r="B249" s="205"/>
      <c r="C249" s="206"/>
      <c r="D249" s="196" t="s">
        <v>388</v>
      </c>
      <c r="E249" s="207" t="s">
        <v>19</v>
      </c>
      <c r="F249" s="208" t="s">
        <v>597</v>
      </c>
      <c r="G249" s="206"/>
      <c r="H249" s="209">
        <v>14.227</v>
      </c>
      <c r="I249" s="210"/>
      <c r="J249" s="206"/>
      <c r="K249" s="206"/>
      <c r="L249" s="211"/>
      <c r="M249" s="212"/>
      <c r="N249" s="213"/>
      <c r="O249" s="213"/>
      <c r="P249" s="213"/>
      <c r="Q249" s="213"/>
      <c r="R249" s="213"/>
      <c r="S249" s="213"/>
      <c r="T249" s="214"/>
      <c r="AT249" s="215" t="s">
        <v>388</v>
      </c>
      <c r="AU249" s="215" t="s">
        <v>82</v>
      </c>
      <c r="AV249" s="14" t="s">
        <v>82</v>
      </c>
      <c r="AW249" s="14" t="s">
        <v>33</v>
      </c>
      <c r="AX249" s="14" t="s">
        <v>72</v>
      </c>
      <c r="AY249" s="215" t="s">
        <v>380</v>
      </c>
    </row>
    <row r="250" spans="1:65" s="14" customFormat="1" ht="11.25">
      <c r="B250" s="205"/>
      <c r="C250" s="206"/>
      <c r="D250" s="196" t="s">
        <v>388</v>
      </c>
      <c r="E250" s="207" t="s">
        <v>19</v>
      </c>
      <c r="F250" s="208" t="s">
        <v>598</v>
      </c>
      <c r="G250" s="206"/>
      <c r="H250" s="209">
        <v>-1.792</v>
      </c>
      <c r="I250" s="210"/>
      <c r="J250" s="206"/>
      <c r="K250" s="206"/>
      <c r="L250" s="211"/>
      <c r="M250" s="212"/>
      <c r="N250" s="213"/>
      <c r="O250" s="213"/>
      <c r="P250" s="213"/>
      <c r="Q250" s="213"/>
      <c r="R250" s="213"/>
      <c r="S250" s="213"/>
      <c r="T250" s="214"/>
      <c r="AT250" s="215" t="s">
        <v>388</v>
      </c>
      <c r="AU250" s="215" t="s">
        <v>82</v>
      </c>
      <c r="AV250" s="14" t="s">
        <v>82</v>
      </c>
      <c r="AW250" s="14" t="s">
        <v>33</v>
      </c>
      <c r="AX250" s="14" t="s">
        <v>72</v>
      </c>
      <c r="AY250" s="215" t="s">
        <v>380</v>
      </c>
    </row>
    <row r="251" spans="1:65" s="14" customFormat="1" ht="11.25">
      <c r="B251" s="205"/>
      <c r="C251" s="206"/>
      <c r="D251" s="196" t="s">
        <v>388</v>
      </c>
      <c r="E251" s="207" t="s">
        <v>19</v>
      </c>
      <c r="F251" s="208" t="s">
        <v>599</v>
      </c>
      <c r="G251" s="206"/>
      <c r="H251" s="209">
        <v>-1.29</v>
      </c>
      <c r="I251" s="210"/>
      <c r="J251" s="206"/>
      <c r="K251" s="206"/>
      <c r="L251" s="211"/>
      <c r="M251" s="212"/>
      <c r="N251" s="213"/>
      <c r="O251" s="213"/>
      <c r="P251" s="213"/>
      <c r="Q251" s="213"/>
      <c r="R251" s="213"/>
      <c r="S251" s="213"/>
      <c r="T251" s="214"/>
      <c r="AT251" s="215" t="s">
        <v>388</v>
      </c>
      <c r="AU251" s="215" t="s">
        <v>82</v>
      </c>
      <c r="AV251" s="14" t="s">
        <v>82</v>
      </c>
      <c r="AW251" s="14" t="s">
        <v>33</v>
      </c>
      <c r="AX251" s="14" t="s">
        <v>72</v>
      </c>
      <c r="AY251" s="215" t="s">
        <v>380</v>
      </c>
    </row>
    <row r="252" spans="1:65" s="16" customFormat="1" ht="11.25">
      <c r="B252" s="237"/>
      <c r="C252" s="238"/>
      <c r="D252" s="196" t="s">
        <v>388</v>
      </c>
      <c r="E252" s="239" t="s">
        <v>19</v>
      </c>
      <c r="F252" s="240" t="s">
        <v>572</v>
      </c>
      <c r="G252" s="238"/>
      <c r="H252" s="241">
        <v>15.601000000000001</v>
      </c>
      <c r="I252" s="242"/>
      <c r="J252" s="238"/>
      <c r="K252" s="238"/>
      <c r="L252" s="243"/>
      <c r="M252" s="244"/>
      <c r="N252" s="245"/>
      <c r="O252" s="245"/>
      <c r="P252" s="245"/>
      <c r="Q252" s="245"/>
      <c r="R252" s="245"/>
      <c r="S252" s="245"/>
      <c r="T252" s="246"/>
      <c r="AT252" s="247" t="s">
        <v>388</v>
      </c>
      <c r="AU252" s="247" t="s">
        <v>82</v>
      </c>
      <c r="AV252" s="16" t="s">
        <v>99</v>
      </c>
      <c r="AW252" s="16" t="s">
        <v>33</v>
      </c>
      <c r="AX252" s="16" t="s">
        <v>72</v>
      </c>
      <c r="AY252" s="247" t="s">
        <v>380</v>
      </c>
    </row>
    <row r="253" spans="1:65" s="15" customFormat="1" ht="11.25">
      <c r="B253" s="216"/>
      <c r="C253" s="217"/>
      <c r="D253" s="196" t="s">
        <v>388</v>
      </c>
      <c r="E253" s="218" t="s">
        <v>19</v>
      </c>
      <c r="F253" s="219" t="s">
        <v>419</v>
      </c>
      <c r="G253" s="217"/>
      <c r="H253" s="220">
        <v>471.66899999999998</v>
      </c>
      <c r="I253" s="221"/>
      <c r="J253" s="217"/>
      <c r="K253" s="217"/>
      <c r="L253" s="222"/>
      <c r="M253" s="223"/>
      <c r="N253" s="224"/>
      <c r="O253" s="224"/>
      <c r="P253" s="224"/>
      <c r="Q253" s="224"/>
      <c r="R253" s="224"/>
      <c r="S253" s="224"/>
      <c r="T253" s="225"/>
      <c r="AT253" s="226" t="s">
        <v>388</v>
      </c>
      <c r="AU253" s="226" t="s">
        <v>82</v>
      </c>
      <c r="AV253" s="15" t="s">
        <v>386</v>
      </c>
      <c r="AW253" s="15" t="s">
        <v>33</v>
      </c>
      <c r="AX253" s="15" t="s">
        <v>79</v>
      </c>
      <c r="AY253" s="226" t="s">
        <v>380</v>
      </c>
    </row>
    <row r="254" spans="1:65" s="2" customFormat="1" ht="16.5" customHeight="1">
      <c r="A254" s="36"/>
      <c r="B254" s="37"/>
      <c r="C254" s="181" t="s">
        <v>600</v>
      </c>
      <c r="D254" s="181" t="s">
        <v>382</v>
      </c>
      <c r="E254" s="182" t="s">
        <v>601</v>
      </c>
      <c r="F254" s="183" t="s">
        <v>602</v>
      </c>
      <c r="G254" s="184" t="s">
        <v>398</v>
      </c>
      <c r="H254" s="185">
        <v>3940.5070000000001</v>
      </c>
      <c r="I254" s="186"/>
      <c r="J254" s="187">
        <f>ROUND(I254*H254,2)</f>
        <v>0</v>
      </c>
      <c r="K254" s="183" t="s">
        <v>399</v>
      </c>
      <c r="L254" s="41"/>
      <c r="M254" s="188" t="s">
        <v>19</v>
      </c>
      <c r="N254" s="189" t="s">
        <v>43</v>
      </c>
      <c r="O254" s="66"/>
      <c r="P254" s="190">
        <f>O254*H254</f>
        <v>0</v>
      </c>
      <c r="Q254" s="190">
        <v>2.7469E-3</v>
      </c>
      <c r="R254" s="190">
        <f>Q254*H254</f>
        <v>10.824178678300001</v>
      </c>
      <c r="S254" s="190">
        <v>0</v>
      </c>
      <c r="T254" s="191">
        <f>S254*H254</f>
        <v>0</v>
      </c>
      <c r="U254" s="36"/>
      <c r="V254" s="36"/>
      <c r="W254" s="36"/>
      <c r="X254" s="36"/>
      <c r="Y254" s="36"/>
      <c r="Z254" s="36"/>
      <c r="AA254" s="36"/>
      <c r="AB254" s="36"/>
      <c r="AC254" s="36"/>
      <c r="AD254" s="36"/>
      <c r="AE254" s="36"/>
      <c r="AR254" s="192" t="s">
        <v>386</v>
      </c>
      <c r="AT254" s="192" t="s">
        <v>382</v>
      </c>
      <c r="AU254" s="192" t="s">
        <v>82</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386</v>
      </c>
      <c r="BM254" s="192" t="s">
        <v>603</v>
      </c>
    </row>
    <row r="255" spans="1:65" s="13" customFormat="1" ht="11.25">
      <c r="B255" s="194"/>
      <c r="C255" s="195"/>
      <c r="D255" s="196" t="s">
        <v>388</v>
      </c>
      <c r="E255" s="197" t="s">
        <v>19</v>
      </c>
      <c r="F255" s="198" t="s">
        <v>583</v>
      </c>
      <c r="G255" s="195"/>
      <c r="H255" s="197" t="s">
        <v>19</v>
      </c>
      <c r="I255" s="199"/>
      <c r="J255" s="195"/>
      <c r="K255" s="195"/>
      <c r="L255" s="200"/>
      <c r="M255" s="201"/>
      <c r="N255" s="202"/>
      <c r="O255" s="202"/>
      <c r="P255" s="202"/>
      <c r="Q255" s="202"/>
      <c r="R255" s="202"/>
      <c r="S255" s="202"/>
      <c r="T255" s="203"/>
      <c r="AT255" s="204" t="s">
        <v>388</v>
      </c>
      <c r="AU255" s="204" t="s">
        <v>82</v>
      </c>
      <c r="AV255" s="13" t="s">
        <v>79</v>
      </c>
      <c r="AW255" s="13" t="s">
        <v>33</v>
      </c>
      <c r="AX255" s="13" t="s">
        <v>72</v>
      </c>
      <c r="AY255" s="204" t="s">
        <v>380</v>
      </c>
    </row>
    <row r="256" spans="1:65" s="14" customFormat="1" ht="11.25">
      <c r="B256" s="205"/>
      <c r="C256" s="206"/>
      <c r="D256" s="196" t="s">
        <v>388</v>
      </c>
      <c r="E256" s="207" t="s">
        <v>19</v>
      </c>
      <c r="F256" s="208" t="s">
        <v>604</v>
      </c>
      <c r="G256" s="206"/>
      <c r="H256" s="209">
        <v>920.89499999999998</v>
      </c>
      <c r="I256" s="210"/>
      <c r="J256" s="206"/>
      <c r="K256" s="206"/>
      <c r="L256" s="211"/>
      <c r="M256" s="212"/>
      <c r="N256" s="213"/>
      <c r="O256" s="213"/>
      <c r="P256" s="213"/>
      <c r="Q256" s="213"/>
      <c r="R256" s="213"/>
      <c r="S256" s="213"/>
      <c r="T256" s="214"/>
      <c r="AT256" s="215" t="s">
        <v>388</v>
      </c>
      <c r="AU256" s="215" t="s">
        <v>82</v>
      </c>
      <c r="AV256" s="14" t="s">
        <v>82</v>
      </c>
      <c r="AW256" s="14" t="s">
        <v>33</v>
      </c>
      <c r="AX256" s="14" t="s">
        <v>72</v>
      </c>
      <c r="AY256" s="215" t="s">
        <v>380</v>
      </c>
    </row>
    <row r="257" spans="2:51" s="14" customFormat="1" ht="11.25">
      <c r="B257" s="205"/>
      <c r="C257" s="206"/>
      <c r="D257" s="196" t="s">
        <v>388</v>
      </c>
      <c r="E257" s="207" t="s">
        <v>19</v>
      </c>
      <c r="F257" s="208" t="s">
        <v>605</v>
      </c>
      <c r="G257" s="206"/>
      <c r="H257" s="209">
        <v>1217.4059999999999</v>
      </c>
      <c r="I257" s="210"/>
      <c r="J257" s="206"/>
      <c r="K257" s="206"/>
      <c r="L257" s="211"/>
      <c r="M257" s="212"/>
      <c r="N257" s="213"/>
      <c r="O257" s="213"/>
      <c r="P257" s="213"/>
      <c r="Q257" s="213"/>
      <c r="R257" s="213"/>
      <c r="S257" s="213"/>
      <c r="T257" s="214"/>
      <c r="AT257" s="215" t="s">
        <v>388</v>
      </c>
      <c r="AU257" s="215" t="s">
        <v>82</v>
      </c>
      <c r="AV257" s="14" t="s">
        <v>82</v>
      </c>
      <c r="AW257" s="14" t="s">
        <v>33</v>
      </c>
      <c r="AX257" s="14" t="s">
        <v>72</v>
      </c>
      <c r="AY257" s="215" t="s">
        <v>380</v>
      </c>
    </row>
    <row r="258" spans="2:51" s="14" customFormat="1" ht="11.25">
      <c r="B258" s="205"/>
      <c r="C258" s="206"/>
      <c r="D258" s="196" t="s">
        <v>388</v>
      </c>
      <c r="E258" s="207" t="s">
        <v>19</v>
      </c>
      <c r="F258" s="208" t="s">
        <v>606</v>
      </c>
      <c r="G258" s="206"/>
      <c r="H258" s="209">
        <v>166.44</v>
      </c>
      <c r="I258" s="210"/>
      <c r="J258" s="206"/>
      <c r="K258" s="206"/>
      <c r="L258" s="211"/>
      <c r="M258" s="212"/>
      <c r="N258" s="213"/>
      <c r="O258" s="213"/>
      <c r="P258" s="213"/>
      <c r="Q258" s="213"/>
      <c r="R258" s="213"/>
      <c r="S258" s="213"/>
      <c r="T258" s="214"/>
      <c r="AT258" s="215" t="s">
        <v>388</v>
      </c>
      <c r="AU258" s="215" t="s">
        <v>82</v>
      </c>
      <c r="AV258" s="14" t="s">
        <v>82</v>
      </c>
      <c r="AW258" s="14" t="s">
        <v>33</v>
      </c>
      <c r="AX258" s="14" t="s">
        <v>72</v>
      </c>
      <c r="AY258" s="215" t="s">
        <v>380</v>
      </c>
    </row>
    <row r="259" spans="2:51" s="14" customFormat="1" ht="11.25">
      <c r="B259" s="205"/>
      <c r="C259" s="206"/>
      <c r="D259" s="196" t="s">
        <v>388</v>
      </c>
      <c r="E259" s="207" t="s">
        <v>19</v>
      </c>
      <c r="F259" s="208" t="s">
        <v>607</v>
      </c>
      <c r="G259" s="206"/>
      <c r="H259" s="209">
        <v>-236.95599999999999</v>
      </c>
      <c r="I259" s="210"/>
      <c r="J259" s="206"/>
      <c r="K259" s="206"/>
      <c r="L259" s="211"/>
      <c r="M259" s="212"/>
      <c r="N259" s="213"/>
      <c r="O259" s="213"/>
      <c r="P259" s="213"/>
      <c r="Q259" s="213"/>
      <c r="R259" s="213"/>
      <c r="S259" s="213"/>
      <c r="T259" s="214"/>
      <c r="AT259" s="215" t="s">
        <v>388</v>
      </c>
      <c r="AU259" s="215" t="s">
        <v>82</v>
      </c>
      <c r="AV259" s="14" t="s">
        <v>82</v>
      </c>
      <c r="AW259" s="14" t="s">
        <v>33</v>
      </c>
      <c r="AX259" s="14" t="s">
        <v>72</v>
      </c>
      <c r="AY259" s="215" t="s">
        <v>380</v>
      </c>
    </row>
    <row r="260" spans="2:51" s="14" customFormat="1" ht="11.25">
      <c r="B260" s="205"/>
      <c r="C260" s="206"/>
      <c r="D260" s="196" t="s">
        <v>388</v>
      </c>
      <c r="E260" s="207" t="s">
        <v>19</v>
      </c>
      <c r="F260" s="208" t="s">
        <v>608</v>
      </c>
      <c r="G260" s="206"/>
      <c r="H260" s="209">
        <v>-20.68</v>
      </c>
      <c r="I260" s="210"/>
      <c r="J260" s="206"/>
      <c r="K260" s="206"/>
      <c r="L260" s="211"/>
      <c r="M260" s="212"/>
      <c r="N260" s="213"/>
      <c r="O260" s="213"/>
      <c r="P260" s="213"/>
      <c r="Q260" s="213"/>
      <c r="R260" s="213"/>
      <c r="S260" s="213"/>
      <c r="T260" s="214"/>
      <c r="AT260" s="215" t="s">
        <v>388</v>
      </c>
      <c r="AU260" s="215" t="s">
        <v>82</v>
      </c>
      <c r="AV260" s="14" t="s">
        <v>82</v>
      </c>
      <c r="AW260" s="14" t="s">
        <v>33</v>
      </c>
      <c r="AX260" s="14" t="s">
        <v>72</v>
      </c>
      <c r="AY260" s="215" t="s">
        <v>380</v>
      </c>
    </row>
    <row r="261" spans="2:51" s="14" customFormat="1" ht="11.25">
      <c r="B261" s="205"/>
      <c r="C261" s="206"/>
      <c r="D261" s="196" t="s">
        <v>388</v>
      </c>
      <c r="E261" s="207" t="s">
        <v>19</v>
      </c>
      <c r="F261" s="208" t="s">
        <v>609</v>
      </c>
      <c r="G261" s="206"/>
      <c r="H261" s="209">
        <v>-13.776</v>
      </c>
      <c r="I261" s="210"/>
      <c r="J261" s="206"/>
      <c r="K261" s="206"/>
      <c r="L261" s="211"/>
      <c r="M261" s="212"/>
      <c r="N261" s="213"/>
      <c r="O261" s="213"/>
      <c r="P261" s="213"/>
      <c r="Q261" s="213"/>
      <c r="R261" s="213"/>
      <c r="S261" s="213"/>
      <c r="T261" s="214"/>
      <c r="AT261" s="215" t="s">
        <v>388</v>
      </c>
      <c r="AU261" s="215" t="s">
        <v>82</v>
      </c>
      <c r="AV261" s="14" t="s">
        <v>82</v>
      </c>
      <c r="AW261" s="14" t="s">
        <v>33</v>
      </c>
      <c r="AX261" s="14" t="s">
        <v>72</v>
      </c>
      <c r="AY261" s="215" t="s">
        <v>380</v>
      </c>
    </row>
    <row r="262" spans="2:51" s="16" customFormat="1" ht="11.25">
      <c r="B262" s="237"/>
      <c r="C262" s="238"/>
      <c r="D262" s="196" t="s">
        <v>388</v>
      </c>
      <c r="E262" s="239" t="s">
        <v>19</v>
      </c>
      <c r="F262" s="240" t="s">
        <v>572</v>
      </c>
      <c r="G262" s="238"/>
      <c r="H262" s="241">
        <v>2033.329</v>
      </c>
      <c r="I262" s="242"/>
      <c r="J262" s="238"/>
      <c r="K262" s="238"/>
      <c r="L262" s="243"/>
      <c r="M262" s="244"/>
      <c r="N262" s="245"/>
      <c r="O262" s="245"/>
      <c r="P262" s="245"/>
      <c r="Q262" s="245"/>
      <c r="R262" s="245"/>
      <c r="S262" s="245"/>
      <c r="T262" s="246"/>
      <c r="AT262" s="247" t="s">
        <v>388</v>
      </c>
      <c r="AU262" s="247" t="s">
        <v>82</v>
      </c>
      <c r="AV262" s="16" t="s">
        <v>99</v>
      </c>
      <c r="AW262" s="16" t="s">
        <v>33</v>
      </c>
      <c r="AX262" s="16" t="s">
        <v>72</v>
      </c>
      <c r="AY262" s="247" t="s">
        <v>380</v>
      </c>
    </row>
    <row r="263" spans="2:51" s="13" customFormat="1" ht="11.25">
      <c r="B263" s="194"/>
      <c r="C263" s="195"/>
      <c r="D263" s="196" t="s">
        <v>388</v>
      </c>
      <c r="E263" s="197" t="s">
        <v>19</v>
      </c>
      <c r="F263" s="198" t="s">
        <v>569</v>
      </c>
      <c r="G263" s="195"/>
      <c r="H263" s="197" t="s">
        <v>19</v>
      </c>
      <c r="I263" s="199"/>
      <c r="J263" s="195"/>
      <c r="K263" s="195"/>
      <c r="L263" s="200"/>
      <c r="M263" s="201"/>
      <c r="N263" s="202"/>
      <c r="O263" s="202"/>
      <c r="P263" s="202"/>
      <c r="Q263" s="202"/>
      <c r="R263" s="202"/>
      <c r="S263" s="202"/>
      <c r="T263" s="203"/>
      <c r="AT263" s="204" t="s">
        <v>388</v>
      </c>
      <c r="AU263" s="204" t="s">
        <v>82</v>
      </c>
      <c r="AV263" s="13" t="s">
        <v>79</v>
      </c>
      <c r="AW263" s="13" t="s">
        <v>33</v>
      </c>
      <c r="AX263" s="13" t="s">
        <v>72</v>
      </c>
      <c r="AY263" s="204" t="s">
        <v>380</v>
      </c>
    </row>
    <row r="264" spans="2:51" s="14" customFormat="1" ht="11.25">
      <c r="B264" s="205"/>
      <c r="C264" s="206"/>
      <c r="D264" s="196" t="s">
        <v>388</v>
      </c>
      <c r="E264" s="207" t="s">
        <v>19</v>
      </c>
      <c r="F264" s="208" t="s">
        <v>610</v>
      </c>
      <c r="G264" s="206"/>
      <c r="H264" s="209">
        <v>1535.8019999999999</v>
      </c>
      <c r="I264" s="210"/>
      <c r="J264" s="206"/>
      <c r="K264" s="206"/>
      <c r="L264" s="211"/>
      <c r="M264" s="212"/>
      <c r="N264" s="213"/>
      <c r="O264" s="213"/>
      <c r="P264" s="213"/>
      <c r="Q264" s="213"/>
      <c r="R264" s="213"/>
      <c r="S264" s="213"/>
      <c r="T264" s="214"/>
      <c r="AT264" s="215" t="s">
        <v>388</v>
      </c>
      <c r="AU264" s="215" t="s">
        <v>82</v>
      </c>
      <c r="AV264" s="14" t="s">
        <v>82</v>
      </c>
      <c r="AW264" s="14" t="s">
        <v>33</v>
      </c>
      <c r="AX264" s="14" t="s">
        <v>72</v>
      </c>
      <c r="AY264" s="215" t="s">
        <v>380</v>
      </c>
    </row>
    <row r="265" spans="2:51" s="14" customFormat="1" ht="11.25">
      <c r="B265" s="205"/>
      <c r="C265" s="206"/>
      <c r="D265" s="196" t="s">
        <v>388</v>
      </c>
      <c r="E265" s="207" t="s">
        <v>19</v>
      </c>
      <c r="F265" s="208" t="s">
        <v>611</v>
      </c>
      <c r="G265" s="206"/>
      <c r="H265" s="209">
        <v>163.70400000000001</v>
      </c>
      <c r="I265" s="210"/>
      <c r="J265" s="206"/>
      <c r="K265" s="206"/>
      <c r="L265" s="211"/>
      <c r="M265" s="212"/>
      <c r="N265" s="213"/>
      <c r="O265" s="213"/>
      <c r="P265" s="213"/>
      <c r="Q265" s="213"/>
      <c r="R265" s="213"/>
      <c r="S265" s="213"/>
      <c r="T265" s="214"/>
      <c r="AT265" s="215" t="s">
        <v>388</v>
      </c>
      <c r="AU265" s="215" t="s">
        <v>82</v>
      </c>
      <c r="AV265" s="14" t="s">
        <v>82</v>
      </c>
      <c r="AW265" s="14" t="s">
        <v>33</v>
      </c>
      <c r="AX265" s="14" t="s">
        <v>72</v>
      </c>
      <c r="AY265" s="215" t="s">
        <v>380</v>
      </c>
    </row>
    <row r="266" spans="2:51" s="14" customFormat="1" ht="11.25">
      <c r="B266" s="205"/>
      <c r="C266" s="206"/>
      <c r="D266" s="196" t="s">
        <v>388</v>
      </c>
      <c r="E266" s="207" t="s">
        <v>19</v>
      </c>
      <c r="F266" s="208" t="s">
        <v>612</v>
      </c>
      <c r="G266" s="206"/>
      <c r="H266" s="209">
        <v>-136.06</v>
      </c>
      <c r="I266" s="210"/>
      <c r="J266" s="206"/>
      <c r="K266" s="206"/>
      <c r="L266" s="211"/>
      <c r="M266" s="212"/>
      <c r="N266" s="213"/>
      <c r="O266" s="213"/>
      <c r="P266" s="213"/>
      <c r="Q266" s="213"/>
      <c r="R266" s="213"/>
      <c r="S266" s="213"/>
      <c r="T266" s="214"/>
      <c r="AT266" s="215" t="s">
        <v>388</v>
      </c>
      <c r="AU266" s="215" t="s">
        <v>82</v>
      </c>
      <c r="AV266" s="14" t="s">
        <v>82</v>
      </c>
      <c r="AW266" s="14" t="s">
        <v>33</v>
      </c>
      <c r="AX266" s="14" t="s">
        <v>72</v>
      </c>
      <c r="AY266" s="215" t="s">
        <v>380</v>
      </c>
    </row>
    <row r="267" spans="2:51" s="14" customFormat="1" ht="11.25">
      <c r="B267" s="205"/>
      <c r="C267" s="206"/>
      <c r="D267" s="196" t="s">
        <v>388</v>
      </c>
      <c r="E267" s="207" t="s">
        <v>19</v>
      </c>
      <c r="F267" s="208" t="s">
        <v>613</v>
      </c>
      <c r="G267" s="206"/>
      <c r="H267" s="209">
        <v>-13.44</v>
      </c>
      <c r="I267" s="210"/>
      <c r="J267" s="206"/>
      <c r="K267" s="206"/>
      <c r="L267" s="211"/>
      <c r="M267" s="212"/>
      <c r="N267" s="213"/>
      <c r="O267" s="213"/>
      <c r="P267" s="213"/>
      <c r="Q267" s="213"/>
      <c r="R267" s="213"/>
      <c r="S267" s="213"/>
      <c r="T267" s="214"/>
      <c r="AT267" s="215" t="s">
        <v>388</v>
      </c>
      <c r="AU267" s="215" t="s">
        <v>82</v>
      </c>
      <c r="AV267" s="14" t="s">
        <v>82</v>
      </c>
      <c r="AW267" s="14" t="s">
        <v>33</v>
      </c>
      <c r="AX267" s="14" t="s">
        <v>72</v>
      </c>
      <c r="AY267" s="215" t="s">
        <v>380</v>
      </c>
    </row>
    <row r="268" spans="2:51" s="16" customFormat="1" ht="11.25">
      <c r="B268" s="237"/>
      <c r="C268" s="238"/>
      <c r="D268" s="196" t="s">
        <v>388</v>
      </c>
      <c r="E268" s="239" t="s">
        <v>19</v>
      </c>
      <c r="F268" s="240" t="s">
        <v>572</v>
      </c>
      <c r="G268" s="238"/>
      <c r="H268" s="241">
        <v>1550.0060000000001</v>
      </c>
      <c r="I268" s="242"/>
      <c r="J268" s="238"/>
      <c r="K268" s="238"/>
      <c r="L268" s="243"/>
      <c r="M268" s="244"/>
      <c r="N268" s="245"/>
      <c r="O268" s="245"/>
      <c r="P268" s="245"/>
      <c r="Q268" s="245"/>
      <c r="R268" s="245"/>
      <c r="S268" s="245"/>
      <c r="T268" s="246"/>
      <c r="AT268" s="247" t="s">
        <v>388</v>
      </c>
      <c r="AU268" s="247" t="s">
        <v>82</v>
      </c>
      <c r="AV268" s="16" t="s">
        <v>99</v>
      </c>
      <c r="AW268" s="16" t="s">
        <v>33</v>
      </c>
      <c r="AX268" s="16" t="s">
        <v>72</v>
      </c>
      <c r="AY268" s="247" t="s">
        <v>380</v>
      </c>
    </row>
    <row r="269" spans="2:51" s="13" customFormat="1" ht="11.25">
      <c r="B269" s="194"/>
      <c r="C269" s="195"/>
      <c r="D269" s="196" t="s">
        <v>388</v>
      </c>
      <c r="E269" s="197" t="s">
        <v>19</v>
      </c>
      <c r="F269" s="198" t="s">
        <v>573</v>
      </c>
      <c r="G269" s="195"/>
      <c r="H269" s="197" t="s">
        <v>19</v>
      </c>
      <c r="I269" s="199"/>
      <c r="J269" s="195"/>
      <c r="K269" s="195"/>
      <c r="L269" s="200"/>
      <c r="M269" s="201"/>
      <c r="N269" s="202"/>
      <c r="O269" s="202"/>
      <c r="P269" s="202"/>
      <c r="Q269" s="202"/>
      <c r="R269" s="202"/>
      <c r="S269" s="202"/>
      <c r="T269" s="203"/>
      <c r="AT269" s="204" t="s">
        <v>388</v>
      </c>
      <c r="AU269" s="204" t="s">
        <v>82</v>
      </c>
      <c r="AV269" s="13" t="s">
        <v>79</v>
      </c>
      <c r="AW269" s="13" t="s">
        <v>33</v>
      </c>
      <c r="AX269" s="13" t="s">
        <v>72</v>
      </c>
      <c r="AY269" s="204" t="s">
        <v>380</v>
      </c>
    </row>
    <row r="270" spans="2:51" s="14" customFormat="1" ht="11.25">
      <c r="B270" s="205"/>
      <c r="C270" s="206"/>
      <c r="D270" s="196" t="s">
        <v>388</v>
      </c>
      <c r="E270" s="207" t="s">
        <v>19</v>
      </c>
      <c r="F270" s="208" t="s">
        <v>614</v>
      </c>
      <c r="G270" s="206"/>
      <c r="H270" s="209">
        <v>94.775999999999996</v>
      </c>
      <c r="I270" s="210"/>
      <c r="J270" s="206"/>
      <c r="K270" s="206"/>
      <c r="L270" s="211"/>
      <c r="M270" s="212"/>
      <c r="N270" s="213"/>
      <c r="O270" s="213"/>
      <c r="P270" s="213"/>
      <c r="Q270" s="213"/>
      <c r="R270" s="213"/>
      <c r="S270" s="213"/>
      <c r="T270" s="214"/>
      <c r="AT270" s="215" t="s">
        <v>388</v>
      </c>
      <c r="AU270" s="215" t="s">
        <v>82</v>
      </c>
      <c r="AV270" s="14" t="s">
        <v>82</v>
      </c>
      <c r="AW270" s="14" t="s">
        <v>33</v>
      </c>
      <c r="AX270" s="14" t="s">
        <v>72</v>
      </c>
      <c r="AY270" s="215" t="s">
        <v>380</v>
      </c>
    </row>
    <row r="271" spans="2:51" s="14" customFormat="1" ht="11.25">
      <c r="B271" s="205"/>
      <c r="C271" s="206"/>
      <c r="D271" s="196" t="s">
        <v>388</v>
      </c>
      <c r="E271" s="207" t="s">
        <v>19</v>
      </c>
      <c r="F271" s="208" t="s">
        <v>611</v>
      </c>
      <c r="G271" s="206"/>
      <c r="H271" s="209">
        <v>163.70400000000001</v>
      </c>
      <c r="I271" s="210"/>
      <c r="J271" s="206"/>
      <c r="K271" s="206"/>
      <c r="L271" s="211"/>
      <c r="M271" s="212"/>
      <c r="N271" s="213"/>
      <c r="O271" s="213"/>
      <c r="P271" s="213"/>
      <c r="Q271" s="213"/>
      <c r="R271" s="213"/>
      <c r="S271" s="213"/>
      <c r="T271" s="214"/>
      <c r="AT271" s="215" t="s">
        <v>388</v>
      </c>
      <c r="AU271" s="215" t="s">
        <v>82</v>
      </c>
      <c r="AV271" s="14" t="s">
        <v>82</v>
      </c>
      <c r="AW271" s="14" t="s">
        <v>33</v>
      </c>
      <c r="AX271" s="14" t="s">
        <v>72</v>
      </c>
      <c r="AY271" s="215" t="s">
        <v>380</v>
      </c>
    </row>
    <row r="272" spans="2:51" s="14" customFormat="1" ht="11.25">
      <c r="B272" s="205"/>
      <c r="C272" s="206"/>
      <c r="D272" s="196" t="s">
        <v>388</v>
      </c>
      <c r="E272" s="207" t="s">
        <v>19</v>
      </c>
      <c r="F272" s="208" t="s">
        <v>615</v>
      </c>
      <c r="G272" s="206"/>
      <c r="H272" s="209">
        <v>-52.92</v>
      </c>
      <c r="I272" s="210"/>
      <c r="J272" s="206"/>
      <c r="K272" s="206"/>
      <c r="L272" s="211"/>
      <c r="M272" s="212"/>
      <c r="N272" s="213"/>
      <c r="O272" s="213"/>
      <c r="P272" s="213"/>
      <c r="Q272" s="213"/>
      <c r="R272" s="213"/>
      <c r="S272" s="213"/>
      <c r="T272" s="214"/>
      <c r="AT272" s="215" t="s">
        <v>388</v>
      </c>
      <c r="AU272" s="215" t="s">
        <v>82</v>
      </c>
      <c r="AV272" s="14" t="s">
        <v>82</v>
      </c>
      <c r="AW272" s="14" t="s">
        <v>33</v>
      </c>
      <c r="AX272" s="14" t="s">
        <v>72</v>
      </c>
      <c r="AY272" s="215" t="s">
        <v>380</v>
      </c>
    </row>
    <row r="273" spans="1:65" s="14" customFormat="1" ht="11.25">
      <c r="B273" s="205"/>
      <c r="C273" s="206"/>
      <c r="D273" s="196" t="s">
        <v>388</v>
      </c>
      <c r="E273" s="207" t="s">
        <v>19</v>
      </c>
      <c r="F273" s="208" t="s">
        <v>613</v>
      </c>
      <c r="G273" s="206"/>
      <c r="H273" s="209">
        <v>-13.44</v>
      </c>
      <c r="I273" s="210"/>
      <c r="J273" s="206"/>
      <c r="K273" s="206"/>
      <c r="L273" s="211"/>
      <c r="M273" s="212"/>
      <c r="N273" s="213"/>
      <c r="O273" s="213"/>
      <c r="P273" s="213"/>
      <c r="Q273" s="213"/>
      <c r="R273" s="213"/>
      <c r="S273" s="213"/>
      <c r="T273" s="214"/>
      <c r="AT273" s="215" t="s">
        <v>388</v>
      </c>
      <c r="AU273" s="215" t="s">
        <v>82</v>
      </c>
      <c r="AV273" s="14" t="s">
        <v>82</v>
      </c>
      <c r="AW273" s="14" t="s">
        <v>33</v>
      </c>
      <c r="AX273" s="14" t="s">
        <v>72</v>
      </c>
      <c r="AY273" s="215" t="s">
        <v>380</v>
      </c>
    </row>
    <row r="274" spans="1:65" s="16" customFormat="1" ht="11.25">
      <c r="B274" s="237"/>
      <c r="C274" s="238"/>
      <c r="D274" s="196" t="s">
        <v>388</v>
      </c>
      <c r="E274" s="239" t="s">
        <v>19</v>
      </c>
      <c r="F274" s="240" t="s">
        <v>572</v>
      </c>
      <c r="G274" s="238"/>
      <c r="H274" s="241">
        <v>192.12</v>
      </c>
      <c r="I274" s="242"/>
      <c r="J274" s="238"/>
      <c r="K274" s="238"/>
      <c r="L274" s="243"/>
      <c r="M274" s="244"/>
      <c r="N274" s="245"/>
      <c r="O274" s="245"/>
      <c r="P274" s="245"/>
      <c r="Q274" s="245"/>
      <c r="R274" s="245"/>
      <c r="S274" s="245"/>
      <c r="T274" s="246"/>
      <c r="AT274" s="247" t="s">
        <v>388</v>
      </c>
      <c r="AU274" s="247" t="s">
        <v>82</v>
      </c>
      <c r="AV274" s="16" t="s">
        <v>99</v>
      </c>
      <c r="AW274" s="16" t="s">
        <v>33</v>
      </c>
      <c r="AX274" s="16" t="s">
        <v>72</v>
      </c>
      <c r="AY274" s="247" t="s">
        <v>380</v>
      </c>
    </row>
    <row r="275" spans="1:65" s="13" customFormat="1" ht="11.25">
      <c r="B275" s="194"/>
      <c r="C275" s="195"/>
      <c r="D275" s="196" t="s">
        <v>388</v>
      </c>
      <c r="E275" s="197" t="s">
        <v>19</v>
      </c>
      <c r="F275" s="198" t="s">
        <v>576</v>
      </c>
      <c r="G275" s="195"/>
      <c r="H275" s="197" t="s">
        <v>19</v>
      </c>
      <c r="I275" s="199"/>
      <c r="J275" s="195"/>
      <c r="K275" s="195"/>
      <c r="L275" s="200"/>
      <c r="M275" s="201"/>
      <c r="N275" s="202"/>
      <c r="O275" s="202"/>
      <c r="P275" s="202"/>
      <c r="Q275" s="202"/>
      <c r="R275" s="202"/>
      <c r="S275" s="202"/>
      <c r="T275" s="203"/>
      <c r="AT275" s="204" t="s">
        <v>388</v>
      </c>
      <c r="AU275" s="204" t="s">
        <v>82</v>
      </c>
      <c r="AV275" s="13" t="s">
        <v>79</v>
      </c>
      <c r="AW275" s="13" t="s">
        <v>33</v>
      </c>
      <c r="AX275" s="13" t="s">
        <v>72</v>
      </c>
      <c r="AY275" s="204" t="s">
        <v>380</v>
      </c>
    </row>
    <row r="276" spans="1:65" s="14" customFormat="1" ht="11.25">
      <c r="B276" s="205"/>
      <c r="C276" s="206"/>
      <c r="D276" s="196" t="s">
        <v>388</v>
      </c>
      <c r="E276" s="207" t="s">
        <v>19</v>
      </c>
      <c r="F276" s="208" t="s">
        <v>616</v>
      </c>
      <c r="G276" s="206"/>
      <c r="H276" s="209">
        <v>35.643999999999998</v>
      </c>
      <c r="I276" s="210"/>
      <c r="J276" s="206"/>
      <c r="K276" s="206"/>
      <c r="L276" s="211"/>
      <c r="M276" s="212"/>
      <c r="N276" s="213"/>
      <c r="O276" s="213"/>
      <c r="P276" s="213"/>
      <c r="Q276" s="213"/>
      <c r="R276" s="213"/>
      <c r="S276" s="213"/>
      <c r="T276" s="214"/>
      <c r="AT276" s="215" t="s">
        <v>388</v>
      </c>
      <c r="AU276" s="215" t="s">
        <v>82</v>
      </c>
      <c r="AV276" s="14" t="s">
        <v>82</v>
      </c>
      <c r="AW276" s="14" t="s">
        <v>33</v>
      </c>
      <c r="AX276" s="14" t="s">
        <v>72</v>
      </c>
      <c r="AY276" s="215" t="s">
        <v>380</v>
      </c>
    </row>
    <row r="277" spans="1:65" s="14" customFormat="1" ht="11.25">
      <c r="B277" s="205"/>
      <c r="C277" s="206"/>
      <c r="D277" s="196" t="s">
        <v>388</v>
      </c>
      <c r="E277" s="207" t="s">
        <v>19</v>
      </c>
      <c r="F277" s="208" t="s">
        <v>617</v>
      </c>
      <c r="G277" s="206"/>
      <c r="H277" s="209">
        <v>158.08000000000001</v>
      </c>
      <c r="I277" s="210"/>
      <c r="J277" s="206"/>
      <c r="K277" s="206"/>
      <c r="L277" s="211"/>
      <c r="M277" s="212"/>
      <c r="N277" s="213"/>
      <c r="O277" s="213"/>
      <c r="P277" s="213"/>
      <c r="Q277" s="213"/>
      <c r="R277" s="213"/>
      <c r="S277" s="213"/>
      <c r="T277" s="214"/>
      <c r="AT277" s="215" t="s">
        <v>388</v>
      </c>
      <c r="AU277" s="215" t="s">
        <v>82</v>
      </c>
      <c r="AV277" s="14" t="s">
        <v>82</v>
      </c>
      <c r="AW277" s="14" t="s">
        <v>33</v>
      </c>
      <c r="AX277" s="14" t="s">
        <v>72</v>
      </c>
      <c r="AY277" s="215" t="s">
        <v>380</v>
      </c>
    </row>
    <row r="278" spans="1:65" s="14" customFormat="1" ht="11.25">
      <c r="B278" s="205"/>
      <c r="C278" s="206"/>
      <c r="D278" s="196" t="s">
        <v>388</v>
      </c>
      <c r="E278" s="207" t="s">
        <v>19</v>
      </c>
      <c r="F278" s="208" t="s">
        <v>618</v>
      </c>
      <c r="G278" s="206"/>
      <c r="H278" s="209">
        <v>-14.336</v>
      </c>
      <c r="I278" s="210"/>
      <c r="J278" s="206"/>
      <c r="K278" s="206"/>
      <c r="L278" s="211"/>
      <c r="M278" s="212"/>
      <c r="N278" s="213"/>
      <c r="O278" s="213"/>
      <c r="P278" s="213"/>
      <c r="Q278" s="213"/>
      <c r="R278" s="213"/>
      <c r="S278" s="213"/>
      <c r="T278" s="214"/>
      <c r="AT278" s="215" t="s">
        <v>388</v>
      </c>
      <c r="AU278" s="215" t="s">
        <v>82</v>
      </c>
      <c r="AV278" s="14" t="s">
        <v>82</v>
      </c>
      <c r="AW278" s="14" t="s">
        <v>33</v>
      </c>
      <c r="AX278" s="14" t="s">
        <v>72</v>
      </c>
      <c r="AY278" s="215" t="s">
        <v>380</v>
      </c>
    </row>
    <row r="279" spans="1:65" s="14" customFormat="1" ht="11.25">
      <c r="B279" s="205"/>
      <c r="C279" s="206"/>
      <c r="D279" s="196" t="s">
        <v>388</v>
      </c>
      <c r="E279" s="207" t="s">
        <v>19</v>
      </c>
      <c r="F279" s="208" t="s">
        <v>618</v>
      </c>
      <c r="G279" s="206"/>
      <c r="H279" s="209">
        <v>-14.336</v>
      </c>
      <c r="I279" s="210"/>
      <c r="J279" s="206"/>
      <c r="K279" s="206"/>
      <c r="L279" s="211"/>
      <c r="M279" s="212"/>
      <c r="N279" s="213"/>
      <c r="O279" s="213"/>
      <c r="P279" s="213"/>
      <c r="Q279" s="213"/>
      <c r="R279" s="213"/>
      <c r="S279" s="213"/>
      <c r="T279" s="214"/>
      <c r="AT279" s="215" t="s">
        <v>388</v>
      </c>
      <c r="AU279" s="215" t="s">
        <v>82</v>
      </c>
      <c r="AV279" s="14" t="s">
        <v>82</v>
      </c>
      <c r="AW279" s="14" t="s">
        <v>33</v>
      </c>
      <c r="AX279" s="14" t="s">
        <v>72</v>
      </c>
      <c r="AY279" s="215" t="s">
        <v>380</v>
      </c>
    </row>
    <row r="280" spans="1:65" s="16" customFormat="1" ht="11.25">
      <c r="B280" s="237"/>
      <c r="C280" s="238"/>
      <c r="D280" s="196" t="s">
        <v>388</v>
      </c>
      <c r="E280" s="239" t="s">
        <v>19</v>
      </c>
      <c r="F280" s="240" t="s">
        <v>572</v>
      </c>
      <c r="G280" s="238"/>
      <c r="H280" s="241">
        <v>165.05199999999999</v>
      </c>
      <c r="I280" s="242"/>
      <c r="J280" s="238"/>
      <c r="K280" s="238"/>
      <c r="L280" s="243"/>
      <c r="M280" s="244"/>
      <c r="N280" s="245"/>
      <c r="O280" s="245"/>
      <c r="P280" s="245"/>
      <c r="Q280" s="245"/>
      <c r="R280" s="245"/>
      <c r="S280" s="245"/>
      <c r="T280" s="246"/>
      <c r="AT280" s="247" t="s">
        <v>388</v>
      </c>
      <c r="AU280" s="247" t="s">
        <v>82</v>
      </c>
      <c r="AV280" s="16" t="s">
        <v>99</v>
      </c>
      <c r="AW280" s="16" t="s">
        <v>33</v>
      </c>
      <c r="AX280" s="16" t="s">
        <v>72</v>
      </c>
      <c r="AY280" s="247" t="s">
        <v>380</v>
      </c>
    </row>
    <row r="281" spans="1:65" s="15" customFormat="1" ht="11.25">
      <c r="B281" s="216"/>
      <c r="C281" s="217"/>
      <c r="D281" s="196" t="s">
        <v>388</v>
      </c>
      <c r="E281" s="218" t="s">
        <v>19</v>
      </c>
      <c r="F281" s="219" t="s">
        <v>419</v>
      </c>
      <c r="G281" s="217"/>
      <c r="H281" s="220">
        <v>3940.5070000000001</v>
      </c>
      <c r="I281" s="221"/>
      <c r="J281" s="217"/>
      <c r="K281" s="217"/>
      <c r="L281" s="222"/>
      <c r="M281" s="223"/>
      <c r="N281" s="224"/>
      <c r="O281" s="224"/>
      <c r="P281" s="224"/>
      <c r="Q281" s="224"/>
      <c r="R281" s="224"/>
      <c r="S281" s="224"/>
      <c r="T281" s="225"/>
      <c r="AT281" s="226" t="s">
        <v>388</v>
      </c>
      <c r="AU281" s="226" t="s">
        <v>82</v>
      </c>
      <c r="AV281" s="15" t="s">
        <v>386</v>
      </c>
      <c r="AW281" s="15" t="s">
        <v>33</v>
      </c>
      <c r="AX281" s="15" t="s">
        <v>79</v>
      </c>
      <c r="AY281" s="226" t="s">
        <v>380</v>
      </c>
    </row>
    <row r="282" spans="1:65" s="2" customFormat="1" ht="16.5" customHeight="1">
      <c r="A282" s="36"/>
      <c r="B282" s="37"/>
      <c r="C282" s="181" t="s">
        <v>619</v>
      </c>
      <c r="D282" s="181" t="s">
        <v>382</v>
      </c>
      <c r="E282" s="182" t="s">
        <v>620</v>
      </c>
      <c r="F282" s="183" t="s">
        <v>621</v>
      </c>
      <c r="G282" s="184" t="s">
        <v>398</v>
      </c>
      <c r="H282" s="185">
        <v>3940.5070000000001</v>
      </c>
      <c r="I282" s="186"/>
      <c r="J282" s="187">
        <f>ROUND(I282*H282,2)</f>
        <v>0</v>
      </c>
      <c r="K282" s="183" t="s">
        <v>399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386</v>
      </c>
      <c r="AT282" s="192" t="s">
        <v>382</v>
      </c>
      <c r="AU282" s="192" t="s">
        <v>82</v>
      </c>
      <c r="AY282" s="19" t="s">
        <v>380</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386</v>
      </c>
      <c r="BM282" s="192" t="s">
        <v>622</v>
      </c>
    </row>
    <row r="283" spans="1:65" s="2" customFormat="1" ht="16.5" customHeight="1">
      <c r="A283" s="36"/>
      <c r="B283" s="37"/>
      <c r="C283" s="181" t="s">
        <v>623</v>
      </c>
      <c r="D283" s="181" t="s">
        <v>382</v>
      </c>
      <c r="E283" s="182" t="s">
        <v>624</v>
      </c>
      <c r="F283" s="183" t="s">
        <v>625</v>
      </c>
      <c r="G283" s="184" t="s">
        <v>398</v>
      </c>
      <c r="H283" s="185">
        <v>1449.6959999999999</v>
      </c>
      <c r="I283" s="186"/>
      <c r="J283" s="187">
        <f>ROUND(I283*H283,2)</f>
        <v>0</v>
      </c>
      <c r="K283" s="183" t="s">
        <v>399</v>
      </c>
      <c r="L283" s="41"/>
      <c r="M283" s="188" t="s">
        <v>19</v>
      </c>
      <c r="N283" s="189" t="s">
        <v>43</v>
      </c>
      <c r="O283" s="66"/>
      <c r="P283" s="190">
        <f>O283*H283</f>
        <v>0</v>
      </c>
      <c r="Q283" s="190">
        <v>2.5000000000000001E-3</v>
      </c>
      <c r="R283" s="190">
        <f>Q283*H283</f>
        <v>3.6242399999999999</v>
      </c>
      <c r="S283" s="190">
        <v>0</v>
      </c>
      <c r="T283" s="191">
        <f>S283*H283</f>
        <v>0</v>
      </c>
      <c r="U283" s="36"/>
      <c r="V283" s="36"/>
      <c r="W283" s="36"/>
      <c r="X283" s="36"/>
      <c r="Y283" s="36"/>
      <c r="Z283" s="36"/>
      <c r="AA283" s="36"/>
      <c r="AB283" s="36"/>
      <c r="AC283" s="36"/>
      <c r="AD283" s="36"/>
      <c r="AE283" s="36"/>
      <c r="AR283" s="192" t="s">
        <v>386</v>
      </c>
      <c r="AT283" s="192" t="s">
        <v>382</v>
      </c>
      <c r="AU283" s="192" t="s">
        <v>82</v>
      </c>
      <c r="AY283" s="19" t="s">
        <v>380</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386</v>
      </c>
      <c r="BM283" s="192" t="s">
        <v>626</v>
      </c>
    </row>
    <row r="284" spans="1:65" s="13" customFormat="1" ht="11.25">
      <c r="B284" s="194"/>
      <c r="C284" s="195"/>
      <c r="D284" s="196" t="s">
        <v>388</v>
      </c>
      <c r="E284" s="197" t="s">
        <v>19</v>
      </c>
      <c r="F284" s="198" t="s">
        <v>627</v>
      </c>
      <c r="G284" s="195"/>
      <c r="H284" s="197" t="s">
        <v>19</v>
      </c>
      <c r="I284" s="199"/>
      <c r="J284" s="195"/>
      <c r="K284" s="195"/>
      <c r="L284" s="200"/>
      <c r="M284" s="201"/>
      <c r="N284" s="202"/>
      <c r="O284" s="202"/>
      <c r="P284" s="202"/>
      <c r="Q284" s="202"/>
      <c r="R284" s="202"/>
      <c r="S284" s="202"/>
      <c r="T284" s="203"/>
      <c r="AT284" s="204" t="s">
        <v>388</v>
      </c>
      <c r="AU284" s="204" t="s">
        <v>82</v>
      </c>
      <c r="AV284" s="13" t="s">
        <v>79</v>
      </c>
      <c r="AW284" s="13" t="s">
        <v>33</v>
      </c>
      <c r="AX284" s="13" t="s">
        <v>72</v>
      </c>
      <c r="AY284" s="204" t="s">
        <v>380</v>
      </c>
    </row>
    <row r="285" spans="1:65" s="14" customFormat="1" ht="11.25">
      <c r="B285" s="205"/>
      <c r="C285" s="206"/>
      <c r="D285" s="196" t="s">
        <v>388</v>
      </c>
      <c r="E285" s="207" t="s">
        <v>19</v>
      </c>
      <c r="F285" s="208" t="s">
        <v>628</v>
      </c>
      <c r="G285" s="206"/>
      <c r="H285" s="209">
        <v>733.24800000000005</v>
      </c>
      <c r="I285" s="210"/>
      <c r="J285" s="206"/>
      <c r="K285" s="206"/>
      <c r="L285" s="211"/>
      <c r="M285" s="212"/>
      <c r="N285" s="213"/>
      <c r="O285" s="213"/>
      <c r="P285" s="213"/>
      <c r="Q285" s="213"/>
      <c r="R285" s="213"/>
      <c r="S285" s="213"/>
      <c r="T285" s="214"/>
      <c r="AT285" s="215" t="s">
        <v>388</v>
      </c>
      <c r="AU285" s="215" t="s">
        <v>82</v>
      </c>
      <c r="AV285" s="14" t="s">
        <v>82</v>
      </c>
      <c r="AW285" s="14" t="s">
        <v>33</v>
      </c>
      <c r="AX285" s="14" t="s">
        <v>72</v>
      </c>
      <c r="AY285" s="215" t="s">
        <v>380</v>
      </c>
    </row>
    <row r="286" spans="1:65" s="14" customFormat="1" ht="11.25">
      <c r="B286" s="205"/>
      <c r="C286" s="206"/>
      <c r="D286" s="196" t="s">
        <v>388</v>
      </c>
      <c r="E286" s="207" t="s">
        <v>19</v>
      </c>
      <c r="F286" s="208" t="s">
        <v>629</v>
      </c>
      <c r="G286" s="206"/>
      <c r="H286" s="209">
        <v>-8.4</v>
      </c>
      <c r="I286" s="210"/>
      <c r="J286" s="206"/>
      <c r="K286" s="206"/>
      <c r="L286" s="211"/>
      <c r="M286" s="212"/>
      <c r="N286" s="213"/>
      <c r="O286" s="213"/>
      <c r="P286" s="213"/>
      <c r="Q286" s="213"/>
      <c r="R286" s="213"/>
      <c r="S286" s="213"/>
      <c r="T286" s="214"/>
      <c r="AT286" s="215" t="s">
        <v>388</v>
      </c>
      <c r="AU286" s="215" t="s">
        <v>82</v>
      </c>
      <c r="AV286" s="14" t="s">
        <v>82</v>
      </c>
      <c r="AW286" s="14" t="s">
        <v>33</v>
      </c>
      <c r="AX286" s="14" t="s">
        <v>72</v>
      </c>
      <c r="AY286" s="215" t="s">
        <v>380</v>
      </c>
    </row>
    <row r="287" spans="1:65" s="13" customFormat="1" ht="11.25">
      <c r="B287" s="194"/>
      <c r="C287" s="195"/>
      <c r="D287" s="196" t="s">
        <v>388</v>
      </c>
      <c r="E287" s="197" t="s">
        <v>19</v>
      </c>
      <c r="F287" s="198" t="s">
        <v>630</v>
      </c>
      <c r="G287" s="195"/>
      <c r="H287" s="197" t="s">
        <v>19</v>
      </c>
      <c r="I287" s="199"/>
      <c r="J287" s="195"/>
      <c r="K287" s="195"/>
      <c r="L287" s="200"/>
      <c r="M287" s="201"/>
      <c r="N287" s="202"/>
      <c r="O287" s="202"/>
      <c r="P287" s="202"/>
      <c r="Q287" s="202"/>
      <c r="R287" s="202"/>
      <c r="S287" s="202"/>
      <c r="T287" s="203"/>
      <c r="AT287" s="204" t="s">
        <v>388</v>
      </c>
      <c r="AU287" s="204" t="s">
        <v>82</v>
      </c>
      <c r="AV287" s="13" t="s">
        <v>79</v>
      </c>
      <c r="AW287" s="13" t="s">
        <v>33</v>
      </c>
      <c r="AX287" s="13" t="s">
        <v>72</v>
      </c>
      <c r="AY287" s="204" t="s">
        <v>380</v>
      </c>
    </row>
    <row r="288" spans="1:65" s="14" customFormat="1" ht="11.25">
      <c r="B288" s="205"/>
      <c r="C288" s="206"/>
      <c r="D288" s="196" t="s">
        <v>388</v>
      </c>
      <c r="E288" s="207" t="s">
        <v>19</v>
      </c>
      <c r="F288" s="208" t="s">
        <v>628</v>
      </c>
      <c r="G288" s="206"/>
      <c r="H288" s="209">
        <v>733.24800000000005</v>
      </c>
      <c r="I288" s="210"/>
      <c r="J288" s="206"/>
      <c r="K288" s="206"/>
      <c r="L288" s="211"/>
      <c r="M288" s="212"/>
      <c r="N288" s="213"/>
      <c r="O288" s="213"/>
      <c r="P288" s="213"/>
      <c r="Q288" s="213"/>
      <c r="R288" s="213"/>
      <c r="S288" s="213"/>
      <c r="T288" s="214"/>
      <c r="AT288" s="215" t="s">
        <v>388</v>
      </c>
      <c r="AU288" s="215" t="s">
        <v>82</v>
      </c>
      <c r="AV288" s="14" t="s">
        <v>82</v>
      </c>
      <c r="AW288" s="14" t="s">
        <v>33</v>
      </c>
      <c r="AX288" s="14" t="s">
        <v>72</v>
      </c>
      <c r="AY288" s="215" t="s">
        <v>380</v>
      </c>
    </row>
    <row r="289" spans="1:65" s="14" customFormat="1" ht="11.25">
      <c r="B289" s="205"/>
      <c r="C289" s="206"/>
      <c r="D289" s="196" t="s">
        <v>388</v>
      </c>
      <c r="E289" s="207" t="s">
        <v>19</v>
      </c>
      <c r="F289" s="208" t="s">
        <v>629</v>
      </c>
      <c r="G289" s="206"/>
      <c r="H289" s="209">
        <v>-8.4</v>
      </c>
      <c r="I289" s="210"/>
      <c r="J289" s="206"/>
      <c r="K289" s="206"/>
      <c r="L289" s="211"/>
      <c r="M289" s="212"/>
      <c r="N289" s="213"/>
      <c r="O289" s="213"/>
      <c r="P289" s="213"/>
      <c r="Q289" s="213"/>
      <c r="R289" s="213"/>
      <c r="S289" s="213"/>
      <c r="T289" s="214"/>
      <c r="AT289" s="215" t="s">
        <v>388</v>
      </c>
      <c r="AU289" s="215" t="s">
        <v>82</v>
      </c>
      <c r="AV289" s="14" t="s">
        <v>82</v>
      </c>
      <c r="AW289" s="14" t="s">
        <v>33</v>
      </c>
      <c r="AX289" s="14" t="s">
        <v>72</v>
      </c>
      <c r="AY289" s="215" t="s">
        <v>380</v>
      </c>
    </row>
    <row r="290" spans="1:65" s="15" customFormat="1" ht="11.25">
      <c r="B290" s="216"/>
      <c r="C290" s="217"/>
      <c r="D290" s="196" t="s">
        <v>388</v>
      </c>
      <c r="E290" s="218" t="s">
        <v>19</v>
      </c>
      <c r="F290" s="219" t="s">
        <v>419</v>
      </c>
      <c r="G290" s="217"/>
      <c r="H290" s="220">
        <v>1449.6959999999999</v>
      </c>
      <c r="I290" s="221"/>
      <c r="J290" s="217"/>
      <c r="K290" s="217"/>
      <c r="L290" s="222"/>
      <c r="M290" s="223"/>
      <c r="N290" s="224"/>
      <c r="O290" s="224"/>
      <c r="P290" s="224"/>
      <c r="Q290" s="224"/>
      <c r="R290" s="224"/>
      <c r="S290" s="224"/>
      <c r="T290" s="225"/>
      <c r="AT290" s="226" t="s">
        <v>388</v>
      </c>
      <c r="AU290" s="226" t="s">
        <v>82</v>
      </c>
      <c r="AV290" s="15" t="s">
        <v>386</v>
      </c>
      <c r="AW290" s="15" t="s">
        <v>33</v>
      </c>
      <c r="AX290" s="15" t="s">
        <v>79</v>
      </c>
      <c r="AY290" s="226" t="s">
        <v>380</v>
      </c>
    </row>
    <row r="291" spans="1:65" s="2" customFormat="1" ht="24.2" customHeight="1">
      <c r="A291" s="36"/>
      <c r="B291" s="37"/>
      <c r="C291" s="181" t="s">
        <v>631</v>
      </c>
      <c r="D291" s="181" t="s">
        <v>382</v>
      </c>
      <c r="E291" s="182" t="s">
        <v>632</v>
      </c>
      <c r="F291" s="183" t="s">
        <v>633</v>
      </c>
      <c r="G291" s="184" t="s">
        <v>437</v>
      </c>
      <c r="H291" s="185">
        <v>52.143999999999998</v>
      </c>
      <c r="I291" s="186"/>
      <c r="J291" s="187">
        <f>ROUND(I291*H291,2)</f>
        <v>0</v>
      </c>
      <c r="K291" s="183" t="s">
        <v>399</v>
      </c>
      <c r="L291" s="41"/>
      <c r="M291" s="188" t="s">
        <v>19</v>
      </c>
      <c r="N291" s="189" t="s">
        <v>43</v>
      </c>
      <c r="O291" s="66"/>
      <c r="P291" s="190">
        <f>O291*H291</f>
        <v>0</v>
      </c>
      <c r="Q291" s="190">
        <v>1.0488137099999999</v>
      </c>
      <c r="R291" s="190">
        <f>Q291*H291</f>
        <v>54.68934209423999</v>
      </c>
      <c r="S291" s="190">
        <v>0</v>
      </c>
      <c r="T291" s="191">
        <f>S291*H291</f>
        <v>0</v>
      </c>
      <c r="U291" s="36"/>
      <c r="V291" s="36"/>
      <c r="W291" s="36"/>
      <c r="X291" s="36"/>
      <c r="Y291" s="36"/>
      <c r="Z291" s="36"/>
      <c r="AA291" s="36"/>
      <c r="AB291" s="36"/>
      <c r="AC291" s="36"/>
      <c r="AD291" s="36"/>
      <c r="AE291" s="36"/>
      <c r="AR291" s="192" t="s">
        <v>386</v>
      </c>
      <c r="AT291" s="192" t="s">
        <v>382</v>
      </c>
      <c r="AU291" s="192" t="s">
        <v>82</v>
      </c>
      <c r="AY291" s="19" t="s">
        <v>380</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386</v>
      </c>
      <c r="BM291" s="192" t="s">
        <v>634</v>
      </c>
    </row>
    <row r="292" spans="1:65" s="13" customFormat="1" ht="11.25">
      <c r="B292" s="194"/>
      <c r="C292" s="195"/>
      <c r="D292" s="196" t="s">
        <v>388</v>
      </c>
      <c r="E292" s="197" t="s">
        <v>19</v>
      </c>
      <c r="F292" s="198" t="s">
        <v>493</v>
      </c>
      <c r="G292" s="195"/>
      <c r="H292" s="197" t="s">
        <v>19</v>
      </c>
      <c r="I292" s="199"/>
      <c r="J292" s="195"/>
      <c r="K292" s="195"/>
      <c r="L292" s="200"/>
      <c r="M292" s="201"/>
      <c r="N292" s="202"/>
      <c r="O292" s="202"/>
      <c r="P292" s="202"/>
      <c r="Q292" s="202"/>
      <c r="R292" s="202"/>
      <c r="S292" s="202"/>
      <c r="T292" s="203"/>
      <c r="AT292" s="204" t="s">
        <v>388</v>
      </c>
      <c r="AU292" s="204" t="s">
        <v>82</v>
      </c>
      <c r="AV292" s="13" t="s">
        <v>79</v>
      </c>
      <c r="AW292" s="13" t="s">
        <v>33</v>
      </c>
      <c r="AX292" s="13" t="s">
        <v>72</v>
      </c>
      <c r="AY292" s="204" t="s">
        <v>380</v>
      </c>
    </row>
    <row r="293" spans="1:65" s="13" customFormat="1" ht="11.25">
      <c r="B293" s="194"/>
      <c r="C293" s="195"/>
      <c r="D293" s="196" t="s">
        <v>388</v>
      </c>
      <c r="E293" s="197" t="s">
        <v>19</v>
      </c>
      <c r="F293" s="198" t="s">
        <v>635</v>
      </c>
      <c r="G293" s="195"/>
      <c r="H293" s="197" t="s">
        <v>19</v>
      </c>
      <c r="I293" s="199"/>
      <c r="J293" s="195"/>
      <c r="K293" s="195"/>
      <c r="L293" s="200"/>
      <c r="M293" s="201"/>
      <c r="N293" s="202"/>
      <c r="O293" s="202"/>
      <c r="P293" s="202"/>
      <c r="Q293" s="202"/>
      <c r="R293" s="202"/>
      <c r="S293" s="202"/>
      <c r="T293" s="203"/>
      <c r="AT293" s="204" t="s">
        <v>388</v>
      </c>
      <c r="AU293" s="204" t="s">
        <v>82</v>
      </c>
      <c r="AV293" s="13" t="s">
        <v>79</v>
      </c>
      <c r="AW293" s="13" t="s">
        <v>33</v>
      </c>
      <c r="AX293" s="13" t="s">
        <v>72</v>
      </c>
      <c r="AY293" s="204" t="s">
        <v>380</v>
      </c>
    </row>
    <row r="294" spans="1:65" s="14" customFormat="1" ht="11.25">
      <c r="B294" s="205"/>
      <c r="C294" s="206"/>
      <c r="D294" s="196" t="s">
        <v>388</v>
      </c>
      <c r="E294" s="207" t="s">
        <v>19</v>
      </c>
      <c r="F294" s="208" t="s">
        <v>636</v>
      </c>
      <c r="G294" s="206"/>
      <c r="H294" s="209">
        <v>29.859000000000002</v>
      </c>
      <c r="I294" s="210"/>
      <c r="J294" s="206"/>
      <c r="K294" s="206"/>
      <c r="L294" s="211"/>
      <c r="M294" s="212"/>
      <c r="N294" s="213"/>
      <c r="O294" s="213"/>
      <c r="P294" s="213"/>
      <c r="Q294" s="213"/>
      <c r="R294" s="213"/>
      <c r="S294" s="213"/>
      <c r="T294" s="214"/>
      <c r="AT294" s="215" t="s">
        <v>388</v>
      </c>
      <c r="AU294" s="215" t="s">
        <v>82</v>
      </c>
      <c r="AV294" s="14" t="s">
        <v>82</v>
      </c>
      <c r="AW294" s="14" t="s">
        <v>33</v>
      </c>
      <c r="AX294" s="14" t="s">
        <v>72</v>
      </c>
      <c r="AY294" s="215" t="s">
        <v>380</v>
      </c>
    </row>
    <row r="295" spans="1:65" s="14" customFormat="1" ht="11.25">
      <c r="B295" s="205"/>
      <c r="C295" s="206"/>
      <c r="D295" s="196" t="s">
        <v>388</v>
      </c>
      <c r="E295" s="207" t="s">
        <v>19</v>
      </c>
      <c r="F295" s="208" t="s">
        <v>637</v>
      </c>
      <c r="G295" s="206"/>
      <c r="H295" s="209">
        <v>22.285</v>
      </c>
      <c r="I295" s="210"/>
      <c r="J295" s="206"/>
      <c r="K295" s="206"/>
      <c r="L295" s="211"/>
      <c r="M295" s="212"/>
      <c r="N295" s="213"/>
      <c r="O295" s="213"/>
      <c r="P295" s="213"/>
      <c r="Q295" s="213"/>
      <c r="R295" s="213"/>
      <c r="S295" s="213"/>
      <c r="T295" s="214"/>
      <c r="AT295" s="215" t="s">
        <v>388</v>
      </c>
      <c r="AU295" s="215" t="s">
        <v>82</v>
      </c>
      <c r="AV295" s="14" t="s">
        <v>82</v>
      </c>
      <c r="AW295" s="14" t="s">
        <v>33</v>
      </c>
      <c r="AX295" s="14" t="s">
        <v>72</v>
      </c>
      <c r="AY295" s="215" t="s">
        <v>380</v>
      </c>
    </row>
    <row r="296" spans="1:65" s="15" customFormat="1" ht="11.25">
      <c r="B296" s="216"/>
      <c r="C296" s="217"/>
      <c r="D296" s="196" t="s">
        <v>388</v>
      </c>
      <c r="E296" s="218" t="s">
        <v>19</v>
      </c>
      <c r="F296" s="219" t="s">
        <v>419</v>
      </c>
      <c r="G296" s="217"/>
      <c r="H296" s="220">
        <v>52.143999999999998</v>
      </c>
      <c r="I296" s="221"/>
      <c r="J296" s="217"/>
      <c r="K296" s="217"/>
      <c r="L296" s="222"/>
      <c r="M296" s="223"/>
      <c r="N296" s="224"/>
      <c r="O296" s="224"/>
      <c r="P296" s="224"/>
      <c r="Q296" s="224"/>
      <c r="R296" s="224"/>
      <c r="S296" s="224"/>
      <c r="T296" s="225"/>
      <c r="AT296" s="226" t="s">
        <v>388</v>
      </c>
      <c r="AU296" s="226" t="s">
        <v>82</v>
      </c>
      <c r="AV296" s="15" t="s">
        <v>386</v>
      </c>
      <c r="AW296" s="15" t="s">
        <v>33</v>
      </c>
      <c r="AX296" s="15" t="s">
        <v>79</v>
      </c>
      <c r="AY296" s="226" t="s">
        <v>380</v>
      </c>
    </row>
    <row r="297" spans="1:65" s="2" customFormat="1" ht="24.2" customHeight="1">
      <c r="A297" s="36"/>
      <c r="B297" s="37"/>
      <c r="C297" s="181" t="s">
        <v>638</v>
      </c>
      <c r="D297" s="181" t="s">
        <v>382</v>
      </c>
      <c r="E297" s="182" t="s">
        <v>639</v>
      </c>
      <c r="F297" s="183" t="s">
        <v>640</v>
      </c>
      <c r="G297" s="184" t="s">
        <v>641</v>
      </c>
      <c r="H297" s="185">
        <v>8</v>
      </c>
      <c r="I297" s="186"/>
      <c r="J297" s="187">
        <f>ROUND(I297*H297,2)</f>
        <v>0</v>
      </c>
      <c r="K297" s="183" t="s">
        <v>399</v>
      </c>
      <c r="L297" s="41"/>
      <c r="M297" s="188" t="s">
        <v>19</v>
      </c>
      <c r="N297" s="189" t="s">
        <v>43</v>
      </c>
      <c r="O297" s="66"/>
      <c r="P297" s="190">
        <f>O297*H297</f>
        <v>0</v>
      </c>
      <c r="Q297" s="190">
        <v>2.6280000000000001E-2</v>
      </c>
      <c r="R297" s="190">
        <f>Q297*H297</f>
        <v>0.21024000000000001</v>
      </c>
      <c r="S297" s="190">
        <v>0</v>
      </c>
      <c r="T297" s="191">
        <f>S297*H297</f>
        <v>0</v>
      </c>
      <c r="U297" s="36"/>
      <c r="V297" s="36"/>
      <c r="W297" s="36"/>
      <c r="X297" s="36"/>
      <c r="Y297" s="36"/>
      <c r="Z297" s="36"/>
      <c r="AA297" s="36"/>
      <c r="AB297" s="36"/>
      <c r="AC297" s="36"/>
      <c r="AD297" s="36"/>
      <c r="AE297" s="36"/>
      <c r="AR297" s="192" t="s">
        <v>386</v>
      </c>
      <c r="AT297" s="192" t="s">
        <v>382</v>
      </c>
      <c r="AU297" s="192" t="s">
        <v>82</v>
      </c>
      <c r="AY297" s="19" t="s">
        <v>380</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386</v>
      </c>
      <c r="BM297" s="192" t="s">
        <v>642</v>
      </c>
    </row>
    <row r="298" spans="1:65" s="13" customFormat="1" ht="11.25">
      <c r="B298" s="194"/>
      <c r="C298" s="195"/>
      <c r="D298" s="196" t="s">
        <v>388</v>
      </c>
      <c r="E298" s="197" t="s">
        <v>19</v>
      </c>
      <c r="F298" s="198" t="s">
        <v>643</v>
      </c>
      <c r="G298" s="195"/>
      <c r="H298" s="197" t="s">
        <v>19</v>
      </c>
      <c r="I298" s="199"/>
      <c r="J298" s="195"/>
      <c r="K298" s="195"/>
      <c r="L298" s="200"/>
      <c r="M298" s="201"/>
      <c r="N298" s="202"/>
      <c r="O298" s="202"/>
      <c r="P298" s="202"/>
      <c r="Q298" s="202"/>
      <c r="R298" s="202"/>
      <c r="S298" s="202"/>
      <c r="T298" s="203"/>
      <c r="AT298" s="204" t="s">
        <v>388</v>
      </c>
      <c r="AU298" s="204" t="s">
        <v>82</v>
      </c>
      <c r="AV298" s="13" t="s">
        <v>79</v>
      </c>
      <c r="AW298" s="13" t="s">
        <v>33</v>
      </c>
      <c r="AX298" s="13" t="s">
        <v>72</v>
      </c>
      <c r="AY298" s="204" t="s">
        <v>380</v>
      </c>
    </row>
    <row r="299" spans="1:65" s="14" customFormat="1" ht="11.25">
      <c r="B299" s="205"/>
      <c r="C299" s="206"/>
      <c r="D299" s="196" t="s">
        <v>388</v>
      </c>
      <c r="E299" s="207" t="s">
        <v>19</v>
      </c>
      <c r="F299" s="208" t="s">
        <v>424</v>
      </c>
      <c r="G299" s="206"/>
      <c r="H299" s="209">
        <v>8</v>
      </c>
      <c r="I299" s="210"/>
      <c r="J299" s="206"/>
      <c r="K299" s="206"/>
      <c r="L299" s="211"/>
      <c r="M299" s="212"/>
      <c r="N299" s="213"/>
      <c r="O299" s="213"/>
      <c r="P299" s="213"/>
      <c r="Q299" s="213"/>
      <c r="R299" s="213"/>
      <c r="S299" s="213"/>
      <c r="T299" s="214"/>
      <c r="AT299" s="215" t="s">
        <v>388</v>
      </c>
      <c r="AU299" s="215" t="s">
        <v>82</v>
      </c>
      <c r="AV299" s="14" t="s">
        <v>82</v>
      </c>
      <c r="AW299" s="14" t="s">
        <v>33</v>
      </c>
      <c r="AX299" s="14" t="s">
        <v>79</v>
      </c>
      <c r="AY299" s="215" t="s">
        <v>380</v>
      </c>
    </row>
    <row r="300" spans="1:65" s="2" customFormat="1" ht="24.2" customHeight="1">
      <c r="A300" s="36"/>
      <c r="B300" s="37"/>
      <c r="C300" s="181" t="s">
        <v>644</v>
      </c>
      <c r="D300" s="181" t="s">
        <v>382</v>
      </c>
      <c r="E300" s="182" t="s">
        <v>645</v>
      </c>
      <c r="F300" s="183" t="s">
        <v>646</v>
      </c>
      <c r="G300" s="184" t="s">
        <v>641</v>
      </c>
      <c r="H300" s="185">
        <v>2</v>
      </c>
      <c r="I300" s="186"/>
      <c r="J300" s="187">
        <f>ROUND(I300*H300,2)</f>
        <v>0</v>
      </c>
      <c r="K300" s="183" t="s">
        <v>399</v>
      </c>
      <c r="L300" s="41"/>
      <c r="M300" s="188" t="s">
        <v>19</v>
      </c>
      <c r="N300" s="189" t="s">
        <v>43</v>
      </c>
      <c r="O300" s="66"/>
      <c r="P300" s="190">
        <f>O300*H300</f>
        <v>0</v>
      </c>
      <c r="Q300" s="190">
        <v>3.9629999999999999E-2</v>
      </c>
      <c r="R300" s="190">
        <f>Q300*H300</f>
        <v>7.9259999999999997E-2</v>
      </c>
      <c r="S300" s="190">
        <v>0</v>
      </c>
      <c r="T300" s="191">
        <f>S300*H300</f>
        <v>0</v>
      </c>
      <c r="U300" s="36"/>
      <c r="V300" s="36"/>
      <c r="W300" s="36"/>
      <c r="X300" s="36"/>
      <c r="Y300" s="36"/>
      <c r="Z300" s="36"/>
      <c r="AA300" s="36"/>
      <c r="AB300" s="36"/>
      <c r="AC300" s="36"/>
      <c r="AD300" s="36"/>
      <c r="AE300" s="36"/>
      <c r="AR300" s="192" t="s">
        <v>386</v>
      </c>
      <c r="AT300" s="192" t="s">
        <v>382</v>
      </c>
      <c r="AU300" s="192" t="s">
        <v>82</v>
      </c>
      <c r="AY300" s="19" t="s">
        <v>380</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386</v>
      </c>
      <c r="BM300" s="192" t="s">
        <v>647</v>
      </c>
    </row>
    <row r="301" spans="1:65" s="13" customFormat="1" ht="11.25">
      <c r="B301" s="194"/>
      <c r="C301" s="195"/>
      <c r="D301" s="196" t="s">
        <v>388</v>
      </c>
      <c r="E301" s="197" t="s">
        <v>19</v>
      </c>
      <c r="F301" s="198" t="s">
        <v>643</v>
      </c>
      <c r="G301" s="195"/>
      <c r="H301" s="197" t="s">
        <v>19</v>
      </c>
      <c r="I301" s="199"/>
      <c r="J301" s="195"/>
      <c r="K301" s="195"/>
      <c r="L301" s="200"/>
      <c r="M301" s="201"/>
      <c r="N301" s="202"/>
      <c r="O301" s="202"/>
      <c r="P301" s="202"/>
      <c r="Q301" s="202"/>
      <c r="R301" s="202"/>
      <c r="S301" s="202"/>
      <c r="T301" s="203"/>
      <c r="AT301" s="204" t="s">
        <v>388</v>
      </c>
      <c r="AU301" s="204" t="s">
        <v>82</v>
      </c>
      <c r="AV301" s="13" t="s">
        <v>79</v>
      </c>
      <c r="AW301" s="13" t="s">
        <v>33</v>
      </c>
      <c r="AX301" s="13" t="s">
        <v>72</v>
      </c>
      <c r="AY301" s="204" t="s">
        <v>380</v>
      </c>
    </row>
    <row r="302" spans="1:65" s="14" customFormat="1" ht="11.25">
      <c r="B302" s="205"/>
      <c r="C302" s="206"/>
      <c r="D302" s="196" t="s">
        <v>388</v>
      </c>
      <c r="E302" s="207" t="s">
        <v>19</v>
      </c>
      <c r="F302" s="208" t="s">
        <v>82</v>
      </c>
      <c r="G302" s="206"/>
      <c r="H302" s="209">
        <v>2</v>
      </c>
      <c r="I302" s="210"/>
      <c r="J302" s="206"/>
      <c r="K302" s="206"/>
      <c r="L302" s="211"/>
      <c r="M302" s="212"/>
      <c r="N302" s="213"/>
      <c r="O302" s="213"/>
      <c r="P302" s="213"/>
      <c r="Q302" s="213"/>
      <c r="R302" s="213"/>
      <c r="S302" s="213"/>
      <c r="T302" s="214"/>
      <c r="AT302" s="215" t="s">
        <v>388</v>
      </c>
      <c r="AU302" s="215" t="s">
        <v>82</v>
      </c>
      <c r="AV302" s="14" t="s">
        <v>82</v>
      </c>
      <c r="AW302" s="14" t="s">
        <v>33</v>
      </c>
      <c r="AX302" s="14" t="s">
        <v>79</v>
      </c>
      <c r="AY302" s="215" t="s">
        <v>380</v>
      </c>
    </row>
    <row r="303" spans="1:65" s="2" customFormat="1" ht="21.75" customHeight="1">
      <c r="A303" s="36"/>
      <c r="B303" s="37"/>
      <c r="C303" s="181" t="s">
        <v>648</v>
      </c>
      <c r="D303" s="181" t="s">
        <v>382</v>
      </c>
      <c r="E303" s="182" t="s">
        <v>649</v>
      </c>
      <c r="F303" s="183" t="s">
        <v>650</v>
      </c>
      <c r="G303" s="184" t="s">
        <v>641</v>
      </c>
      <c r="H303" s="185">
        <v>9</v>
      </c>
      <c r="I303" s="186"/>
      <c r="J303" s="187">
        <f>ROUND(I303*H303,2)</f>
        <v>0</v>
      </c>
      <c r="K303" s="183" t="s">
        <v>399</v>
      </c>
      <c r="L303" s="41"/>
      <c r="M303" s="188" t="s">
        <v>19</v>
      </c>
      <c r="N303" s="189" t="s">
        <v>43</v>
      </c>
      <c r="O303" s="66"/>
      <c r="P303" s="190">
        <f>O303*H303</f>
        <v>0</v>
      </c>
      <c r="Q303" s="190">
        <v>2.2783500000000002E-2</v>
      </c>
      <c r="R303" s="190">
        <f>Q303*H303</f>
        <v>0.20505150000000003</v>
      </c>
      <c r="S303" s="190">
        <v>0</v>
      </c>
      <c r="T303" s="191">
        <f>S303*H303</f>
        <v>0</v>
      </c>
      <c r="U303" s="36"/>
      <c r="V303" s="36"/>
      <c r="W303" s="36"/>
      <c r="X303" s="36"/>
      <c r="Y303" s="36"/>
      <c r="Z303" s="36"/>
      <c r="AA303" s="36"/>
      <c r="AB303" s="36"/>
      <c r="AC303" s="36"/>
      <c r="AD303" s="36"/>
      <c r="AE303" s="36"/>
      <c r="AR303" s="192" t="s">
        <v>386</v>
      </c>
      <c r="AT303" s="192" t="s">
        <v>382</v>
      </c>
      <c r="AU303" s="192" t="s">
        <v>82</v>
      </c>
      <c r="AY303" s="19" t="s">
        <v>380</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386</v>
      </c>
      <c r="BM303" s="192" t="s">
        <v>651</v>
      </c>
    </row>
    <row r="304" spans="1:65" s="13" customFormat="1" ht="11.25">
      <c r="B304" s="194"/>
      <c r="C304" s="195"/>
      <c r="D304" s="196" t="s">
        <v>388</v>
      </c>
      <c r="E304" s="197" t="s">
        <v>19</v>
      </c>
      <c r="F304" s="198" t="s">
        <v>643</v>
      </c>
      <c r="G304" s="195"/>
      <c r="H304" s="197" t="s">
        <v>19</v>
      </c>
      <c r="I304" s="199"/>
      <c r="J304" s="195"/>
      <c r="K304" s="195"/>
      <c r="L304" s="200"/>
      <c r="M304" s="201"/>
      <c r="N304" s="202"/>
      <c r="O304" s="202"/>
      <c r="P304" s="202"/>
      <c r="Q304" s="202"/>
      <c r="R304" s="202"/>
      <c r="S304" s="202"/>
      <c r="T304" s="203"/>
      <c r="AT304" s="204" t="s">
        <v>388</v>
      </c>
      <c r="AU304" s="204" t="s">
        <v>82</v>
      </c>
      <c r="AV304" s="13" t="s">
        <v>79</v>
      </c>
      <c r="AW304" s="13" t="s">
        <v>33</v>
      </c>
      <c r="AX304" s="13" t="s">
        <v>72</v>
      </c>
      <c r="AY304" s="204" t="s">
        <v>380</v>
      </c>
    </row>
    <row r="305" spans="1:65" s="14" customFormat="1" ht="11.25">
      <c r="B305" s="205"/>
      <c r="C305" s="206"/>
      <c r="D305" s="196" t="s">
        <v>388</v>
      </c>
      <c r="E305" s="207" t="s">
        <v>19</v>
      </c>
      <c r="F305" s="208" t="s">
        <v>430</v>
      </c>
      <c r="G305" s="206"/>
      <c r="H305" s="209">
        <v>9</v>
      </c>
      <c r="I305" s="210"/>
      <c r="J305" s="206"/>
      <c r="K305" s="206"/>
      <c r="L305" s="211"/>
      <c r="M305" s="212"/>
      <c r="N305" s="213"/>
      <c r="O305" s="213"/>
      <c r="P305" s="213"/>
      <c r="Q305" s="213"/>
      <c r="R305" s="213"/>
      <c r="S305" s="213"/>
      <c r="T305" s="214"/>
      <c r="AT305" s="215" t="s">
        <v>388</v>
      </c>
      <c r="AU305" s="215" t="s">
        <v>82</v>
      </c>
      <c r="AV305" s="14" t="s">
        <v>82</v>
      </c>
      <c r="AW305" s="14" t="s">
        <v>33</v>
      </c>
      <c r="AX305" s="14" t="s">
        <v>79</v>
      </c>
      <c r="AY305" s="215" t="s">
        <v>380</v>
      </c>
    </row>
    <row r="306" spans="1:65" s="2" customFormat="1" ht="21.75" customHeight="1">
      <c r="A306" s="36"/>
      <c r="B306" s="37"/>
      <c r="C306" s="181" t="s">
        <v>652</v>
      </c>
      <c r="D306" s="181" t="s">
        <v>382</v>
      </c>
      <c r="E306" s="182" t="s">
        <v>653</v>
      </c>
      <c r="F306" s="183" t="s">
        <v>654</v>
      </c>
      <c r="G306" s="184" t="s">
        <v>641</v>
      </c>
      <c r="H306" s="185">
        <v>5</v>
      </c>
      <c r="I306" s="186"/>
      <c r="J306" s="187">
        <f>ROUND(I306*H306,2)</f>
        <v>0</v>
      </c>
      <c r="K306" s="183" t="s">
        <v>399</v>
      </c>
      <c r="L306" s="41"/>
      <c r="M306" s="188" t="s">
        <v>19</v>
      </c>
      <c r="N306" s="189" t="s">
        <v>43</v>
      </c>
      <c r="O306" s="66"/>
      <c r="P306" s="190">
        <f>O306*H306</f>
        <v>0</v>
      </c>
      <c r="Q306" s="190">
        <v>2.7105500000000001E-2</v>
      </c>
      <c r="R306" s="190">
        <f>Q306*H306</f>
        <v>0.1355275</v>
      </c>
      <c r="S306" s="190">
        <v>0</v>
      </c>
      <c r="T306" s="191">
        <f>S306*H306</f>
        <v>0</v>
      </c>
      <c r="U306" s="36"/>
      <c r="V306" s="36"/>
      <c r="W306" s="36"/>
      <c r="X306" s="36"/>
      <c r="Y306" s="36"/>
      <c r="Z306" s="36"/>
      <c r="AA306" s="36"/>
      <c r="AB306" s="36"/>
      <c r="AC306" s="36"/>
      <c r="AD306" s="36"/>
      <c r="AE306" s="36"/>
      <c r="AR306" s="192" t="s">
        <v>386</v>
      </c>
      <c r="AT306" s="192" t="s">
        <v>382</v>
      </c>
      <c r="AU306" s="192" t="s">
        <v>82</v>
      </c>
      <c r="AY306" s="19" t="s">
        <v>380</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386</v>
      </c>
      <c r="BM306" s="192" t="s">
        <v>655</v>
      </c>
    </row>
    <row r="307" spans="1:65" s="13" customFormat="1" ht="11.25">
      <c r="B307" s="194"/>
      <c r="C307" s="195"/>
      <c r="D307" s="196" t="s">
        <v>388</v>
      </c>
      <c r="E307" s="197" t="s">
        <v>19</v>
      </c>
      <c r="F307" s="198" t="s">
        <v>643</v>
      </c>
      <c r="G307" s="195"/>
      <c r="H307" s="197" t="s">
        <v>19</v>
      </c>
      <c r="I307" s="199"/>
      <c r="J307" s="195"/>
      <c r="K307" s="195"/>
      <c r="L307" s="200"/>
      <c r="M307" s="201"/>
      <c r="N307" s="202"/>
      <c r="O307" s="202"/>
      <c r="P307" s="202"/>
      <c r="Q307" s="202"/>
      <c r="R307" s="202"/>
      <c r="S307" s="202"/>
      <c r="T307" s="203"/>
      <c r="AT307" s="204" t="s">
        <v>388</v>
      </c>
      <c r="AU307" s="204" t="s">
        <v>82</v>
      </c>
      <c r="AV307" s="13" t="s">
        <v>79</v>
      </c>
      <c r="AW307" s="13" t="s">
        <v>33</v>
      </c>
      <c r="AX307" s="13" t="s">
        <v>72</v>
      </c>
      <c r="AY307" s="204" t="s">
        <v>380</v>
      </c>
    </row>
    <row r="308" spans="1:65" s="14" customFormat="1" ht="11.25">
      <c r="B308" s="205"/>
      <c r="C308" s="206"/>
      <c r="D308" s="196" t="s">
        <v>388</v>
      </c>
      <c r="E308" s="207" t="s">
        <v>19</v>
      </c>
      <c r="F308" s="208" t="s">
        <v>405</v>
      </c>
      <c r="G308" s="206"/>
      <c r="H308" s="209">
        <v>5</v>
      </c>
      <c r="I308" s="210"/>
      <c r="J308" s="206"/>
      <c r="K308" s="206"/>
      <c r="L308" s="211"/>
      <c r="M308" s="212"/>
      <c r="N308" s="213"/>
      <c r="O308" s="213"/>
      <c r="P308" s="213"/>
      <c r="Q308" s="213"/>
      <c r="R308" s="213"/>
      <c r="S308" s="213"/>
      <c r="T308" s="214"/>
      <c r="AT308" s="215" t="s">
        <v>388</v>
      </c>
      <c r="AU308" s="215" t="s">
        <v>82</v>
      </c>
      <c r="AV308" s="14" t="s">
        <v>82</v>
      </c>
      <c r="AW308" s="14" t="s">
        <v>33</v>
      </c>
      <c r="AX308" s="14" t="s">
        <v>79</v>
      </c>
      <c r="AY308" s="215" t="s">
        <v>380</v>
      </c>
    </row>
    <row r="309" spans="1:65" s="2" customFormat="1" ht="21.75" customHeight="1">
      <c r="A309" s="36"/>
      <c r="B309" s="37"/>
      <c r="C309" s="181" t="s">
        <v>656</v>
      </c>
      <c r="D309" s="181" t="s">
        <v>382</v>
      </c>
      <c r="E309" s="182" t="s">
        <v>657</v>
      </c>
      <c r="F309" s="183" t="s">
        <v>658</v>
      </c>
      <c r="G309" s="184" t="s">
        <v>641</v>
      </c>
      <c r="H309" s="185">
        <v>4</v>
      </c>
      <c r="I309" s="186"/>
      <c r="J309" s="187">
        <f>ROUND(I309*H309,2)</f>
        <v>0</v>
      </c>
      <c r="K309" s="183" t="s">
        <v>399</v>
      </c>
      <c r="L309" s="41"/>
      <c r="M309" s="188" t="s">
        <v>19</v>
      </c>
      <c r="N309" s="189" t="s">
        <v>43</v>
      </c>
      <c r="O309" s="66"/>
      <c r="P309" s="190">
        <f>O309*H309</f>
        <v>0</v>
      </c>
      <c r="Q309" s="190">
        <v>4.0550500000000003E-2</v>
      </c>
      <c r="R309" s="190">
        <f>Q309*H309</f>
        <v>0.16220200000000001</v>
      </c>
      <c r="S309" s="190">
        <v>0</v>
      </c>
      <c r="T309" s="191">
        <f>S309*H309</f>
        <v>0</v>
      </c>
      <c r="U309" s="36"/>
      <c r="V309" s="36"/>
      <c r="W309" s="36"/>
      <c r="X309" s="36"/>
      <c r="Y309" s="36"/>
      <c r="Z309" s="36"/>
      <c r="AA309" s="36"/>
      <c r="AB309" s="36"/>
      <c r="AC309" s="36"/>
      <c r="AD309" s="36"/>
      <c r="AE309" s="36"/>
      <c r="AR309" s="192" t="s">
        <v>386</v>
      </c>
      <c r="AT309" s="192" t="s">
        <v>382</v>
      </c>
      <c r="AU309" s="192" t="s">
        <v>82</v>
      </c>
      <c r="AY309" s="19" t="s">
        <v>380</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386</v>
      </c>
      <c r="BM309" s="192" t="s">
        <v>659</v>
      </c>
    </row>
    <row r="310" spans="1:65" s="13" customFormat="1" ht="11.25">
      <c r="B310" s="194"/>
      <c r="C310" s="195"/>
      <c r="D310" s="196" t="s">
        <v>388</v>
      </c>
      <c r="E310" s="197" t="s">
        <v>19</v>
      </c>
      <c r="F310" s="198" t="s">
        <v>643</v>
      </c>
      <c r="G310" s="195"/>
      <c r="H310" s="197" t="s">
        <v>19</v>
      </c>
      <c r="I310" s="199"/>
      <c r="J310" s="195"/>
      <c r="K310" s="195"/>
      <c r="L310" s="200"/>
      <c r="M310" s="201"/>
      <c r="N310" s="202"/>
      <c r="O310" s="202"/>
      <c r="P310" s="202"/>
      <c r="Q310" s="202"/>
      <c r="R310" s="202"/>
      <c r="S310" s="202"/>
      <c r="T310" s="203"/>
      <c r="AT310" s="204" t="s">
        <v>388</v>
      </c>
      <c r="AU310" s="204" t="s">
        <v>82</v>
      </c>
      <c r="AV310" s="13" t="s">
        <v>79</v>
      </c>
      <c r="AW310" s="13" t="s">
        <v>33</v>
      </c>
      <c r="AX310" s="13" t="s">
        <v>72</v>
      </c>
      <c r="AY310" s="204" t="s">
        <v>380</v>
      </c>
    </row>
    <row r="311" spans="1:65" s="14" customFormat="1" ht="11.25">
      <c r="B311" s="205"/>
      <c r="C311" s="206"/>
      <c r="D311" s="196" t="s">
        <v>388</v>
      </c>
      <c r="E311" s="207" t="s">
        <v>19</v>
      </c>
      <c r="F311" s="208" t="s">
        <v>386</v>
      </c>
      <c r="G311" s="206"/>
      <c r="H311" s="209">
        <v>4</v>
      </c>
      <c r="I311" s="210"/>
      <c r="J311" s="206"/>
      <c r="K311" s="206"/>
      <c r="L311" s="211"/>
      <c r="M311" s="212"/>
      <c r="N311" s="213"/>
      <c r="O311" s="213"/>
      <c r="P311" s="213"/>
      <c r="Q311" s="213"/>
      <c r="R311" s="213"/>
      <c r="S311" s="213"/>
      <c r="T311" s="214"/>
      <c r="AT311" s="215" t="s">
        <v>388</v>
      </c>
      <c r="AU311" s="215" t="s">
        <v>82</v>
      </c>
      <c r="AV311" s="14" t="s">
        <v>82</v>
      </c>
      <c r="AW311" s="14" t="s">
        <v>33</v>
      </c>
      <c r="AX311" s="14" t="s">
        <v>79</v>
      </c>
      <c r="AY311" s="215" t="s">
        <v>380</v>
      </c>
    </row>
    <row r="312" spans="1:65" s="2" customFormat="1" ht="21.75" customHeight="1">
      <c r="A312" s="36"/>
      <c r="B312" s="37"/>
      <c r="C312" s="181" t="s">
        <v>660</v>
      </c>
      <c r="D312" s="181" t="s">
        <v>382</v>
      </c>
      <c r="E312" s="182" t="s">
        <v>661</v>
      </c>
      <c r="F312" s="183" t="s">
        <v>662</v>
      </c>
      <c r="G312" s="184" t="s">
        <v>641</v>
      </c>
      <c r="H312" s="185">
        <v>36</v>
      </c>
      <c r="I312" s="186"/>
      <c r="J312" s="187">
        <f>ROUND(I312*H312,2)</f>
        <v>0</v>
      </c>
      <c r="K312" s="183" t="s">
        <v>399</v>
      </c>
      <c r="L312" s="41"/>
      <c r="M312" s="188" t="s">
        <v>19</v>
      </c>
      <c r="N312" s="189" t="s">
        <v>43</v>
      </c>
      <c r="O312" s="66"/>
      <c r="P312" s="190">
        <f>O312*H312</f>
        <v>0</v>
      </c>
      <c r="Q312" s="190">
        <v>4.5547999999999998E-2</v>
      </c>
      <c r="R312" s="190">
        <f>Q312*H312</f>
        <v>1.6397279999999999</v>
      </c>
      <c r="S312" s="190">
        <v>0</v>
      </c>
      <c r="T312" s="191">
        <f>S312*H312</f>
        <v>0</v>
      </c>
      <c r="U312" s="36"/>
      <c r="V312" s="36"/>
      <c r="W312" s="36"/>
      <c r="X312" s="36"/>
      <c r="Y312" s="36"/>
      <c r="Z312" s="36"/>
      <c r="AA312" s="36"/>
      <c r="AB312" s="36"/>
      <c r="AC312" s="36"/>
      <c r="AD312" s="36"/>
      <c r="AE312" s="36"/>
      <c r="AR312" s="192" t="s">
        <v>386</v>
      </c>
      <c r="AT312" s="192" t="s">
        <v>382</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386</v>
      </c>
      <c r="BM312" s="192" t="s">
        <v>663</v>
      </c>
    </row>
    <row r="313" spans="1:65" s="13" customFormat="1" ht="11.25">
      <c r="B313" s="194"/>
      <c r="C313" s="195"/>
      <c r="D313" s="196" t="s">
        <v>388</v>
      </c>
      <c r="E313" s="197" t="s">
        <v>19</v>
      </c>
      <c r="F313" s="198" t="s">
        <v>643</v>
      </c>
      <c r="G313" s="195"/>
      <c r="H313" s="197" t="s">
        <v>19</v>
      </c>
      <c r="I313" s="199"/>
      <c r="J313" s="195"/>
      <c r="K313" s="195"/>
      <c r="L313" s="200"/>
      <c r="M313" s="201"/>
      <c r="N313" s="202"/>
      <c r="O313" s="202"/>
      <c r="P313" s="202"/>
      <c r="Q313" s="202"/>
      <c r="R313" s="202"/>
      <c r="S313" s="202"/>
      <c r="T313" s="203"/>
      <c r="AT313" s="204" t="s">
        <v>388</v>
      </c>
      <c r="AU313" s="204" t="s">
        <v>82</v>
      </c>
      <c r="AV313" s="13" t="s">
        <v>79</v>
      </c>
      <c r="AW313" s="13" t="s">
        <v>33</v>
      </c>
      <c r="AX313" s="13" t="s">
        <v>72</v>
      </c>
      <c r="AY313" s="204" t="s">
        <v>380</v>
      </c>
    </row>
    <row r="314" spans="1:65" s="14" customFormat="1" ht="11.25">
      <c r="B314" s="205"/>
      <c r="C314" s="206"/>
      <c r="D314" s="196" t="s">
        <v>388</v>
      </c>
      <c r="E314" s="207" t="s">
        <v>19</v>
      </c>
      <c r="F314" s="208" t="s">
        <v>579</v>
      </c>
      <c r="G314" s="206"/>
      <c r="H314" s="209">
        <v>36</v>
      </c>
      <c r="I314" s="210"/>
      <c r="J314" s="206"/>
      <c r="K314" s="206"/>
      <c r="L314" s="211"/>
      <c r="M314" s="212"/>
      <c r="N314" s="213"/>
      <c r="O314" s="213"/>
      <c r="P314" s="213"/>
      <c r="Q314" s="213"/>
      <c r="R314" s="213"/>
      <c r="S314" s="213"/>
      <c r="T314" s="214"/>
      <c r="AT314" s="215" t="s">
        <v>388</v>
      </c>
      <c r="AU314" s="215" t="s">
        <v>82</v>
      </c>
      <c r="AV314" s="14" t="s">
        <v>82</v>
      </c>
      <c r="AW314" s="14" t="s">
        <v>33</v>
      </c>
      <c r="AX314" s="14" t="s">
        <v>79</v>
      </c>
      <c r="AY314" s="215" t="s">
        <v>380</v>
      </c>
    </row>
    <row r="315" spans="1:65" s="2" customFormat="1" ht="21.75" customHeight="1">
      <c r="A315" s="36"/>
      <c r="B315" s="37"/>
      <c r="C315" s="181" t="s">
        <v>664</v>
      </c>
      <c r="D315" s="181" t="s">
        <v>382</v>
      </c>
      <c r="E315" s="182" t="s">
        <v>665</v>
      </c>
      <c r="F315" s="183" t="s">
        <v>666</v>
      </c>
      <c r="G315" s="184" t="s">
        <v>641</v>
      </c>
      <c r="H315" s="185">
        <v>9</v>
      </c>
      <c r="I315" s="186"/>
      <c r="J315" s="187">
        <f>ROUND(I315*H315,2)</f>
        <v>0</v>
      </c>
      <c r="K315" s="183" t="s">
        <v>399</v>
      </c>
      <c r="L315" s="41"/>
      <c r="M315" s="188" t="s">
        <v>19</v>
      </c>
      <c r="N315" s="189" t="s">
        <v>43</v>
      </c>
      <c r="O315" s="66"/>
      <c r="P315" s="190">
        <f>O315*H315</f>
        <v>0</v>
      </c>
      <c r="Q315" s="190">
        <v>5.4547999999999999E-2</v>
      </c>
      <c r="R315" s="190">
        <f>Q315*H315</f>
        <v>0.49093199999999998</v>
      </c>
      <c r="S315" s="190">
        <v>0</v>
      </c>
      <c r="T315" s="191">
        <f>S315*H315</f>
        <v>0</v>
      </c>
      <c r="U315" s="36"/>
      <c r="V315" s="36"/>
      <c r="W315" s="36"/>
      <c r="X315" s="36"/>
      <c r="Y315" s="36"/>
      <c r="Z315" s="36"/>
      <c r="AA315" s="36"/>
      <c r="AB315" s="36"/>
      <c r="AC315" s="36"/>
      <c r="AD315" s="36"/>
      <c r="AE315" s="36"/>
      <c r="AR315" s="192" t="s">
        <v>386</v>
      </c>
      <c r="AT315" s="192" t="s">
        <v>382</v>
      </c>
      <c r="AU315" s="192" t="s">
        <v>82</v>
      </c>
      <c r="AY315" s="19" t="s">
        <v>380</v>
      </c>
      <c r="BE315" s="193">
        <f>IF(N315="základní",J315,0)</f>
        <v>0</v>
      </c>
      <c r="BF315" s="193">
        <f>IF(N315="snížená",J315,0)</f>
        <v>0</v>
      </c>
      <c r="BG315" s="193">
        <f>IF(N315="zákl. přenesená",J315,0)</f>
        <v>0</v>
      </c>
      <c r="BH315" s="193">
        <f>IF(N315="sníž. přenesená",J315,0)</f>
        <v>0</v>
      </c>
      <c r="BI315" s="193">
        <f>IF(N315="nulová",J315,0)</f>
        <v>0</v>
      </c>
      <c r="BJ315" s="19" t="s">
        <v>79</v>
      </c>
      <c r="BK315" s="193">
        <f>ROUND(I315*H315,2)</f>
        <v>0</v>
      </c>
      <c r="BL315" s="19" t="s">
        <v>386</v>
      </c>
      <c r="BM315" s="192" t="s">
        <v>667</v>
      </c>
    </row>
    <row r="316" spans="1:65" s="13" customFormat="1" ht="11.25">
      <c r="B316" s="194"/>
      <c r="C316" s="195"/>
      <c r="D316" s="196" t="s">
        <v>388</v>
      </c>
      <c r="E316" s="197" t="s">
        <v>19</v>
      </c>
      <c r="F316" s="198" t="s">
        <v>643</v>
      </c>
      <c r="G316" s="195"/>
      <c r="H316" s="197" t="s">
        <v>19</v>
      </c>
      <c r="I316" s="199"/>
      <c r="J316" s="195"/>
      <c r="K316" s="195"/>
      <c r="L316" s="200"/>
      <c r="M316" s="201"/>
      <c r="N316" s="202"/>
      <c r="O316" s="202"/>
      <c r="P316" s="202"/>
      <c r="Q316" s="202"/>
      <c r="R316" s="202"/>
      <c r="S316" s="202"/>
      <c r="T316" s="203"/>
      <c r="AT316" s="204" t="s">
        <v>388</v>
      </c>
      <c r="AU316" s="204" t="s">
        <v>82</v>
      </c>
      <c r="AV316" s="13" t="s">
        <v>79</v>
      </c>
      <c r="AW316" s="13" t="s">
        <v>33</v>
      </c>
      <c r="AX316" s="13" t="s">
        <v>72</v>
      </c>
      <c r="AY316" s="204" t="s">
        <v>380</v>
      </c>
    </row>
    <row r="317" spans="1:65" s="14" customFormat="1" ht="11.25">
      <c r="B317" s="205"/>
      <c r="C317" s="206"/>
      <c r="D317" s="196" t="s">
        <v>388</v>
      </c>
      <c r="E317" s="207" t="s">
        <v>19</v>
      </c>
      <c r="F317" s="208" t="s">
        <v>430</v>
      </c>
      <c r="G317" s="206"/>
      <c r="H317" s="209">
        <v>9</v>
      </c>
      <c r="I317" s="210"/>
      <c r="J317" s="206"/>
      <c r="K317" s="206"/>
      <c r="L317" s="211"/>
      <c r="M317" s="212"/>
      <c r="N317" s="213"/>
      <c r="O317" s="213"/>
      <c r="P317" s="213"/>
      <c r="Q317" s="213"/>
      <c r="R317" s="213"/>
      <c r="S317" s="213"/>
      <c r="T317" s="214"/>
      <c r="AT317" s="215" t="s">
        <v>388</v>
      </c>
      <c r="AU317" s="215" t="s">
        <v>82</v>
      </c>
      <c r="AV317" s="14" t="s">
        <v>82</v>
      </c>
      <c r="AW317" s="14" t="s">
        <v>33</v>
      </c>
      <c r="AX317" s="14" t="s">
        <v>79</v>
      </c>
      <c r="AY317" s="215" t="s">
        <v>380</v>
      </c>
    </row>
    <row r="318" spans="1:65" s="2" customFormat="1" ht="21.75" customHeight="1">
      <c r="A318" s="36"/>
      <c r="B318" s="37"/>
      <c r="C318" s="181" t="s">
        <v>668</v>
      </c>
      <c r="D318" s="181" t="s">
        <v>382</v>
      </c>
      <c r="E318" s="182" t="s">
        <v>669</v>
      </c>
      <c r="F318" s="183" t="s">
        <v>670</v>
      </c>
      <c r="G318" s="184" t="s">
        <v>641</v>
      </c>
      <c r="H318" s="185">
        <v>24</v>
      </c>
      <c r="I318" s="186"/>
      <c r="J318" s="187">
        <f>ROUND(I318*H318,2)</f>
        <v>0</v>
      </c>
      <c r="K318" s="183" t="s">
        <v>399</v>
      </c>
      <c r="L318" s="41"/>
      <c r="M318" s="188" t="s">
        <v>19</v>
      </c>
      <c r="N318" s="189" t="s">
        <v>43</v>
      </c>
      <c r="O318" s="66"/>
      <c r="P318" s="190">
        <f>O318*H318</f>
        <v>0</v>
      </c>
      <c r="Q318" s="190">
        <v>6.3547999999999993E-2</v>
      </c>
      <c r="R318" s="190">
        <f>Q318*H318</f>
        <v>1.5251519999999998</v>
      </c>
      <c r="S318" s="190">
        <v>0</v>
      </c>
      <c r="T318" s="191">
        <f>S318*H318</f>
        <v>0</v>
      </c>
      <c r="U318" s="36"/>
      <c r="V318" s="36"/>
      <c r="W318" s="36"/>
      <c r="X318" s="36"/>
      <c r="Y318" s="36"/>
      <c r="Z318" s="36"/>
      <c r="AA318" s="36"/>
      <c r="AB318" s="36"/>
      <c r="AC318" s="36"/>
      <c r="AD318" s="36"/>
      <c r="AE318" s="36"/>
      <c r="AR318" s="192" t="s">
        <v>386</v>
      </c>
      <c r="AT318" s="192" t="s">
        <v>382</v>
      </c>
      <c r="AU318" s="192" t="s">
        <v>82</v>
      </c>
      <c r="AY318" s="19" t="s">
        <v>380</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386</v>
      </c>
      <c r="BM318" s="192" t="s">
        <v>671</v>
      </c>
    </row>
    <row r="319" spans="1:65" s="13" customFormat="1" ht="11.25">
      <c r="B319" s="194"/>
      <c r="C319" s="195"/>
      <c r="D319" s="196" t="s">
        <v>388</v>
      </c>
      <c r="E319" s="197" t="s">
        <v>19</v>
      </c>
      <c r="F319" s="198" t="s">
        <v>643</v>
      </c>
      <c r="G319" s="195"/>
      <c r="H319" s="197" t="s">
        <v>19</v>
      </c>
      <c r="I319" s="199"/>
      <c r="J319" s="195"/>
      <c r="K319" s="195"/>
      <c r="L319" s="200"/>
      <c r="M319" s="201"/>
      <c r="N319" s="202"/>
      <c r="O319" s="202"/>
      <c r="P319" s="202"/>
      <c r="Q319" s="202"/>
      <c r="R319" s="202"/>
      <c r="S319" s="202"/>
      <c r="T319" s="203"/>
      <c r="AT319" s="204" t="s">
        <v>388</v>
      </c>
      <c r="AU319" s="204" t="s">
        <v>82</v>
      </c>
      <c r="AV319" s="13" t="s">
        <v>79</v>
      </c>
      <c r="AW319" s="13" t="s">
        <v>33</v>
      </c>
      <c r="AX319" s="13" t="s">
        <v>72</v>
      </c>
      <c r="AY319" s="204" t="s">
        <v>380</v>
      </c>
    </row>
    <row r="320" spans="1:65" s="14" customFormat="1" ht="11.25">
      <c r="B320" s="205"/>
      <c r="C320" s="206"/>
      <c r="D320" s="196" t="s">
        <v>388</v>
      </c>
      <c r="E320" s="207" t="s">
        <v>19</v>
      </c>
      <c r="F320" s="208" t="s">
        <v>505</v>
      </c>
      <c r="G320" s="206"/>
      <c r="H320" s="209">
        <v>24</v>
      </c>
      <c r="I320" s="210"/>
      <c r="J320" s="206"/>
      <c r="K320" s="206"/>
      <c r="L320" s="211"/>
      <c r="M320" s="212"/>
      <c r="N320" s="213"/>
      <c r="O320" s="213"/>
      <c r="P320" s="213"/>
      <c r="Q320" s="213"/>
      <c r="R320" s="213"/>
      <c r="S320" s="213"/>
      <c r="T320" s="214"/>
      <c r="AT320" s="215" t="s">
        <v>388</v>
      </c>
      <c r="AU320" s="215" t="s">
        <v>82</v>
      </c>
      <c r="AV320" s="14" t="s">
        <v>82</v>
      </c>
      <c r="AW320" s="14" t="s">
        <v>33</v>
      </c>
      <c r="AX320" s="14" t="s">
        <v>79</v>
      </c>
      <c r="AY320" s="215" t="s">
        <v>380</v>
      </c>
    </row>
    <row r="321" spans="1:65" s="2" customFormat="1" ht="16.5" customHeight="1">
      <c r="A321" s="36"/>
      <c r="B321" s="37"/>
      <c r="C321" s="181" t="s">
        <v>672</v>
      </c>
      <c r="D321" s="181" t="s">
        <v>382</v>
      </c>
      <c r="E321" s="182" t="s">
        <v>673</v>
      </c>
      <c r="F321" s="183" t="s">
        <v>674</v>
      </c>
      <c r="G321" s="184" t="s">
        <v>452</v>
      </c>
      <c r="H321" s="185">
        <v>33.5</v>
      </c>
      <c r="I321" s="186"/>
      <c r="J321" s="187">
        <f>ROUND(I321*H321,2)</f>
        <v>0</v>
      </c>
      <c r="K321" s="183" t="s">
        <v>399</v>
      </c>
      <c r="L321" s="41"/>
      <c r="M321" s="188" t="s">
        <v>19</v>
      </c>
      <c r="N321" s="189" t="s">
        <v>43</v>
      </c>
      <c r="O321" s="66"/>
      <c r="P321" s="190">
        <f>O321*H321</f>
        <v>0</v>
      </c>
      <c r="Q321" s="190">
        <v>1.875E-4</v>
      </c>
      <c r="R321" s="190">
        <f>Q321*H321</f>
        <v>6.2812500000000004E-3</v>
      </c>
      <c r="S321" s="190">
        <v>0</v>
      </c>
      <c r="T321" s="191">
        <f>S321*H321</f>
        <v>0</v>
      </c>
      <c r="U321" s="36"/>
      <c r="V321" s="36"/>
      <c r="W321" s="36"/>
      <c r="X321" s="36"/>
      <c r="Y321" s="36"/>
      <c r="Z321" s="36"/>
      <c r="AA321" s="36"/>
      <c r="AB321" s="36"/>
      <c r="AC321" s="36"/>
      <c r="AD321" s="36"/>
      <c r="AE321" s="36"/>
      <c r="AR321" s="192" t="s">
        <v>386</v>
      </c>
      <c r="AT321" s="192" t="s">
        <v>382</v>
      </c>
      <c r="AU321" s="192" t="s">
        <v>82</v>
      </c>
      <c r="AY321" s="19" t="s">
        <v>380</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386</v>
      </c>
      <c r="BM321" s="192" t="s">
        <v>675</v>
      </c>
    </row>
    <row r="322" spans="1:65" s="14" customFormat="1" ht="11.25">
      <c r="B322" s="205"/>
      <c r="C322" s="206"/>
      <c r="D322" s="196" t="s">
        <v>388</v>
      </c>
      <c r="E322" s="207" t="s">
        <v>19</v>
      </c>
      <c r="F322" s="208" t="s">
        <v>676</v>
      </c>
      <c r="G322" s="206"/>
      <c r="H322" s="209">
        <v>33.5</v>
      </c>
      <c r="I322" s="210"/>
      <c r="J322" s="206"/>
      <c r="K322" s="206"/>
      <c r="L322" s="211"/>
      <c r="M322" s="212"/>
      <c r="N322" s="213"/>
      <c r="O322" s="213"/>
      <c r="P322" s="213"/>
      <c r="Q322" s="213"/>
      <c r="R322" s="213"/>
      <c r="S322" s="213"/>
      <c r="T322" s="214"/>
      <c r="AT322" s="215" t="s">
        <v>388</v>
      </c>
      <c r="AU322" s="215" t="s">
        <v>82</v>
      </c>
      <c r="AV322" s="14" t="s">
        <v>82</v>
      </c>
      <c r="AW322" s="14" t="s">
        <v>33</v>
      </c>
      <c r="AX322" s="14" t="s">
        <v>79</v>
      </c>
      <c r="AY322" s="215" t="s">
        <v>380</v>
      </c>
    </row>
    <row r="323" spans="1:65" s="2" customFormat="1" ht="24.2" customHeight="1">
      <c r="A323" s="36"/>
      <c r="B323" s="37"/>
      <c r="C323" s="181" t="s">
        <v>677</v>
      </c>
      <c r="D323" s="181" t="s">
        <v>382</v>
      </c>
      <c r="E323" s="182" t="s">
        <v>678</v>
      </c>
      <c r="F323" s="183" t="s">
        <v>679</v>
      </c>
      <c r="G323" s="184" t="s">
        <v>385</v>
      </c>
      <c r="H323" s="185">
        <v>29.837</v>
      </c>
      <c r="I323" s="186"/>
      <c r="J323" s="187">
        <f>ROUND(I323*H323,2)</f>
        <v>0</v>
      </c>
      <c r="K323" s="183" t="s">
        <v>399</v>
      </c>
      <c r="L323" s="41"/>
      <c r="M323" s="188" t="s">
        <v>19</v>
      </c>
      <c r="N323" s="189" t="s">
        <v>43</v>
      </c>
      <c r="O323" s="66"/>
      <c r="P323" s="190">
        <f>O323*H323</f>
        <v>0</v>
      </c>
      <c r="Q323" s="190">
        <v>2.45329</v>
      </c>
      <c r="R323" s="190">
        <f>Q323*H323</f>
        <v>73.198813729999998</v>
      </c>
      <c r="S323" s="190">
        <v>0</v>
      </c>
      <c r="T323" s="191">
        <f>S323*H323</f>
        <v>0</v>
      </c>
      <c r="U323" s="36"/>
      <c r="V323" s="36"/>
      <c r="W323" s="36"/>
      <c r="X323" s="36"/>
      <c r="Y323" s="36"/>
      <c r="Z323" s="36"/>
      <c r="AA323" s="36"/>
      <c r="AB323" s="36"/>
      <c r="AC323" s="36"/>
      <c r="AD323" s="36"/>
      <c r="AE323" s="36"/>
      <c r="AR323" s="192" t="s">
        <v>386</v>
      </c>
      <c r="AT323" s="192" t="s">
        <v>382</v>
      </c>
      <c r="AU323" s="192" t="s">
        <v>82</v>
      </c>
      <c r="AY323" s="19" t="s">
        <v>380</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386</v>
      </c>
      <c r="BM323" s="192" t="s">
        <v>680</v>
      </c>
    </row>
    <row r="324" spans="1:65" s="13" customFormat="1" ht="11.25">
      <c r="B324" s="194"/>
      <c r="C324" s="195"/>
      <c r="D324" s="196" t="s">
        <v>388</v>
      </c>
      <c r="E324" s="197" t="s">
        <v>19</v>
      </c>
      <c r="F324" s="198" t="s">
        <v>583</v>
      </c>
      <c r="G324" s="195"/>
      <c r="H324" s="197" t="s">
        <v>19</v>
      </c>
      <c r="I324" s="199"/>
      <c r="J324" s="195"/>
      <c r="K324" s="195"/>
      <c r="L324" s="200"/>
      <c r="M324" s="201"/>
      <c r="N324" s="202"/>
      <c r="O324" s="202"/>
      <c r="P324" s="202"/>
      <c r="Q324" s="202"/>
      <c r="R324" s="202"/>
      <c r="S324" s="202"/>
      <c r="T324" s="203"/>
      <c r="AT324" s="204" t="s">
        <v>388</v>
      </c>
      <c r="AU324" s="204" t="s">
        <v>82</v>
      </c>
      <c r="AV324" s="13" t="s">
        <v>79</v>
      </c>
      <c r="AW324" s="13" t="s">
        <v>33</v>
      </c>
      <c r="AX324" s="13" t="s">
        <v>72</v>
      </c>
      <c r="AY324" s="204" t="s">
        <v>380</v>
      </c>
    </row>
    <row r="325" spans="1:65" s="14" customFormat="1" ht="11.25">
      <c r="B325" s="205"/>
      <c r="C325" s="206"/>
      <c r="D325" s="196" t="s">
        <v>388</v>
      </c>
      <c r="E325" s="207" t="s">
        <v>19</v>
      </c>
      <c r="F325" s="208" t="s">
        <v>681</v>
      </c>
      <c r="G325" s="206"/>
      <c r="H325" s="209">
        <v>6.95</v>
      </c>
      <c r="I325" s="210"/>
      <c r="J325" s="206"/>
      <c r="K325" s="206"/>
      <c r="L325" s="211"/>
      <c r="M325" s="212"/>
      <c r="N325" s="213"/>
      <c r="O325" s="213"/>
      <c r="P325" s="213"/>
      <c r="Q325" s="213"/>
      <c r="R325" s="213"/>
      <c r="S325" s="213"/>
      <c r="T325" s="214"/>
      <c r="AT325" s="215" t="s">
        <v>388</v>
      </c>
      <c r="AU325" s="215" t="s">
        <v>82</v>
      </c>
      <c r="AV325" s="14" t="s">
        <v>82</v>
      </c>
      <c r="AW325" s="14" t="s">
        <v>33</v>
      </c>
      <c r="AX325" s="14" t="s">
        <v>72</v>
      </c>
      <c r="AY325" s="215" t="s">
        <v>380</v>
      </c>
    </row>
    <row r="326" spans="1:65" s="14" customFormat="1" ht="11.25">
      <c r="B326" s="205"/>
      <c r="C326" s="206"/>
      <c r="D326" s="196" t="s">
        <v>388</v>
      </c>
      <c r="E326" s="207" t="s">
        <v>19</v>
      </c>
      <c r="F326" s="208" t="s">
        <v>682</v>
      </c>
      <c r="G326" s="206"/>
      <c r="H326" s="209">
        <v>2.92</v>
      </c>
      <c r="I326" s="210"/>
      <c r="J326" s="206"/>
      <c r="K326" s="206"/>
      <c r="L326" s="211"/>
      <c r="M326" s="212"/>
      <c r="N326" s="213"/>
      <c r="O326" s="213"/>
      <c r="P326" s="213"/>
      <c r="Q326" s="213"/>
      <c r="R326" s="213"/>
      <c r="S326" s="213"/>
      <c r="T326" s="214"/>
      <c r="AT326" s="215" t="s">
        <v>388</v>
      </c>
      <c r="AU326" s="215" t="s">
        <v>82</v>
      </c>
      <c r="AV326" s="14" t="s">
        <v>82</v>
      </c>
      <c r="AW326" s="14" t="s">
        <v>33</v>
      </c>
      <c r="AX326" s="14" t="s">
        <v>72</v>
      </c>
      <c r="AY326" s="215" t="s">
        <v>380</v>
      </c>
    </row>
    <row r="327" spans="1:65" s="16" customFormat="1" ht="11.25">
      <c r="B327" s="237"/>
      <c r="C327" s="238"/>
      <c r="D327" s="196" t="s">
        <v>388</v>
      </c>
      <c r="E327" s="239" t="s">
        <v>19</v>
      </c>
      <c r="F327" s="240" t="s">
        <v>572</v>
      </c>
      <c r="G327" s="238"/>
      <c r="H327" s="241">
        <v>9.8699999999999992</v>
      </c>
      <c r="I327" s="242"/>
      <c r="J327" s="238"/>
      <c r="K327" s="238"/>
      <c r="L327" s="243"/>
      <c r="M327" s="244"/>
      <c r="N327" s="245"/>
      <c r="O327" s="245"/>
      <c r="P327" s="245"/>
      <c r="Q327" s="245"/>
      <c r="R327" s="245"/>
      <c r="S327" s="245"/>
      <c r="T327" s="246"/>
      <c r="AT327" s="247" t="s">
        <v>388</v>
      </c>
      <c r="AU327" s="247" t="s">
        <v>82</v>
      </c>
      <c r="AV327" s="16" t="s">
        <v>99</v>
      </c>
      <c r="AW327" s="16" t="s">
        <v>33</v>
      </c>
      <c r="AX327" s="16" t="s">
        <v>72</v>
      </c>
      <c r="AY327" s="247" t="s">
        <v>380</v>
      </c>
    </row>
    <row r="328" spans="1:65" s="13" customFormat="1" ht="11.25">
      <c r="B328" s="194"/>
      <c r="C328" s="195"/>
      <c r="D328" s="196" t="s">
        <v>388</v>
      </c>
      <c r="E328" s="197" t="s">
        <v>19</v>
      </c>
      <c r="F328" s="198" t="s">
        <v>569</v>
      </c>
      <c r="G328" s="195"/>
      <c r="H328" s="197" t="s">
        <v>19</v>
      </c>
      <c r="I328" s="199"/>
      <c r="J328" s="195"/>
      <c r="K328" s="195"/>
      <c r="L328" s="200"/>
      <c r="M328" s="201"/>
      <c r="N328" s="202"/>
      <c r="O328" s="202"/>
      <c r="P328" s="202"/>
      <c r="Q328" s="202"/>
      <c r="R328" s="202"/>
      <c r="S328" s="202"/>
      <c r="T328" s="203"/>
      <c r="AT328" s="204" t="s">
        <v>388</v>
      </c>
      <c r="AU328" s="204" t="s">
        <v>82</v>
      </c>
      <c r="AV328" s="13" t="s">
        <v>79</v>
      </c>
      <c r="AW328" s="13" t="s">
        <v>33</v>
      </c>
      <c r="AX328" s="13" t="s">
        <v>72</v>
      </c>
      <c r="AY328" s="204" t="s">
        <v>380</v>
      </c>
    </row>
    <row r="329" spans="1:65" s="14" customFormat="1" ht="11.25">
      <c r="B329" s="205"/>
      <c r="C329" s="206"/>
      <c r="D329" s="196" t="s">
        <v>388</v>
      </c>
      <c r="E329" s="207" t="s">
        <v>19</v>
      </c>
      <c r="F329" s="208" t="s">
        <v>683</v>
      </c>
      <c r="G329" s="206"/>
      <c r="H329" s="209">
        <v>9.7650000000000006</v>
      </c>
      <c r="I329" s="210"/>
      <c r="J329" s="206"/>
      <c r="K329" s="206"/>
      <c r="L329" s="211"/>
      <c r="M329" s="212"/>
      <c r="N329" s="213"/>
      <c r="O329" s="213"/>
      <c r="P329" s="213"/>
      <c r="Q329" s="213"/>
      <c r="R329" s="213"/>
      <c r="S329" s="213"/>
      <c r="T329" s="214"/>
      <c r="AT329" s="215" t="s">
        <v>388</v>
      </c>
      <c r="AU329" s="215" t="s">
        <v>82</v>
      </c>
      <c r="AV329" s="14" t="s">
        <v>82</v>
      </c>
      <c r="AW329" s="14" t="s">
        <v>33</v>
      </c>
      <c r="AX329" s="14" t="s">
        <v>72</v>
      </c>
      <c r="AY329" s="215" t="s">
        <v>380</v>
      </c>
    </row>
    <row r="330" spans="1:65" s="14" customFormat="1" ht="11.25">
      <c r="B330" s="205"/>
      <c r="C330" s="206"/>
      <c r="D330" s="196" t="s">
        <v>388</v>
      </c>
      <c r="E330" s="207" t="s">
        <v>19</v>
      </c>
      <c r="F330" s="208" t="s">
        <v>684</v>
      </c>
      <c r="G330" s="206"/>
      <c r="H330" s="209">
        <v>0.82299999999999995</v>
      </c>
      <c r="I330" s="210"/>
      <c r="J330" s="206"/>
      <c r="K330" s="206"/>
      <c r="L330" s="211"/>
      <c r="M330" s="212"/>
      <c r="N330" s="213"/>
      <c r="O330" s="213"/>
      <c r="P330" s="213"/>
      <c r="Q330" s="213"/>
      <c r="R330" s="213"/>
      <c r="S330" s="213"/>
      <c r="T330" s="214"/>
      <c r="AT330" s="215" t="s">
        <v>388</v>
      </c>
      <c r="AU330" s="215" t="s">
        <v>82</v>
      </c>
      <c r="AV330" s="14" t="s">
        <v>82</v>
      </c>
      <c r="AW330" s="14" t="s">
        <v>33</v>
      </c>
      <c r="AX330" s="14" t="s">
        <v>72</v>
      </c>
      <c r="AY330" s="215" t="s">
        <v>380</v>
      </c>
    </row>
    <row r="331" spans="1:65" s="16" customFormat="1" ht="11.25">
      <c r="B331" s="237"/>
      <c r="C331" s="238"/>
      <c r="D331" s="196" t="s">
        <v>388</v>
      </c>
      <c r="E331" s="239" t="s">
        <v>19</v>
      </c>
      <c r="F331" s="240" t="s">
        <v>572</v>
      </c>
      <c r="G331" s="238"/>
      <c r="H331" s="241">
        <v>10.587999999999999</v>
      </c>
      <c r="I331" s="242"/>
      <c r="J331" s="238"/>
      <c r="K331" s="238"/>
      <c r="L331" s="243"/>
      <c r="M331" s="244"/>
      <c r="N331" s="245"/>
      <c r="O331" s="245"/>
      <c r="P331" s="245"/>
      <c r="Q331" s="245"/>
      <c r="R331" s="245"/>
      <c r="S331" s="245"/>
      <c r="T331" s="246"/>
      <c r="AT331" s="247" t="s">
        <v>388</v>
      </c>
      <c r="AU331" s="247" t="s">
        <v>82</v>
      </c>
      <c r="AV331" s="16" t="s">
        <v>99</v>
      </c>
      <c r="AW331" s="16" t="s">
        <v>33</v>
      </c>
      <c r="AX331" s="16" t="s">
        <v>72</v>
      </c>
      <c r="AY331" s="247" t="s">
        <v>380</v>
      </c>
    </row>
    <row r="332" spans="1:65" s="13" customFormat="1" ht="11.25">
      <c r="B332" s="194"/>
      <c r="C332" s="195"/>
      <c r="D332" s="196" t="s">
        <v>388</v>
      </c>
      <c r="E332" s="197" t="s">
        <v>19</v>
      </c>
      <c r="F332" s="198" t="s">
        <v>573</v>
      </c>
      <c r="G332" s="195"/>
      <c r="H332" s="197" t="s">
        <v>19</v>
      </c>
      <c r="I332" s="199"/>
      <c r="J332" s="195"/>
      <c r="K332" s="195"/>
      <c r="L332" s="200"/>
      <c r="M332" s="201"/>
      <c r="N332" s="202"/>
      <c r="O332" s="202"/>
      <c r="P332" s="202"/>
      <c r="Q332" s="202"/>
      <c r="R332" s="202"/>
      <c r="S332" s="202"/>
      <c r="T332" s="203"/>
      <c r="AT332" s="204" t="s">
        <v>388</v>
      </c>
      <c r="AU332" s="204" t="s">
        <v>82</v>
      </c>
      <c r="AV332" s="13" t="s">
        <v>79</v>
      </c>
      <c r="AW332" s="13" t="s">
        <v>33</v>
      </c>
      <c r="AX332" s="13" t="s">
        <v>72</v>
      </c>
      <c r="AY332" s="204" t="s">
        <v>380</v>
      </c>
    </row>
    <row r="333" spans="1:65" s="14" customFormat="1" ht="11.25">
      <c r="B333" s="205"/>
      <c r="C333" s="206"/>
      <c r="D333" s="196" t="s">
        <v>388</v>
      </c>
      <c r="E333" s="207" t="s">
        <v>19</v>
      </c>
      <c r="F333" s="208" t="s">
        <v>685</v>
      </c>
      <c r="G333" s="206"/>
      <c r="H333" s="209">
        <v>3.556</v>
      </c>
      <c r="I333" s="210"/>
      <c r="J333" s="206"/>
      <c r="K333" s="206"/>
      <c r="L333" s="211"/>
      <c r="M333" s="212"/>
      <c r="N333" s="213"/>
      <c r="O333" s="213"/>
      <c r="P333" s="213"/>
      <c r="Q333" s="213"/>
      <c r="R333" s="213"/>
      <c r="S333" s="213"/>
      <c r="T333" s="214"/>
      <c r="AT333" s="215" t="s">
        <v>388</v>
      </c>
      <c r="AU333" s="215" t="s">
        <v>82</v>
      </c>
      <c r="AV333" s="14" t="s">
        <v>82</v>
      </c>
      <c r="AW333" s="14" t="s">
        <v>33</v>
      </c>
      <c r="AX333" s="14" t="s">
        <v>72</v>
      </c>
      <c r="AY333" s="215" t="s">
        <v>380</v>
      </c>
    </row>
    <row r="334" spans="1:65" s="14" customFormat="1" ht="11.25">
      <c r="B334" s="205"/>
      <c r="C334" s="206"/>
      <c r="D334" s="196" t="s">
        <v>388</v>
      </c>
      <c r="E334" s="207" t="s">
        <v>19</v>
      </c>
      <c r="F334" s="208" t="s">
        <v>686</v>
      </c>
      <c r="G334" s="206"/>
      <c r="H334" s="209">
        <v>2.8719999999999999</v>
      </c>
      <c r="I334" s="210"/>
      <c r="J334" s="206"/>
      <c r="K334" s="206"/>
      <c r="L334" s="211"/>
      <c r="M334" s="212"/>
      <c r="N334" s="213"/>
      <c r="O334" s="213"/>
      <c r="P334" s="213"/>
      <c r="Q334" s="213"/>
      <c r="R334" s="213"/>
      <c r="S334" s="213"/>
      <c r="T334" s="214"/>
      <c r="AT334" s="215" t="s">
        <v>388</v>
      </c>
      <c r="AU334" s="215" t="s">
        <v>82</v>
      </c>
      <c r="AV334" s="14" t="s">
        <v>82</v>
      </c>
      <c r="AW334" s="14" t="s">
        <v>33</v>
      </c>
      <c r="AX334" s="14" t="s">
        <v>72</v>
      </c>
      <c r="AY334" s="215" t="s">
        <v>380</v>
      </c>
    </row>
    <row r="335" spans="1:65" s="14" customFormat="1" ht="11.25">
      <c r="B335" s="205"/>
      <c r="C335" s="206"/>
      <c r="D335" s="196" t="s">
        <v>388</v>
      </c>
      <c r="E335" s="207" t="s">
        <v>19</v>
      </c>
      <c r="F335" s="208" t="s">
        <v>684</v>
      </c>
      <c r="G335" s="206"/>
      <c r="H335" s="209">
        <v>0.82299999999999995</v>
      </c>
      <c r="I335" s="210"/>
      <c r="J335" s="206"/>
      <c r="K335" s="206"/>
      <c r="L335" s="211"/>
      <c r="M335" s="212"/>
      <c r="N335" s="213"/>
      <c r="O335" s="213"/>
      <c r="P335" s="213"/>
      <c r="Q335" s="213"/>
      <c r="R335" s="213"/>
      <c r="S335" s="213"/>
      <c r="T335" s="214"/>
      <c r="AT335" s="215" t="s">
        <v>388</v>
      </c>
      <c r="AU335" s="215" t="s">
        <v>82</v>
      </c>
      <c r="AV335" s="14" t="s">
        <v>82</v>
      </c>
      <c r="AW335" s="14" t="s">
        <v>33</v>
      </c>
      <c r="AX335" s="14" t="s">
        <v>72</v>
      </c>
      <c r="AY335" s="215" t="s">
        <v>380</v>
      </c>
    </row>
    <row r="336" spans="1:65" s="16" customFormat="1" ht="11.25">
      <c r="B336" s="237"/>
      <c r="C336" s="238"/>
      <c r="D336" s="196" t="s">
        <v>388</v>
      </c>
      <c r="E336" s="239" t="s">
        <v>19</v>
      </c>
      <c r="F336" s="240" t="s">
        <v>572</v>
      </c>
      <c r="G336" s="238"/>
      <c r="H336" s="241">
        <v>7.2510000000000003</v>
      </c>
      <c r="I336" s="242"/>
      <c r="J336" s="238"/>
      <c r="K336" s="238"/>
      <c r="L336" s="243"/>
      <c r="M336" s="244"/>
      <c r="N336" s="245"/>
      <c r="O336" s="245"/>
      <c r="P336" s="245"/>
      <c r="Q336" s="245"/>
      <c r="R336" s="245"/>
      <c r="S336" s="245"/>
      <c r="T336" s="246"/>
      <c r="AT336" s="247" t="s">
        <v>388</v>
      </c>
      <c r="AU336" s="247" t="s">
        <v>82</v>
      </c>
      <c r="AV336" s="16" t="s">
        <v>99</v>
      </c>
      <c r="AW336" s="16" t="s">
        <v>33</v>
      </c>
      <c r="AX336" s="16" t="s">
        <v>72</v>
      </c>
      <c r="AY336" s="247" t="s">
        <v>380</v>
      </c>
    </row>
    <row r="337" spans="1:65" s="13" customFormat="1" ht="11.25">
      <c r="B337" s="194"/>
      <c r="C337" s="195"/>
      <c r="D337" s="196" t="s">
        <v>388</v>
      </c>
      <c r="E337" s="197" t="s">
        <v>19</v>
      </c>
      <c r="F337" s="198" t="s">
        <v>576</v>
      </c>
      <c r="G337" s="195"/>
      <c r="H337" s="197" t="s">
        <v>19</v>
      </c>
      <c r="I337" s="199"/>
      <c r="J337" s="195"/>
      <c r="K337" s="195"/>
      <c r="L337" s="200"/>
      <c r="M337" s="201"/>
      <c r="N337" s="202"/>
      <c r="O337" s="202"/>
      <c r="P337" s="202"/>
      <c r="Q337" s="202"/>
      <c r="R337" s="202"/>
      <c r="S337" s="202"/>
      <c r="T337" s="203"/>
      <c r="AT337" s="204" t="s">
        <v>388</v>
      </c>
      <c r="AU337" s="204" t="s">
        <v>82</v>
      </c>
      <c r="AV337" s="13" t="s">
        <v>79</v>
      </c>
      <c r="AW337" s="13" t="s">
        <v>33</v>
      </c>
      <c r="AX337" s="13" t="s">
        <v>72</v>
      </c>
      <c r="AY337" s="204" t="s">
        <v>380</v>
      </c>
    </row>
    <row r="338" spans="1:65" s="14" customFormat="1" ht="11.25">
      <c r="B338" s="205"/>
      <c r="C338" s="206"/>
      <c r="D338" s="196" t="s">
        <v>388</v>
      </c>
      <c r="E338" s="207" t="s">
        <v>19</v>
      </c>
      <c r="F338" s="208" t="s">
        <v>687</v>
      </c>
      <c r="G338" s="206"/>
      <c r="H338" s="209">
        <v>2.1280000000000001</v>
      </c>
      <c r="I338" s="210"/>
      <c r="J338" s="206"/>
      <c r="K338" s="206"/>
      <c r="L338" s="211"/>
      <c r="M338" s="212"/>
      <c r="N338" s="213"/>
      <c r="O338" s="213"/>
      <c r="P338" s="213"/>
      <c r="Q338" s="213"/>
      <c r="R338" s="213"/>
      <c r="S338" s="213"/>
      <c r="T338" s="214"/>
      <c r="AT338" s="215" t="s">
        <v>388</v>
      </c>
      <c r="AU338" s="215" t="s">
        <v>82</v>
      </c>
      <c r="AV338" s="14" t="s">
        <v>82</v>
      </c>
      <c r="AW338" s="14" t="s">
        <v>33</v>
      </c>
      <c r="AX338" s="14" t="s">
        <v>72</v>
      </c>
      <c r="AY338" s="215" t="s">
        <v>380</v>
      </c>
    </row>
    <row r="339" spans="1:65" s="16" customFormat="1" ht="11.25">
      <c r="B339" s="237"/>
      <c r="C339" s="238"/>
      <c r="D339" s="196" t="s">
        <v>388</v>
      </c>
      <c r="E339" s="239" t="s">
        <v>19</v>
      </c>
      <c r="F339" s="240" t="s">
        <v>572</v>
      </c>
      <c r="G339" s="238"/>
      <c r="H339" s="241">
        <v>2.1280000000000001</v>
      </c>
      <c r="I339" s="242"/>
      <c r="J339" s="238"/>
      <c r="K339" s="238"/>
      <c r="L339" s="243"/>
      <c r="M339" s="244"/>
      <c r="N339" s="245"/>
      <c r="O339" s="245"/>
      <c r="P339" s="245"/>
      <c r="Q339" s="245"/>
      <c r="R339" s="245"/>
      <c r="S339" s="245"/>
      <c r="T339" s="246"/>
      <c r="AT339" s="247" t="s">
        <v>388</v>
      </c>
      <c r="AU339" s="247" t="s">
        <v>82</v>
      </c>
      <c r="AV339" s="16" t="s">
        <v>99</v>
      </c>
      <c r="AW339" s="16" t="s">
        <v>33</v>
      </c>
      <c r="AX339" s="16" t="s">
        <v>72</v>
      </c>
      <c r="AY339" s="247" t="s">
        <v>380</v>
      </c>
    </row>
    <row r="340" spans="1:65" s="15" customFormat="1" ht="11.25">
      <c r="B340" s="216"/>
      <c r="C340" s="217"/>
      <c r="D340" s="196" t="s">
        <v>388</v>
      </c>
      <c r="E340" s="218" t="s">
        <v>19</v>
      </c>
      <c r="F340" s="219" t="s">
        <v>419</v>
      </c>
      <c r="G340" s="217"/>
      <c r="H340" s="220">
        <v>29.837</v>
      </c>
      <c r="I340" s="221"/>
      <c r="J340" s="217"/>
      <c r="K340" s="217"/>
      <c r="L340" s="222"/>
      <c r="M340" s="223"/>
      <c r="N340" s="224"/>
      <c r="O340" s="224"/>
      <c r="P340" s="224"/>
      <c r="Q340" s="224"/>
      <c r="R340" s="224"/>
      <c r="S340" s="224"/>
      <c r="T340" s="225"/>
      <c r="AT340" s="226" t="s">
        <v>388</v>
      </c>
      <c r="AU340" s="226" t="s">
        <v>82</v>
      </c>
      <c r="AV340" s="15" t="s">
        <v>386</v>
      </c>
      <c r="AW340" s="15" t="s">
        <v>33</v>
      </c>
      <c r="AX340" s="15" t="s">
        <v>79</v>
      </c>
      <c r="AY340" s="226" t="s">
        <v>380</v>
      </c>
    </row>
    <row r="341" spans="1:65" s="2" customFormat="1" ht="24.2" customHeight="1">
      <c r="A341" s="36"/>
      <c r="B341" s="37"/>
      <c r="C341" s="181" t="s">
        <v>688</v>
      </c>
      <c r="D341" s="181" t="s">
        <v>382</v>
      </c>
      <c r="E341" s="182" t="s">
        <v>689</v>
      </c>
      <c r="F341" s="183" t="s">
        <v>690</v>
      </c>
      <c r="G341" s="184" t="s">
        <v>398</v>
      </c>
      <c r="H341" s="185">
        <v>301.65199999999999</v>
      </c>
      <c r="I341" s="186"/>
      <c r="J341" s="187">
        <f>ROUND(I341*H341,2)</f>
        <v>0</v>
      </c>
      <c r="K341" s="183" t="s">
        <v>399</v>
      </c>
      <c r="L341" s="41"/>
      <c r="M341" s="188" t="s">
        <v>19</v>
      </c>
      <c r="N341" s="189" t="s">
        <v>43</v>
      </c>
      <c r="O341" s="66"/>
      <c r="P341" s="190">
        <f>O341*H341</f>
        <v>0</v>
      </c>
      <c r="Q341" s="190">
        <v>2.4359500000000001E-3</v>
      </c>
      <c r="R341" s="190">
        <f>Q341*H341</f>
        <v>0.73480918939999995</v>
      </c>
      <c r="S341" s="190">
        <v>0</v>
      </c>
      <c r="T341" s="191">
        <f>S341*H341</f>
        <v>0</v>
      </c>
      <c r="U341" s="36"/>
      <c r="V341" s="36"/>
      <c r="W341" s="36"/>
      <c r="X341" s="36"/>
      <c r="Y341" s="36"/>
      <c r="Z341" s="36"/>
      <c r="AA341" s="36"/>
      <c r="AB341" s="36"/>
      <c r="AC341" s="36"/>
      <c r="AD341" s="36"/>
      <c r="AE341" s="36"/>
      <c r="AR341" s="192" t="s">
        <v>386</v>
      </c>
      <c r="AT341" s="192" t="s">
        <v>382</v>
      </c>
      <c r="AU341" s="192" t="s">
        <v>82</v>
      </c>
      <c r="AY341" s="19" t="s">
        <v>380</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386</v>
      </c>
      <c r="BM341" s="192" t="s">
        <v>691</v>
      </c>
    </row>
    <row r="342" spans="1:65" s="13" customFormat="1" ht="11.25">
      <c r="B342" s="194"/>
      <c r="C342" s="195"/>
      <c r="D342" s="196" t="s">
        <v>388</v>
      </c>
      <c r="E342" s="197" t="s">
        <v>19</v>
      </c>
      <c r="F342" s="198" t="s">
        <v>583</v>
      </c>
      <c r="G342" s="195"/>
      <c r="H342" s="197" t="s">
        <v>19</v>
      </c>
      <c r="I342" s="199"/>
      <c r="J342" s="195"/>
      <c r="K342" s="195"/>
      <c r="L342" s="200"/>
      <c r="M342" s="201"/>
      <c r="N342" s="202"/>
      <c r="O342" s="202"/>
      <c r="P342" s="202"/>
      <c r="Q342" s="202"/>
      <c r="R342" s="202"/>
      <c r="S342" s="202"/>
      <c r="T342" s="203"/>
      <c r="AT342" s="204" t="s">
        <v>388</v>
      </c>
      <c r="AU342" s="204" t="s">
        <v>82</v>
      </c>
      <c r="AV342" s="13" t="s">
        <v>79</v>
      </c>
      <c r="AW342" s="13" t="s">
        <v>33</v>
      </c>
      <c r="AX342" s="13" t="s">
        <v>72</v>
      </c>
      <c r="AY342" s="204" t="s">
        <v>380</v>
      </c>
    </row>
    <row r="343" spans="1:65" s="14" customFormat="1" ht="11.25">
      <c r="B343" s="205"/>
      <c r="C343" s="206"/>
      <c r="D343" s="196" t="s">
        <v>388</v>
      </c>
      <c r="E343" s="207" t="s">
        <v>19</v>
      </c>
      <c r="F343" s="208" t="s">
        <v>692</v>
      </c>
      <c r="G343" s="206"/>
      <c r="H343" s="209">
        <v>69.504000000000005</v>
      </c>
      <c r="I343" s="210"/>
      <c r="J343" s="206"/>
      <c r="K343" s="206"/>
      <c r="L343" s="211"/>
      <c r="M343" s="212"/>
      <c r="N343" s="213"/>
      <c r="O343" s="213"/>
      <c r="P343" s="213"/>
      <c r="Q343" s="213"/>
      <c r="R343" s="213"/>
      <c r="S343" s="213"/>
      <c r="T343" s="214"/>
      <c r="AT343" s="215" t="s">
        <v>388</v>
      </c>
      <c r="AU343" s="215" t="s">
        <v>82</v>
      </c>
      <c r="AV343" s="14" t="s">
        <v>82</v>
      </c>
      <c r="AW343" s="14" t="s">
        <v>33</v>
      </c>
      <c r="AX343" s="14" t="s">
        <v>72</v>
      </c>
      <c r="AY343" s="215" t="s">
        <v>380</v>
      </c>
    </row>
    <row r="344" spans="1:65" s="14" customFormat="1" ht="11.25">
      <c r="B344" s="205"/>
      <c r="C344" s="206"/>
      <c r="D344" s="196" t="s">
        <v>388</v>
      </c>
      <c r="E344" s="207" t="s">
        <v>19</v>
      </c>
      <c r="F344" s="208" t="s">
        <v>693</v>
      </c>
      <c r="G344" s="206"/>
      <c r="H344" s="209">
        <v>29.2</v>
      </c>
      <c r="I344" s="210"/>
      <c r="J344" s="206"/>
      <c r="K344" s="206"/>
      <c r="L344" s="211"/>
      <c r="M344" s="212"/>
      <c r="N344" s="213"/>
      <c r="O344" s="213"/>
      <c r="P344" s="213"/>
      <c r="Q344" s="213"/>
      <c r="R344" s="213"/>
      <c r="S344" s="213"/>
      <c r="T344" s="214"/>
      <c r="AT344" s="215" t="s">
        <v>388</v>
      </c>
      <c r="AU344" s="215" t="s">
        <v>82</v>
      </c>
      <c r="AV344" s="14" t="s">
        <v>82</v>
      </c>
      <c r="AW344" s="14" t="s">
        <v>33</v>
      </c>
      <c r="AX344" s="14" t="s">
        <v>72</v>
      </c>
      <c r="AY344" s="215" t="s">
        <v>380</v>
      </c>
    </row>
    <row r="345" spans="1:65" s="16" customFormat="1" ht="11.25">
      <c r="B345" s="237"/>
      <c r="C345" s="238"/>
      <c r="D345" s="196" t="s">
        <v>388</v>
      </c>
      <c r="E345" s="239" t="s">
        <v>19</v>
      </c>
      <c r="F345" s="240" t="s">
        <v>572</v>
      </c>
      <c r="G345" s="238"/>
      <c r="H345" s="241">
        <v>98.703999999999994</v>
      </c>
      <c r="I345" s="242"/>
      <c r="J345" s="238"/>
      <c r="K345" s="238"/>
      <c r="L345" s="243"/>
      <c r="M345" s="244"/>
      <c r="N345" s="245"/>
      <c r="O345" s="245"/>
      <c r="P345" s="245"/>
      <c r="Q345" s="245"/>
      <c r="R345" s="245"/>
      <c r="S345" s="245"/>
      <c r="T345" s="246"/>
      <c r="AT345" s="247" t="s">
        <v>388</v>
      </c>
      <c r="AU345" s="247" t="s">
        <v>82</v>
      </c>
      <c r="AV345" s="16" t="s">
        <v>99</v>
      </c>
      <c r="AW345" s="16" t="s">
        <v>33</v>
      </c>
      <c r="AX345" s="16" t="s">
        <v>72</v>
      </c>
      <c r="AY345" s="247" t="s">
        <v>380</v>
      </c>
    </row>
    <row r="346" spans="1:65" s="13" customFormat="1" ht="11.25">
      <c r="B346" s="194"/>
      <c r="C346" s="195"/>
      <c r="D346" s="196" t="s">
        <v>388</v>
      </c>
      <c r="E346" s="197" t="s">
        <v>19</v>
      </c>
      <c r="F346" s="198" t="s">
        <v>569</v>
      </c>
      <c r="G346" s="195"/>
      <c r="H346" s="197" t="s">
        <v>19</v>
      </c>
      <c r="I346" s="199"/>
      <c r="J346" s="195"/>
      <c r="K346" s="195"/>
      <c r="L346" s="200"/>
      <c r="M346" s="201"/>
      <c r="N346" s="202"/>
      <c r="O346" s="202"/>
      <c r="P346" s="202"/>
      <c r="Q346" s="202"/>
      <c r="R346" s="202"/>
      <c r="S346" s="202"/>
      <c r="T346" s="203"/>
      <c r="AT346" s="204" t="s">
        <v>388</v>
      </c>
      <c r="AU346" s="204" t="s">
        <v>82</v>
      </c>
      <c r="AV346" s="13" t="s">
        <v>79</v>
      </c>
      <c r="AW346" s="13" t="s">
        <v>33</v>
      </c>
      <c r="AX346" s="13" t="s">
        <v>72</v>
      </c>
      <c r="AY346" s="204" t="s">
        <v>380</v>
      </c>
    </row>
    <row r="347" spans="1:65" s="14" customFormat="1" ht="11.25">
      <c r="B347" s="205"/>
      <c r="C347" s="206"/>
      <c r="D347" s="196" t="s">
        <v>388</v>
      </c>
      <c r="E347" s="207" t="s">
        <v>19</v>
      </c>
      <c r="F347" s="208" t="s">
        <v>694</v>
      </c>
      <c r="G347" s="206"/>
      <c r="H347" s="209">
        <v>97.647999999999996</v>
      </c>
      <c r="I347" s="210"/>
      <c r="J347" s="206"/>
      <c r="K347" s="206"/>
      <c r="L347" s="211"/>
      <c r="M347" s="212"/>
      <c r="N347" s="213"/>
      <c r="O347" s="213"/>
      <c r="P347" s="213"/>
      <c r="Q347" s="213"/>
      <c r="R347" s="213"/>
      <c r="S347" s="213"/>
      <c r="T347" s="214"/>
      <c r="AT347" s="215" t="s">
        <v>388</v>
      </c>
      <c r="AU347" s="215" t="s">
        <v>82</v>
      </c>
      <c r="AV347" s="14" t="s">
        <v>82</v>
      </c>
      <c r="AW347" s="14" t="s">
        <v>33</v>
      </c>
      <c r="AX347" s="14" t="s">
        <v>72</v>
      </c>
      <c r="AY347" s="215" t="s">
        <v>380</v>
      </c>
    </row>
    <row r="348" spans="1:65" s="14" customFormat="1" ht="11.25">
      <c r="B348" s="205"/>
      <c r="C348" s="206"/>
      <c r="D348" s="196" t="s">
        <v>388</v>
      </c>
      <c r="E348" s="207" t="s">
        <v>19</v>
      </c>
      <c r="F348" s="208" t="s">
        <v>695</v>
      </c>
      <c r="G348" s="206"/>
      <c r="H348" s="209">
        <v>9.8699999999999992</v>
      </c>
      <c r="I348" s="210"/>
      <c r="J348" s="206"/>
      <c r="K348" s="206"/>
      <c r="L348" s="211"/>
      <c r="M348" s="212"/>
      <c r="N348" s="213"/>
      <c r="O348" s="213"/>
      <c r="P348" s="213"/>
      <c r="Q348" s="213"/>
      <c r="R348" s="213"/>
      <c r="S348" s="213"/>
      <c r="T348" s="214"/>
      <c r="AT348" s="215" t="s">
        <v>388</v>
      </c>
      <c r="AU348" s="215" t="s">
        <v>82</v>
      </c>
      <c r="AV348" s="14" t="s">
        <v>82</v>
      </c>
      <c r="AW348" s="14" t="s">
        <v>33</v>
      </c>
      <c r="AX348" s="14" t="s">
        <v>72</v>
      </c>
      <c r="AY348" s="215" t="s">
        <v>380</v>
      </c>
    </row>
    <row r="349" spans="1:65" s="16" customFormat="1" ht="11.25">
      <c r="B349" s="237"/>
      <c r="C349" s="238"/>
      <c r="D349" s="196" t="s">
        <v>388</v>
      </c>
      <c r="E349" s="239" t="s">
        <v>19</v>
      </c>
      <c r="F349" s="240" t="s">
        <v>572</v>
      </c>
      <c r="G349" s="238"/>
      <c r="H349" s="241">
        <v>107.518</v>
      </c>
      <c r="I349" s="242"/>
      <c r="J349" s="238"/>
      <c r="K349" s="238"/>
      <c r="L349" s="243"/>
      <c r="M349" s="244"/>
      <c r="N349" s="245"/>
      <c r="O349" s="245"/>
      <c r="P349" s="245"/>
      <c r="Q349" s="245"/>
      <c r="R349" s="245"/>
      <c r="S349" s="245"/>
      <c r="T349" s="246"/>
      <c r="AT349" s="247" t="s">
        <v>388</v>
      </c>
      <c r="AU349" s="247" t="s">
        <v>82</v>
      </c>
      <c r="AV349" s="16" t="s">
        <v>99</v>
      </c>
      <c r="AW349" s="16" t="s">
        <v>33</v>
      </c>
      <c r="AX349" s="16" t="s">
        <v>72</v>
      </c>
      <c r="AY349" s="247" t="s">
        <v>380</v>
      </c>
    </row>
    <row r="350" spans="1:65" s="13" customFormat="1" ht="11.25">
      <c r="B350" s="194"/>
      <c r="C350" s="195"/>
      <c r="D350" s="196" t="s">
        <v>388</v>
      </c>
      <c r="E350" s="197" t="s">
        <v>19</v>
      </c>
      <c r="F350" s="198" t="s">
        <v>573</v>
      </c>
      <c r="G350" s="195"/>
      <c r="H350" s="197" t="s">
        <v>19</v>
      </c>
      <c r="I350" s="199"/>
      <c r="J350" s="195"/>
      <c r="K350" s="195"/>
      <c r="L350" s="200"/>
      <c r="M350" s="201"/>
      <c r="N350" s="202"/>
      <c r="O350" s="202"/>
      <c r="P350" s="202"/>
      <c r="Q350" s="202"/>
      <c r="R350" s="202"/>
      <c r="S350" s="202"/>
      <c r="T350" s="203"/>
      <c r="AT350" s="204" t="s">
        <v>388</v>
      </c>
      <c r="AU350" s="204" t="s">
        <v>82</v>
      </c>
      <c r="AV350" s="13" t="s">
        <v>79</v>
      </c>
      <c r="AW350" s="13" t="s">
        <v>33</v>
      </c>
      <c r="AX350" s="13" t="s">
        <v>72</v>
      </c>
      <c r="AY350" s="204" t="s">
        <v>380</v>
      </c>
    </row>
    <row r="351" spans="1:65" s="14" customFormat="1" ht="11.25">
      <c r="B351" s="205"/>
      <c r="C351" s="206"/>
      <c r="D351" s="196" t="s">
        <v>388</v>
      </c>
      <c r="E351" s="207" t="s">
        <v>19</v>
      </c>
      <c r="F351" s="208" t="s">
        <v>696</v>
      </c>
      <c r="G351" s="206"/>
      <c r="H351" s="209">
        <v>35.56</v>
      </c>
      <c r="I351" s="210"/>
      <c r="J351" s="206"/>
      <c r="K351" s="206"/>
      <c r="L351" s="211"/>
      <c r="M351" s="212"/>
      <c r="N351" s="213"/>
      <c r="O351" s="213"/>
      <c r="P351" s="213"/>
      <c r="Q351" s="213"/>
      <c r="R351" s="213"/>
      <c r="S351" s="213"/>
      <c r="T351" s="214"/>
      <c r="AT351" s="215" t="s">
        <v>388</v>
      </c>
      <c r="AU351" s="215" t="s">
        <v>82</v>
      </c>
      <c r="AV351" s="14" t="s">
        <v>82</v>
      </c>
      <c r="AW351" s="14" t="s">
        <v>33</v>
      </c>
      <c r="AX351" s="14" t="s">
        <v>72</v>
      </c>
      <c r="AY351" s="215" t="s">
        <v>380</v>
      </c>
    </row>
    <row r="352" spans="1:65" s="14" customFormat="1" ht="11.25">
      <c r="B352" s="205"/>
      <c r="C352" s="206"/>
      <c r="D352" s="196" t="s">
        <v>388</v>
      </c>
      <c r="E352" s="207" t="s">
        <v>19</v>
      </c>
      <c r="F352" s="208" t="s">
        <v>697</v>
      </c>
      <c r="G352" s="206"/>
      <c r="H352" s="209">
        <v>28.72</v>
      </c>
      <c r="I352" s="210"/>
      <c r="J352" s="206"/>
      <c r="K352" s="206"/>
      <c r="L352" s="211"/>
      <c r="M352" s="212"/>
      <c r="N352" s="213"/>
      <c r="O352" s="213"/>
      <c r="P352" s="213"/>
      <c r="Q352" s="213"/>
      <c r="R352" s="213"/>
      <c r="S352" s="213"/>
      <c r="T352" s="214"/>
      <c r="AT352" s="215" t="s">
        <v>388</v>
      </c>
      <c r="AU352" s="215" t="s">
        <v>82</v>
      </c>
      <c r="AV352" s="14" t="s">
        <v>82</v>
      </c>
      <c r="AW352" s="14" t="s">
        <v>33</v>
      </c>
      <c r="AX352" s="14" t="s">
        <v>72</v>
      </c>
      <c r="AY352" s="215" t="s">
        <v>380</v>
      </c>
    </row>
    <row r="353" spans="1:65" s="14" customFormat="1" ht="11.25">
      <c r="B353" s="205"/>
      <c r="C353" s="206"/>
      <c r="D353" s="196" t="s">
        <v>388</v>
      </c>
      <c r="E353" s="207" t="s">
        <v>19</v>
      </c>
      <c r="F353" s="208" t="s">
        <v>695</v>
      </c>
      <c r="G353" s="206"/>
      <c r="H353" s="209">
        <v>9.8699999999999992</v>
      </c>
      <c r="I353" s="210"/>
      <c r="J353" s="206"/>
      <c r="K353" s="206"/>
      <c r="L353" s="211"/>
      <c r="M353" s="212"/>
      <c r="N353" s="213"/>
      <c r="O353" s="213"/>
      <c r="P353" s="213"/>
      <c r="Q353" s="213"/>
      <c r="R353" s="213"/>
      <c r="S353" s="213"/>
      <c r="T353" s="214"/>
      <c r="AT353" s="215" t="s">
        <v>388</v>
      </c>
      <c r="AU353" s="215" t="s">
        <v>82</v>
      </c>
      <c r="AV353" s="14" t="s">
        <v>82</v>
      </c>
      <c r="AW353" s="14" t="s">
        <v>33</v>
      </c>
      <c r="AX353" s="14" t="s">
        <v>72</v>
      </c>
      <c r="AY353" s="215" t="s">
        <v>380</v>
      </c>
    </row>
    <row r="354" spans="1:65" s="16" customFormat="1" ht="11.25">
      <c r="B354" s="237"/>
      <c r="C354" s="238"/>
      <c r="D354" s="196" t="s">
        <v>388</v>
      </c>
      <c r="E354" s="239" t="s">
        <v>19</v>
      </c>
      <c r="F354" s="240" t="s">
        <v>572</v>
      </c>
      <c r="G354" s="238"/>
      <c r="H354" s="241">
        <v>74.150000000000006</v>
      </c>
      <c r="I354" s="242"/>
      <c r="J354" s="238"/>
      <c r="K354" s="238"/>
      <c r="L354" s="243"/>
      <c r="M354" s="244"/>
      <c r="N354" s="245"/>
      <c r="O354" s="245"/>
      <c r="P354" s="245"/>
      <c r="Q354" s="245"/>
      <c r="R354" s="245"/>
      <c r="S354" s="245"/>
      <c r="T354" s="246"/>
      <c r="AT354" s="247" t="s">
        <v>388</v>
      </c>
      <c r="AU354" s="247" t="s">
        <v>82</v>
      </c>
      <c r="AV354" s="16" t="s">
        <v>99</v>
      </c>
      <c r="AW354" s="16" t="s">
        <v>33</v>
      </c>
      <c r="AX354" s="16" t="s">
        <v>72</v>
      </c>
      <c r="AY354" s="247" t="s">
        <v>380</v>
      </c>
    </row>
    <row r="355" spans="1:65" s="13" customFormat="1" ht="11.25">
      <c r="B355" s="194"/>
      <c r="C355" s="195"/>
      <c r="D355" s="196" t="s">
        <v>388</v>
      </c>
      <c r="E355" s="197" t="s">
        <v>19</v>
      </c>
      <c r="F355" s="198" t="s">
        <v>576</v>
      </c>
      <c r="G355" s="195"/>
      <c r="H355" s="197" t="s">
        <v>19</v>
      </c>
      <c r="I355" s="199"/>
      <c r="J355" s="195"/>
      <c r="K355" s="195"/>
      <c r="L355" s="200"/>
      <c r="M355" s="201"/>
      <c r="N355" s="202"/>
      <c r="O355" s="202"/>
      <c r="P355" s="202"/>
      <c r="Q355" s="202"/>
      <c r="R355" s="202"/>
      <c r="S355" s="202"/>
      <c r="T355" s="203"/>
      <c r="AT355" s="204" t="s">
        <v>388</v>
      </c>
      <c r="AU355" s="204" t="s">
        <v>82</v>
      </c>
      <c r="AV355" s="13" t="s">
        <v>79</v>
      </c>
      <c r="AW355" s="13" t="s">
        <v>33</v>
      </c>
      <c r="AX355" s="13" t="s">
        <v>72</v>
      </c>
      <c r="AY355" s="204" t="s">
        <v>380</v>
      </c>
    </row>
    <row r="356" spans="1:65" s="14" customFormat="1" ht="11.25">
      <c r="B356" s="205"/>
      <c r="C356" s="206"/>
      <c r="D356" s="196" t="s">
        <v>388</v>
      </c>
      <c r="E356" s="207" t="s">
        <v>19</v>
      </c>
      <c r="F356" s="208" t="s">
        <v>698</v>
      </c>
      <c r="G356" s="206"/>
      <c r="H356" s="209">
        <v>21.28</v>
      </c>
      <c r="I356" s="210"/>
      <c r="J356" s="206"/>
      <c r="K356" s="206"/>
      <c r="L356" s="211"/>
      <c r="M356" s="212"/>
      <c r="N356" s="213"/>
      <c r="O356" s="213"/>
      <c r="P356" s="213"/>
      <c r="Q356" s="213"/>
      <c r="R356" s="213"/>
      <c r="S356" s="213"/>
      <c r="T356" s="214"/>
      <c r="AT356" s="215" t="s">
        <v>388</v>
      </c>
      <c r="AU356" s="215" t="s">
        <v>82</v>
      </c>
      <c r="AV356" s="14" t="s">
        <v>82</v>
      </c>
      <c r="AW356" s="14" t="s">
        <v>33</v>
      </c>
      <c r="AX356" s="14" t="s">
        <v>72</v>
      </c>
      <c r="AY356" s="215" t="s">
        <v>380</v>
      </c>
    </row>
    <row r="357" spans="1:65" s="16" customFormat="1" ht="11.25">
      <c r="B357" s="237"/>
      <c r="C357" s="238"/>
      <c r="D357" s="196" t="s">
        <v>388</v>
      </c>
      <c r="E357" s="239" t="s">
        <v>19</v>
      </c>
      <c r="F357" s="240" t="s">
        <v>572</v>
      </c>
      <c r="G357" s="238"/>
      <c r="H357" s="241">
        <v>21.28</v>
      </c>
      <c r="I357" s="242"/>
      <c r="J357" s="238"/>
      <c r="K357" s="238"/>
      <c r="L357" s="243"/>
      <c r="M357" s="244"/>
      <c r="N357" s="245"/>
      <c r="O357" s="245"/>
      <c r="P357" s="245"/>
      <c r="Q357" s="245"/>
      <c r="R357" s="245"/>
      <c r="S357" s="245"/>
      <c r="T357" s="246"/>
      <c r="AT357" s="247" t="s">
        <v>388</v>
      </c>
      <c r="AU357" s="247" t="s">
        <v>82</v>
      </c>
      <c r="AV357" s="16" t="s">
        <v>99</v>
      </c>
      <c r="AW357" s="16" t="s">
        <v>33</v>
      </c>
      <c r="AX357" s="16" t="s">
        <v>72</v>
      </c>
      <c r="AY357" s="247" t="s">
        <v>380</v>
      </c>
    </row>
    <row r="358" spans="1:65" s="15" customFormat="1" ht="11.25">
      <c r="B358" s="216"/>
      <c r="C358" s="217"/>
      <c r="D358" s="196" t="s">
        <v>388</v>
      </c>
      <c r="E358" s="218" t="s">
        <v>19</v>
      </c>
      <c r="F358" s="219" t="s">
        <v>419</v>
      </c>
      <c r="G358" s="217"/>
      <c r="H358" s="220">
        <v>301.65199999999999</v>
      </c>
      <c r="I358" s="221"/>
      <c r="J358" s="217"/>
      <c r="K358" s="217"/>
      <c r="L358" s="222"/>
      <c r="M358" s="223"/>
      <c r="N358" s="224"/>
      <c r="O358" s="224"/>
      <c r="P358" s="224"/>
      <c r="Q358" s="224"/>
      <c r="R358" s="224"/>
      <c r="S358" s="224"/>
      <c r="T358" s="225"/>
      <c r="AT358" s="226" t="s">
        <v>388</v>
      </c>
      <c r="AU358" s="226" t="s">
        <v>82</v>
      </c>
      <c r="AV358" s="15" t="s">
        <v>386</v>
      </c>
      <c r="AW358" s="15" t="s">
        <v>33</v>
      </c>
      <c r="AX358" s="15" t="s">
        <v>79</v>
      </c>
      <c r="AY358" s="226" t="s">
        <v>380</v>
      </c>
    </row>
    <row r="359" spans="1:65" s="2" customFormat="1" ht="24.2" customHeight="1">
      <c r="A359" s="36"/>
      <c r="B359" s="37"/>
      <c r="C359" s="181" t="s">
        <v>699</v>
      </c>
      <c r="D359" s="181" t="s">
        <v>382</v>
      </c>
      <c r="E359" s="182" t="s">
        <v>700</v>
      </c>
      <c r="F359" s="183" t="s">
        <v>701</v>
      </c>
      <c r="G359" s="184" t="s">
        <v>398</v>
      </c>
      <c r="H359" s="185">
        <v>301.65199999999999</v>
      </c>
      <c r="I359" s="186"/>
      <c r="J359" s="187">
        <f>ROUND(I359*H359,2)</f>
        <v>0</v>
      </c>
      <c r="K359" s="183" t="s">
        <v>399</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386</v>
      </c>
      <c r="AT359" s="192" t="s">
        <v>382</v>
      </c>
      <c r="AU359" s="192" t="s">
        <v>82</v>
      </c>
      <c r="AY359" s="19" t="s">
        <v>380</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386</v>
      </c>
      <c r="BM359" s="192" t="s">
        <v>702</v>
      </c>
    </row>
    <row r="360" spans="1:65" s="2" customFormat="1" ht="24.2" customHeight="1">
      <c r="A360" s="36"/>
      <c r="B360" s="37"/>
      <c r="C360" s="181" t="s">
        <v>703</v>
      </c>
      <c r="D360" s="181" t="s">
        <v>382</v>
      </c>
      <c r="E360" s="182" t="s">
        <v>704</v>
      </c>
      <c r="F360" s="183" t="s">
        <v>705</v>
      </c>
      <c r="G360" s="184" t="s">
        <v>398</v>
      </c>
      <c r="H360" s="185">
        <v>131.904</v>
      </c>
      <c r="I360" s="186"/>
      <c r="J360" s="187">
        <f>ROUND(I360*H360,2)</f>
        <v>0</v>
      </c>
      <c r="K360" s="183" t="s">
        <v>399</v>
      </c>
      <c r="L360" s="41"/>
      <c r="M360" s="188" t="s">
        <v>19</v>
      </c>
      <c r="N360" s="189" t="s">
        <v>43</v>
      </c>
      <c r="O360" s="66"/>
      <c r="P360" s="190">
        <f>O360*H360</f>
        <v>0</v>
      </c>
      <c r="Q360" s="190">
        <v>2.7000000000000001E-3</v>
      </c>
      <c r="R360" s="190">
        <f>Q360*H360</f>
        <v>0.35614080000000004</v>
      </c>
      <c r="S360" s="190">
        <v>0</v>
      </c>
      <c r="T360" s="191">
        <f>S360*H360</f>
        <v>0</v>
      </c>
      <c r="U360" s="36"/>
      <c r="V360" s="36"/>
      <c r="W360" s="36"/>
      <c r="X360" s="36"/>
      <c r="Y360" s="36"/>
      <c r="Z360" s="36"/>
      <c r="AA360" s="36"/>
      <c r="AB360" s="36"/>
      <c r="AC360" s="36"/>
      <c r="AD360" s="36"/>
      <c r="AE360" s="36"/>
      <c r="AR360" s="192" t="s">
        <v>386</v>
      </c>
      <c r="AT360" s="192" t="s">
        <v>382</v>
      </c>
      <c r="AU360" s="192" t="s">
        <v>82</v>
      </c>
      <c r="AY360" s="19" t="s">
        <v>380</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386</v>
      </c>
      <c r="BM360" s="192" t="s">
        <v>706</v>
      </c>
    </row>
    <row r="361" spans="1:65" s="13" customFormat="1" ht="11.25">
      <c r="B361" s="194"/>
      <c r="C361" s="195"/>
      <c r="D361" s="196" t="s">
        <v>388</v>
      </c>
      <c r="E361" s="197" t="s">
        <v>19</v>
      </c>
      <c r="F361" s="198" t="s">
        <v>627</v>
      </c>
      <c r="G361" s="195"/>
      <c r="H361" s="197" t="s">
        <v>19</v>
      </c>
      <c r="I361" s="199"/>
      <c r="J361" s="195"/>
      <c r="K361" s="195"/>
      <c r="L361" s="200"/>
      <c r="M361" s="201"/>
      <c r="N361" s="202"/>
      <c r="O361" s="202"/>
      <c r="P361" s="202"/>
      <c r="Q361" s="202"/>
      <c r="R361" s="202"/>
      <c r="S361" s="202"/>
      <c r="T361" s="203"/>
      <c r="AT361" s="204" t="s">
        <v>388</v>
      </c>
      <c r="AU361" s="204" t="s">
        <v>82</v>
      </c>
      <c r="AV361" s="13" t="s">
        <v>79</v>
      </c>
      <c r="AW361" s="13" t="s">
        <v>33</v>
      </c>
      <c r="AX361" s="13" t="s">
        <v>72</v>
      </c>
      <c r="AY361" s="204" t="s">
        <v>380</v>
      </c>
    </row>
    <row r="362" spans="1:65" s="14" customFormat="1" ht="11.25">
      <c r="B362" s="205"/>
      <c r="C362" s="206"/>
      <c r="D362" s="196" t="s">
        <v>388</v>
      </c>
      <c r="E362" s="207" t="s">
        <v>19</v>
      </c>
      <c r="F362" s="208" t="s">
        <v>707</v>
      </c>
      <c r="G362" s="206"/>
      <c r="H362" s="209">
        <v>65.664000000000001</v>
      </c>
      <c r="I362" s="210"/>
      <c r="J362" s="206"/>
      <c r="K362" s="206"/>
      <c r="L362" s="211"/>
      <c r="M362" s="212"/>
      <c r="N362" s="213"/>
      <c r="O362" s="213"/>
      <c r="P362" s="213"/>
      <c r="Q362" s="213"/>
      <c r="R362" s="213"/>
      <c r="S362" s="213"/>
      <c r="T362" s="214"/>
      <c r="AT362" s="215" t="s">
        <v>388</v>
      </c>
      <c r="AU362" s="215" t="s">
        <v>82</v>
      </c>
      <c r="AV362" s="14" t="s">
        <v>82</v>
      </c>
      <c r="AW362" s="14" t="s">
        <v>33</v>
      </c>
      <c r="AX362" s="14" t="s">
        <v>72</v>
      </c>
      <c r="AY362" s="215" t="s">
        <v>380</v>
      </c>
    </row>
    <row r="363" spans="1:65" s="13" customFormat="1" ht="11.25">
      <c r="B363" s="194"/>
      <c r="C363" s="195"/>
      <c r="D363" s="196" t="s">
        <v>388</v>
      </c>
      <c r="E363" s="197" t="s">
        <v>19</v>
      </c>
      <c r="F363" s="198" t="s">
        <v>630</v>
      </c>
      <c r="G363" s="195"/>
      <c r="H363" s="197" t="s">
        <v>19</v>
      </c>
      <c r="I363" s="199"/>
      <c r="J363" s="195"/>
      <c r="K363" s="195"/>
      <c r="L363" s="200"/>
      <c r="M363" s="201"/>
      <c r="N363" s="202"/>
      <c r="O363" s="202"/>
      <c r="P363" s="202"/>
      <c r="Q363" s="202"/>
      <c r="R363" s="202"/>
      <c r="S363" s="202"/>
      <c r="T363" s="203"/>
      <c r="AT363" s="204" t="s">
        <v>388</v>
      </c>
      <c r="AU363" s="204" t="s">
        <v>82</v>
      </c>
      <c r="AV363" s="13" t="s">
        <v>79</v>
      </c>
      <c r="AW363" s="13" t="s">
        <v>33</v>
      </c>
      <c r="AX363" s="13" t="s">
        <v>72</v>
      </c>
      <c r="AY363" s="204" t="s">
        <v>380</v>
      </c>
    </row>
    <row r="364" spans="1:65" s="14" customFormat="1" ht="11.25">
      <c r="B364" s="205"/>
      <c r="C364" s="206"/>
      <c r="D364" s="196" t="s">
        <v>388</v>
      </c>
      <c r="E364" s="207" t="s">
        <v>19</v>
      </c>
      <c r="F364" s="208" t="s">
        <v>708</v>
      </c>
      <c r="G364" s="206"/>
      <c r="H364" s="209">
        <v>66.239999999999995</v>
      </c>
      <c r="I364" s="210"/>
      <c r="J364" s="206"/>
      <c r="K364" s="206"/>
      <c r="L364" s="211"/>
      <c r="M364" s="212"/>
      <c r="N364" s="213"/>
      <c r="O364" s="213"/>
      <c r="P364" s="213"/>
      <c r="Q364" s="213"/>
      <c r="R364" s="213"/>
      <c r="S364" s="213"/>
      <c r="T364" s="214"/>
      <c r="AT364" s="215" t="s">
        <v>388</v>
      </c>
      <c r="AU364" s="215" t="s">
        <v>82</v>
      </c>
      <c r="AV364" s="14" t="s">
        <v>82</v>
      </c>
      <c r="AW364" s="14" t="s">
        <v>33</v>
      </c>
      <c r="AX364" s="14" t="s">
        <v>72</v>
      </c>
      <c r="AY364" s="215" t="s">
        <v>380</v>
      </c>
    </row>
    <row r="365" spans="1:65" s="15" customFormat="1" ht="11.25">
      <c r="B365" s="216"/>
      <c r="C365" s="217"/>
      <c r="D365" s="196" t="s">
        <v>388</v>
      </c>
      <c r="E365" s="218" t="s">
        <v>19</v>
      </c>
      <c r="F365" s="219" t="s">
        <v>419</v>
      </c>
      <c r="G365" s="217"/>
      <c r="H365" s="220">
        <v>131.904</v>
      </c>
      <c r="I365" s="221"/>
      <c r="J365" s="217"/>
      <c r="K365" s="217"/>
      <c r="L365" s="222"/>
      <c r="M365" s="223"/>
      <c r="N365" s="224"/>
      <c r="O365" s="224"/>
      <c r="P365" s="224"/>
      <c r="Q365" s="224"/>
      <c r="R365" s="224"/>
      <c r="S365" s="224"/>
      <c r="T365" s="225"/>
      <c r="AT365" s="226" t="s">
        <v>388</v>
      </c>
      <c r="AU365" s="226" t="s">
        <v>82</v>
      </c>
      <c r="AV365" s="15" t="s">
        <v>386</v>
      </c>
      <c r="AW365" s="15" t="s">
        <v>33</v>
      </c>
      <c r="AX365" s="15" t="s">
        <v>79</v>
      </c>
      <c r="AY365" s="226" t="s">
        <v>380</v>
      </c>
    </row>
    <row r="366" spans="1:65" s="2" customFormat="1" ht="24.2" customHeight="1">
      <c r="A366" s="36"/>
      <c r="B366" s="37"/>
      <c r="C366" s="181" t="s">
        <v>709</v>
      </c>
      <c r="D366" s="181" t="s">
        <v>382</v>
      </c>
      <c r="E366" s="182" t="s">
        <v>710</v>
      </c>
      <c r="F366" s="183" t="s">
        <v>711</v>
      </c>
      <c r="G366" s="184" t="s">
        <v>437</v>
      </c>
      <c r="H366" s="185">
        <v>7.9560000000000004</v>
      </c>
      <c r="I366" s="186"/>
      <c r="J366" s="187">
        <f>ROUND(I366*H366,2)</f>
        <v>0</v>
      </c>
      <c r="K366" s="183" t="s">
        <v>399</v>
      </c>
      <c r="L366" s="41"/>
      <c r="M366" s="188" t="s">
        <v>19</v>
      </c>
      <c r="N366" s="189" t="s">
        <v>43</v>
      </c>
      <c r="O366" s="66"/>
      <c r="P366" s="190">
        <f>O366*H366</f>
        <v>0</v>
      </c>
      <c r="Q366" s="190">
        <v>1.05196968</v>
      </c>
      <c r="R366" s="190">
        <f>Q366*H366</f>
        <v>8.3694707740799998</v>
      </c>
      <c r="S366" s="190">
        <v>0</v>
      </c>
      <c r="T366" s="191">
        <f>S366*H366</f>
        <v>0</v>
      </c>
      <c r="U366" s="36"/>
      <c r="V366" s="36"/>
      <c r="W366" s="36"/>
      <c r="X366" s="36"/>
      <c r="Y366" s="36"/>
      <c r="Z366" s="36"/>
      <c r="AA366" s="36"/>
      <c r="AB366" s="36"/>
      <c r="AC366" s="36"/>
      <c r="AD366" s="36"/>
      <c r="AE366" s="36"/>
      <c r="AR366" s="192" t="s">
        <v>386</v>
      </c>
      <c r="AT366" s="192" t="s">
        <v>382</v>
      </c>
      <c r="AU366" s="192" t="s">
        <v>82</v>
      </c>
      <c r="AY366" s="19" t="s">
        <v>380</v>
      </c>
      <c r="BE366" s="193">
        <f>IF(N366="základní",J366,0)</f>
        <v>0</v>
      </c>
      <c r="BF366" s="193">
        <f>IF(N366="snížená",J366,0)</f>
        <v>0</v>
      </c>
      <c r="BG366" s="193">
        <f>IF(N366="zákl. přenesená",J366,0)</f>
        <v>0</v>
      </c>
      <c r="BH366" s="193">
        <f>IF(N366="sníž. přenesená",J366,0)</f>
        <v>0</v>
      </c>
      <c r="BI366" s="193">
        <f>IF(N366="nulová",J366,0)</f>
        <v>0</v>
      </c>
      <c r="BJ366" s="19" t="s">
        <v>79</v>
      </c>
      <c r="BK366" s="193">
        <f>ROUND(I366*H366,2)</f>
        <v>0</v>
      </c>
      <c r="BL366" s="19" t="s">
        <v>386</v>
      </c>
      <c r="BM366" s="192" t="s">
        <v>712</v>
      </c>
    </row>
    <row r="367" spans="1:65" s="13" customFormat="1" ht="11.25">
      <c r="B367" s="194"/>
      <c r="C367" s="195"/>
      <c r="D367" s="196" t="s">
        <v>388</v>
      </c>
      <c r="E367" s="197" t="s">
        <v>19</v>
      </c>
      <c r="F367" s="198" t="s">
        <v>493</v>
      </c>
      <c r="G367" s="195"/>
      <c r="H367" s="197" t="s">
        <v>19</v>
      </c>
      <c r="I367" s="199"/>
      <c r="J367" s="195"/>
      <c r="K367" s="195"/>
      <c r="L367" s="200"/>
      <c r="M367" s="201"/>
      <c r="N367" s="202"/>
      <c r="O367" s="202"/>
      <c r="P367" s="202"/>
      <c r="Q367" s="202"/>
      <c r="R367" s="202"/>
      <c r="S367" s="202"/>
      <c r="T367" s="203"/>
      <c r="AT367" s="204" t="s">
        <v>388</v>
      </c>
      <c r="AU367" s="204" t="s">
        <v>82</v>
      </c>
      <c r="AV367" s="13" t="s">
        <v>79</v>
      </c>
      <c r="AW367" s="13" t="s">
        <v>33</v>
      </c>
      <c r="AX367" s="13" t="s">
        <v>72</v>
      </c>
      <c r="AY367" s="204" t="s">
        <v>380</v>
      </c>
    </row>
    <row r="368" spans="1:65" s="13" customFormat="1" ht="11.25">
      <c r="B368" s="194"/>
      <c r="C368" s="195"/>
      <c r="D368" s="196" t="s">
        <v>388</v>
      </c>
      <c r="E368" s="197" t="s">
        <v>19</v>
      </c>
      <c r="F368" s="198" t="s">
        <v>583</v>
      </c>
      <c r="G368" s="195"/>
      <c r="H368" s="197" t="s">
        <v>19</v>
      </c>
      <c r="I368" s="199"/>
      <c r="J368" s="195"/>
      <c r="K368" s="195"/>
      <c r="L368" s="200"/>
      <c r="M368" s="201"/>
      <c r="N368" s="202"/>
      <c r="O368" s="202"/>
      <c r="P368" s="202"/>
      <c r="Q368" s="202"/>
      <c r="R368" s="202"/>
      <c r="S368" s="202"/>
      <c r="T368" s="203"/>
      <c r="AT368" s="204" t="s">
        <v>388</v>
      </c>
      <c r="AU368" s="204" t="s">
        <v>82</v>
      </c>
      <c r="AV368" s="13" t="s">
        <v>79</v>
      </c>
      <c r="AW368" s="13" t="s">
        <v>33</v>
      </c>
      <c r="AX368" s="13" t="s">
        <v>72</v>
      </c>
      <c r="AY368" s="204" t="s">
        <v>380</v>
      </c>
    </row>
    <row r="369" spans="2:51" s="14" customFormat="1" ht="11.25">
      <c r="B369" s="205"/>
      <c r="C369" s="206"/>
      <c r="D369" s="196" t="s">
        <v>388</v>
      </c>
      <c r="E369" s="207" t="s">
        <v>19</v>
      </c>
      <c r="F369" s="208" t="s">
        <v>713</v>
      </c>
      <c r="G369" s="206"/>
      <c r="H369" s="209">
        <v>2.294</v>
      </c>
      <c r="I369" s="210"/>
      <c r="J369" s="206"/>
      <c r="K369" s="206"/>
      <c r="L369" s="211"/>
      <c r="M369" s="212"/>
      <c r="N369" s="213"/>
      <c r="O369" s="213"/>
      <c r="P369" s="213"/>
      <c r="Q369" s="213"/>
      <c r="R369" s="213"/>
      <c r="S369" s="213"/>
      <c r="T369" s="214"/>
      <c r="AT369" s="215" t="s">
        <v>388</v>
      </c>
      <c r="AU369" s="215" t="s">
        <v>82</v>
      </c>
      <c r="AV369" s="14" t="s">
        <v>82</v>
      </c>
      <c r="AW369" s="14" t="s">
        <v>33</v>
      </c>
      <c r="AX369" s="14" t="s">
        <v>72</v>
      </c>
      <c r="AY369" s="215" t="s">
        <v>380</v>
      </c>
    </row>
    <row r="370" spans="2:51" s="14" customFormat="1" ht="11.25">
      <c r="B370" s="205"/>
      <c r="C370" s="206"/>
      <c r="D370" s="196" t="s">
        <v>388</v>
      </c>
      <c r="E370" s="207" t="s">
        <v>19</v>
      </c>
      <c r="F370" s="208" t="s">
        <v>714</v>
      </c>
      <c r="G370" s="206"/>
      <c r="H370" s="209">
        <v>0.96399999999999997</v>
      </c>
      <c r="I370" s="210"/>
      <c r="J370" s="206"/>
      <c r="K370" s="206"/>
      <c r="L370" s="211"/>
      <c r="M370" s="212"/>
      <c r="N370" s="213"/>
      <c r="O370" s="213"/>
      <c r="P370" s="213"/>
      <c r="Q370" s="213"/>
      <c r="R370" s="213"/>
      <c r="S370" s="213"/>
      <c r="T370" s="214"/>
      <c r="AT370" s="215" t="s">
        <v>388</v>
      </c>
      <c r="AU370" s="215" t="s">
        <v>82</v>
      </c>
      <c r="AV370" s="14" t="s">
        <v>82</v>
      </c>
      <c r="AW370" s="14" t="s">
        <v>33</v>
      </c>
      <c r="AX370" s="14" t="s">
        <v>72</v>
      </c>
      <c r="AY370" s="215" t="s">
        <v>380</v>
      </c>
    </row>
    <row r="371" spans="2:51" s="16" customFormat="1" ht="11.25">
      <c r="B371" s="237"/>
      <c r="C371" s="238"/>
      <c r="D371" s="196" t="s">
        <v>388</v>
      </c>
      <c r="E371" s="239" t="s">
        <v>19</v>
      </c>
      <c r="F371" s="240" t="s">
        <v>572</v>
      </c>
      <c r="G371" s="238"/>
      <c r="H371" s="241">
        <v>3.258</v>
      </c>
      <c r="I371" s="242"/>
      <c r="J371" s="238"/>
      <c r="K371" s="238"/>
      <c r="L371" s="243"/>
      <c r="M371" s="244"/>
      <c r="N371" s="245"/>
      <c r="O371" s="245"/>
      <c r="P371" s="245"/>
      <c r="Q371" s="245"/>
      <c r="R371" s="245"/>
      <c r="S371" s="245"/>
      <c r="T371" s="246"/>
      <c r="AT371" s="247" t="s">
        <v>388</v>
      </c>
      <c r="AU371" s="247" t="s">
        <v>82</v>
      </c>
      <c r="AV371" s="16" t="s">
        <v>99</v>
      </c>
      <c r="AW371" s="16" t="s">
        <v>33</v>
      </c>
      <c r="AX371" s="16" t="s">
        <v>72</v>
      </c>
      <c r="AY371" s="247" t="s">
        <v>380</v>
      </c>
    </row>
    <row r="372" spans="2:51" s="13" customFormat="1" ht="11.25">
      <c r="B372" s="194"/>
      <c r="C372" s="195"/>
      <c r="D372" s="196" t="s">
        <v>388</v>
      </c>
      <c r="E372" s="197" t="s">
        <v>19</v>
      </c>
      <c r="F372" s="198" t="s">
        <v>569</v>
      </c>
      <c r="G372" s="195"/>
      <c r="H372" s="197" t="s">
        <v>19</v>
      </c>
      <c r="I372" s="199"/>
      <c r="J372" s="195"/>
      <c r="K372" s="195"/>
      <c r="L372" s="200"/>
      <c r="M372" s="201"/>
      <c r="N372" s="202"/>
      <c r="O372" s="202"/>
      <c r="P372" s="202"/>
      <c r="Q372" s="202"/>
      <c r="R372" s="202"/>
      <c r="S372" s="202"/>
      <c r="T372" s="203"/>
      <c r="AT372" s="204" t="s">
        <v>388</v>
      </c>
      <c r="AU372" s="204" t="s">
        <v>82</v>
      </c>
      <c r="AV372" s="13" t="s">
        <v>79</v>
      </c>
      <c r="AW372" s="13" t="s">
        <v>33</v>
      </c>
      <c r="AX372" s="13" t="s">
        <v>72</v>
      </c>
      <c r="AY372" s="204" t="s">
        <v>380</v>
      </c>
    </row>
    <row r="373" spans="2:51" s="14" customFormat="1" ht="11.25">
      <c r="B373" s="205"/>
      <c r="C373" s="206"/>
      <c r="D373" s="196" t="s">
        <v>388</v>
      </c>
      <c r="E373" s="207" t="s">
        <v>19</v>
      </c>
      <c r="F373" s="208" t="s">
        <v>715</v>
      </c>
      <c r="G373" s="206"/>
      <c r="H373" s="209">
        <v>2.3439999999999999</v>
      </c>
      <c r="I373" s="210"/>
      <c r="J373" s="206"/>
      <c r="K373" s="206"/>
      <c r="L373" s="211"/>
      <c r="M373" s="212"/>
      <c r="N373" s="213"/>
      <c r="O373" s="213"/>
      <c r="P373" s="213"/>
      <c r="Q373" s="213"/>
      <c r="R373" s="213"/>
      <c r="S373" s="213"/>
      <c r="T373" s="214"/>
      <c r="AT373" s="215" t="s">
        <v>388</v>
      </c>
      <c r="AU373" s="215" t="s">
        <v>82</v>
      </c>
      <c r="AV373" s="14" t="s">
        <v>82</v>
      </c>
      <c r="AW373" s="14" t="s">
        <v>33</v>
      </c>
      <c r="AX373" s="14" t="s">
        <v>72</v>
      </c>
      <c r="AY373" s="215" t="s">
        <v>380</v>
      </c>
    </row>
    <row r="374" spans="2:51" s="14" customFormat="1" ht="11.25">
      <c r="B374" s="205"/>
      <c r="C374" s="206"/>
      <c r="D374" s="196" t="s">
        <v>388</v>
      </c>
      <c r="E374" s="207" t="s">
        <v>19</v>
      </c>
      <c r="F374" s="208" t="s">
        <v>716</v>
      </c>
      <c r="G374" s="206"/>
      <c r="H374" s="209">
        <v>0.19700000000000001</v>
      </c>
      <c r="I374" s="210"/>
      <c r="J374" s="206"/>
      <c r="K374" s="206"/>
      <c r="L374" s="211"/>
      <c r="M374" s="212"/>
      <c r="N374" s="213"/>
      <c r="O374" s="213"/>
      <c r="P374" s="213"/>
      <c r="Q374" s="213"/>
      <c r="R374" s="213"/>
      <c r="S374" s="213"/>
      <c r="T374" s="214"/>
      <c r="AT374" s="215" t="s">
        <v>388</v>
      </c>
      <c r="AU374" s="215" t="s">
        <v>82</v>
      </c>
      <c r="AV374" s="14" t="s">
        <v>82</v>
      </c>
      <c r="AW374" s="14" t="s">
        <v>33</v>
      </c>
      <c r="AX374" s="14" t="s">
        <v>72</v>
      </c>
      <c r="AY374" s="215" t="s">
        <v>380</v>
      </c>
    </row>
    <row r="375" spans="2:51" s="16" customFormat="1" ht="11.25">
      <c r="B375" s="237"/>
      <c r="C375" s="238"/>
      <c r="D375" s="196" t="s">
        <v>388</v>
      </c>
      <c r="E375" s="239" t="s">
        <v>19</v>
      </c>
      <c r="F375" s="240" t="s">
        <v>572</v>
      </c>
      <c r="G375" s="238"/>
      <c r="H375" s="241">
        <v>2.5409999999999999</v>
      </c>
      <c r="I375" s="242"/>
      <c r="J375" s="238"/>
      <c r="K375" s="238"/>
      <c r="L375" s="243"/>
      <c r="M375" s="244"/>
      <c r="N375" s="245"/>
      <c r="O375" s="245"/>
      <c r="P375" s="245"/>
      <c r="Q375" s="245"/>
      <c r="R375" s="245"/>
      <c r="S375" s="245"/>
      <c r="T375" s="246"/>
      <c r="AT375" s="247" t="s">
        <v>388</v>
      </c>
      <c r="AU375" s="247" t="s">
        <v>82</v>
      </c>
      <c r="AV375" s="16" t="s">
        <v>99</v>
      </c>
      <c r="AW375" s="16" t="s">
        <v>33</v>
      </c>
      <c r="AX375" s="16" t="s">
        <v>72</v>
      </c>
      <c r="AY375" s="247" t="s">
        <v>380</v>
      </c>
    </row>
    <row r="376" spans="2:51" s="13" customFormat="1" ht="11.25">
      <c r="B376" s="194"/>
      <c r="C376" s="195"/>
      <c r="D376" s="196" t="s">
        <v>388</v>
      </c>
      <c r="E376" s="197" t="s">
        <v>19</v>
      </c>
      <c r="F376" s="198" t="s">
        <v>573</v>
      </c>
      <c r="G376" s="195"/>
      <c r="H376" s="197" t="s">
        <v>19</v>
      </c>
      <c r="I376" s="199"/>
      <c r="J376" s="195"/>
      <c r="K376" s="195"/>
      <c r="L376" s="200"/>
      <c r="M376" s="201"/>
      <c r="N376" s="202"/>
      <c r="O376" s="202"/>
      <c r="P376" s="202"/>
      <c r="Q376" s="202"/>
      <c r="R376" s="202"/>
      <c r="S376" s="202"/>
      <c r="T376" s="203"/>
      <c r="AT376" s="204" t="s">
        <v>388</v>
      </c>
      <c r="AU376" s="204" t="s">
        <v>82</v>
      </c>
      <c r="AV376" s="13" t="s">
        <v>79</v>
      </c>
      <c r="AW376" s="13" t="s">
        <v>33</v>
      </c>
      <c r="AX376" s="13" t="s">
        <v>72</v>
      </c>
      <c r="AY376" s="204" t="s">
        <v>380</v>
      </c>
    </row>
    <row r="377" spans="2:51" s="14" customFormat="1" ht="11.25">
      <c r="B377" s="205"/>
      <c r="C377" s="206"/>
      <c r="D377" s="196" t="s">
        <v>388</v>
      </c>
      <c r="E377" s="207" t="s">
        <v>19</v>
      </c>
      <c r="F377" s="208" t="s">
        <v>717</v>
      </c>
      <c r="G377" s="206"/>
      <c r="H377" s="209">
        <v>0.81799999999999995</v>
      </c>
      <c r="I377" s="210"/>
      <c r="J377" s="206"/>
      <c r="K377" s="206"/>
      <c r="L377" s="211"/>
      <c r="M377" s="212"/>
      <c r="N377" s="213"/>
      <c r="O377" s="213"/>
      <c r="P377" s="213"/>
      <c r="Q377" s="213"/>
      <c r="R377" s="213"/>
      <c r="S377" s="213"/>
      <c r="T377" s="214"/>
      <c r="AT377" s="215" t="s">
        <v>388</v>
      </c>
      <c r="AU377" s="215" t="s">
        <v>82</v>
      </c>
      <c r="AV377" s="14" t="s">
        <v>82</v>
      </c>
      <c r="AW377" s="14" t="s">
        <v>33</v>
      </c>
      <c r="AX377" s="14" t="s">
        <v>72</v>
      </c>
      <c r="AY377" s="215" t="s">
        <v>380</v>
      </c>
    </row>
    <row r="378" spans="2:51" s="14" customFormat="1" ht="11.25">
      <c r="B378" s="205"/>
      <c r="C378" s="206"/>
      <c r="D378" s="196" t="s">
        <v>388</v>
      </c>
      <c r="E378" s="207" t="s">
        <v>19</v>
      </c>
      <c r="F378" s="208" t="s">
        <v>718</v>
      </c>
      <c r="G378" s="206"/>
      <c r="H378" s="209">
        <v>0.66100000000000003</v>
      </c>
      <c r="I378" s="210"/>
      <c r="J378" s="206"/>
      <c r="K378" s="206"/>
      <c r="L378" s="211"/>
      <c r="M378" s="212"/>
      <c r="N378" s="213"/>
      <c r="O378" s="213"/>
      <c r="P378" s="213"/>
      <c r="Q378" s="213"/>
      <c r="R378" s="213"/>
      <c r="S378" s="213"/>
      <c r="T378" s="214"/>
      <c r="AT378" s="215" t="s">
        <v>388</v>
      </c>
      <c r="AU378" s="215" t="s">
        <v>82</v>
      </c>
      <c r="AV378" s="14" t="s">
        <v>82</v>
      </c>
      <c r="AW378" s="14" t="s">
        <v>33</v>
      </c>
      <c r="AX378" s="14" t="s">
        <v>72</v>
      </c>
      <c r="AY378" s="215" t="s">
        <v>380</v>
      </c>
    </row>
    <row r="379" spans="2:51" s="14" customFormat="1" ht="11.25">
      <c r="B379" s="205"/>
      <c r="C379" s="206"/>
      <c r="D379" s="196" t="s">
        <v>388</v>
      </c>
      <c r="E379" s="207" t="s">
        <v>19</v>
      </c>
      <c r="F379" s="208" t="s">
        <v>719</v>
      </c>
      <c r="G379" s="206"/>
      <c r="H379" s="209">
        <v>0.189</v>
      </c>
      <c r="I379" s="210"/>
      <c r="J379" s="206"/>
      <c r="K379" s="206"/>
      <c r="L379" s="211"/>
      <c r="M379" s="212"/>
      <c r="N379" s="213"/>
      <c r="O379" s="213"/>
      <c r="P379" s="213"/>
      <c r="Q379" s="213"/>
      <c r="R379" s="213"/>
      <c r="S379" s="213"/>
      <c r="T379" s="214"/>
      <c r="AT379" s="215" t="s">
        <v>388</v>
      </c>
      <c r="AU379" s="215" t="s">
        <v>82</v>
      </c>
      <c r="AV379" s="14" t="s">
        <v>82</v>
      </c>
      <c r="AW379" s="14" t="s">
        <v>33</v>
      </c>
      <c r="AX379" s="14" t="s">
        <v>72</v>
      </c>
      <c r="AY379" s="215" t="s">
        <v>380</v>
      </c>
    </row>
    <row r="380" spans="2:51" s="16" customFormat="1" ht="11.25">
      <c r="B380" s="237"/>
      <c r="C380" s="238"/>
      <c r="D380" s="196" t="s">
        <v>388</v>
      </c>
      <c r="E380" s="239" t="s">
        <v>19</v>
      </c>
      <c r="F380" s="240" t="s">
        <v>572</v>
      </c>
      <c r="G380" s="238"/>
      <c r="H380" s="241">
        <v>1.6679999999999999</v>
      </c>
      <c r="I380" s="242"/>
      <c r="J380" s="238"/>
      <c r="K380" s="238"/>
      <c r="L380" s="243"/>
      <c r="M380" s="244"/>
      <c r="N380" s="245"/>
      <c r="O380" s="245"/>
      <c r="P380" s="245"/>
      <c r="Q380" s="245"/>
      <c r="R380" s="245"/>
      <c r="S380" s="245"/>
      <c r="T380" s="246"/>
      <c r="AT380" s="247" t="s">
        <v>388</v>
      </c>
      <c r="AU380" s="247" t="s">
        <v>82</v>
      </c>
      <c r="AV380" s="16" t="s">
        <v>99</v>
      </c>
      <c r="AW380" s="16" t="s">
        <v>33</v>
      </c>
      <c r="AX380" s="16" t="s">
        <v>72</v>
      </c>
      <c r="AY380" s="247" t="s">
        <v>380</v>
      </c>
    </row>
    <row r="381" spans="2:51" s="13" customFormat="1" ht="11.25">
      <c r="B381" s="194"/>
      <c r="C381" s="195"/>
      <c r="D381" s="196" t="s">
        <v>388</v>
      </c>
      <c r="E381" s="197" t="s">
        <v>19</v>
      </c>
      <c r="F381" s="198" t="s">
        <v>576</v>
      </c>
      <c r="G381" s="195"/>
      <c r="H381" s="197" t="s">
        <v>19</v>
      </c>
      <c r="I381" s="199"/>
      <c r="J381" s="195"/>
      <c r="K381" s="195"/>
      <c r="L381" s="200"/>
      <c r="M381" s="201"/>
      <c r="N381" s="202"/>
      <c r="O381" s="202"/>
      <c r="P381" s="202"/>
      <c r="Q381" s="202"/>
      <c r="R381" s="202"/>
      <c r="S381" s="202"/>
      <c r="T381" s="203"/>
      <c r="AT381" s="204" t="s">
        <v>388</v>
      </c>
      <c r="AU381" s="204" t="s">
        <v>82</v>
      </c>
      <c r="AV381" s="13" t="s">
        <v>79</v>
      </c>
      <c r="AW381" s="13" t="s">
        <v>33</v>
      </c>
      <c r="AX381" s="13" t="s">
        <v>72</v>
      </c>
      <c r="AY381" s="204" t="s">
        <v>380</v>
      </c>
    </row>
    <row r="382" spans="2:51" s="14" customFormat="1" ht="11.25">
      <c r="B382" s="205"/>
      <c r="C382" s="206"/>
      <c r="D382" s="196" t="s">
        <v>388</v>
      </c>
      <c r="E382" s="207" t="s">
        <v>19</v>
      </c>
      <c r="F382" s="208" t="s">
        <v>720</v>
      </c>
      <c r="G382" s="206"/>
      <c r="H382" s="209">
        <v>0.48899999999999999</v>
      </c>
      <c r="I382" s="210"/>
      <c r="J382" s="206"/>
      <c r="K382" s="206"/>
      <c r="L382" s="211"/>
      <c r="M382" s="212"/>
      <c r="N382" s="213"/>
      <c r="O382" s="213"/>
      <c r="P382" s="213"/>
      <c r="Q382" s="213"/>
      <c r="R382" s="213"/>
      <c r="S382" s="213"/>
      <c r="T382" s="214"/>
      <c r="AT382" s="215" t="s">
        <v>388</v>
      </c>
      <c r="AU382" s="215" t="s">
        <v>82</v>
      </c>
      <c r="AV382" s="14" t="s">
        <v>82</v>
      </c>
      <c r="AW382" s="14" t="s">
        <v>33</v>
      </c>
      <c r="AX382" s="14" t="s">
        <v>72</v>
      </c>
      <c r="AY382" s="215" t="s">
        <v>380</v>
      </c>
    </row>
    <row r="383" spans="2:51" s="16" customFormat="1" ht="11.25">
      <c r="B383" s="237"/>
      <c r="C383" s="238"/>
      <c r="D383" s="196" t="s">
        <v>388</v>
      </c>
      <c r="E383" s="239" t="s">
        <v>19</v>
      </c>
      <c r="F383" s="240" t="s">
        <v>572</v>
      </c>
      <c r="G383" s="238"/>
      <c r="H383" s="241">
        <v>0.48899999999999999</v>
      </c>
      <c r="I383" s="242"/>
      <c r="J383" s="238"/>
      <c r="K383" s="238"/>
      <c r="L383" s="243"/>
      <c r="M383" s="244"/>
      <c r="N383" s="245"/>
      <c r="O383" s="245"/>
      <c r="P383" s="245"/>
      <c r="Q383" s="245"/>
      <c r="R383" s="245"/>
      <c r="S383" s="245"/>
      <c r="T383" s="246"/>
      <c r="AT383" s="247" t="s">
        <v>388</v>
      </c>
      <c r="AU383" s="247" t="s">
        <v>82</v>
      </c>
      <c r="AV383" s="16" t="s">
        <v>99</v>
      </c>
      <c r="AW383" s="16" t="s">
        <v>33</v>
      </c>
      <c r="AX383" s="16" t="s">
        <v>72</v>
      </c>
      <c r="AY383" s="247" t="s">
        <v>380</v>
      </c>
    </row>
    <row r="384" spans="2:51" s="15" customFormat="1" ht="11.25">
      <c r="B384" s="216"/>
      <c r="C384" s="217"/>
      <c r="D384" s="196" t="s">
        <v>388</v>
      </c>
      <c r="E384" s="218" t="s">
        <v>19</v>
      </c>
      <c r="F384" s="219" t="s">
        <v>419</v>
      </c>
      <c r="G384" s="217"/>
      <c r="H384" s="220">
        <v>7.9560000000000004</v>
      </c>
      <c r="I384" s="221"/>
      <c r="J384" s="217"/>
      <c r="K384" s="217"/>
      <c r="L384" s="222"/>
      <c r="M384" s="223"/>
      <c r="N384" s="224"/>
      <c r="O384" s="224"/>
      <c r="P384" s="224"/>
      <c r="Q384" s="224"/>
      <c r="R384" s="224"/>
      <c r="S384" s="224"/>
      <c r="T384" s="225"/>
      <c r="AT384" s="226" t="s">
        <v>388</v>
      </c>
      <c r="AU384" s="226" t="s">
        <v>82</v>
      </c>
      <c r="AV384" s="15" t="s">
        <v>386</v>
      </c>
      <c r="AW384" s="15" t="s">
        <v>33</v>
      </c>
      <c r="AX384" s="15" t="s">
        <v>79</v>
      </c>
      <c r="AY384" s="226" t="s">
        <v>380</v>
      </c>
    </row>
    <row r="385" spans="1:65" s="2" customFormat="1" ht="21.75" customHeight="1">
      <c r="A385" s="36"/>
      <c r="B385" s="37"/>
      <c r="C385" s="181" t="s">
        <v>721</v>
      </c>
      <c r="D385" s="181" t="s">
        <v>382</v>
      </c>
      <c r="E385" s="182" t="s">
        <v>722</v>
      </c>
      <c r="F385" s="183" t="s">
        <v>723</v>
      </c>
      <c r="G385" s="184" t="s">
        <v>398</v>
      </c>
      <c r="H385" s="185">
        <v>550.58399999999995</v>
      </c>
      <c r="I385" s="186"/>
      <c r="J385" s="187">
        <f>ROUND(I385*H385,2)</f>
        <v>0</v>
      </c>
      <c r="K385" s="183" t="s">
        <v>399</v>
      </c>
      <c r="L385" s="41"/>
      <c r="M385" s="188" t="s">
        <v>19</v>
      </c>
      <c r="N385" s="189" t="s">
        <v>43</v>
      </c>
      <c r="O385" s="66"/>
      <c r="P385" s="190">
        <f>O385*H385</f>
        <v>0</v>
      </c>
      <c r="Q385" s="190">
        <v>0.13883680000000001</v>
      </c>
      <c r="R385" s="190">
        <f>Q385*H385</f>
        <v>76.441320691200005</v>
      </c>
      <c r="S385" s="190">
        <v>0</v>
      </c>
      <c r="T385" s="191">
        <f>S385*H385</f>
        <v>0</v>
      </c>
      <c r="U385" s="36"/>
      <c r="V385" s="36"/>
      <c r="W385" s="36"/>
      <c r="X385" s="36"/>
      <c r="Y385" s="36"/>
      <c r="Z385" s="36"/>
      <c r="AA385" s="36"/>
      <c r="AB385" s="36"/>
      <c r="AC385" s="36"/>
      <c r="AD385" s="36"/>
      <c r="AE385" s="36"/>
      <c r="AR385" s="192" t="s">
        <v>386</v>
      </c>
      <c r="AT385" s="192" t="s">
        <v>382</v>
      </c>
      <c r="AU385" s="192" t="s">
        <v>82</v>
      </c>
      <c r="AY385" s="19" t="s">
        <v>380</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386</v>
      </c>
      <c r="BM385" s="192" t="s">
        <v>724</v>
      </c>
    </row>
    <row r="386" spans="1:65" s="13" customFormat="1" ht="11.25">
      <c r="B386" s="194"/>
      <c r="C386" s="195"/>
      <c r="D386" s="196" t="s">
        <v>388</v>
      </c>
      <c r="E386" s="197" t="s">
        <v>19</v>
      </c>
      <c r="F386" s="198" t="s">
        <v>583</v>
      </c>
      <c r="G386" s="195"/>
      <c r="H386" s="197" t="s">
        <v>19</v>
      </c>
      <c r="I386" s="199"/>
      <c r="J386" s="195"/>
      <c r="K386" s="195"/>
      <c r="L386" s="200"/>
      <c r="M386" s="201"/>
      <c r="N386" s="202"/>
      <c r="O386" s="202"/>
      <c r="P386" s="202"/>
      <c r="Q386" s="202"/>
      <c r="R386" s="202"/>
      <c r="S386" s="202"/>
      <c r="T386" s="203"/>
      <c r="AT386" s="204" t="s">
        <v>388</v>
      </c>
      <c r="AU386" s="204" t="s">
        <v>82</v>
      </c>
      <c r="AV386" s="13" t="s">
        <v>79</v>
      </c>
      <c r="AW386" s="13" t="s">
        <v>33</v>
      </c>
      <c r="AX386" s="13" t="s">
        <v>72</v>
      </c>
      <c r="AY386" s="204" t="s">
        <v>380</v>
      </c>
    </row>
    <row r="387" spans="1:65" s="14" customFormat="1" ht="11.25">
      <c r="B387" s="205"/>
      <c r="C387" s="206"/>
      <c r="D387" s="196" t="s">
        <v>388</v>
      </c>
      <c r="E387" s="207" t="s">
        <v>19</v>
      </c>
      <c r="F387" s="208" t="s">
        <v>725</v>
      </c>
      <c r="G387" s="206"/>
      <c r="H387" s="209">
        <v>98.257999999999996</v>
      </c>
      <c r="I387" s="210"/>
      <c r="J387" s="206"/>
      <c r="K387" s="206"/>
      <c r="L387" s="211"/>
      <c r="M387" s="212"/>
      <c r="N387" s="213"/>
      <c r="O387" s="213"/>
      <c r="P387" s="213"/>
      <c r="Q387" s="213"/>
      <c r="R387" s="213"/>
      <c r="S387" s="213"/>
      <c r="T387" s="214"/>
      <c r="AT387" s="215" t="s">
        <v>388</v>
      </c>
      <c r="AU387" s="215" t="s">
        <v>82</v>
      </c>
      <c r="AV387" s="14" t="s">
        <v>82</v>
      </c>
      <c r="AW387" s="14" t="s">
        <v>33</v>
      </c>
      <c r="AX387" s="14" t="s">
        <v>72</v>
      </c>
      <c r="AY387" s="215" t="s">
        <v>380</v>
      </c>
    </row>
    <row r="388" spans="1:65" s="14" customFormat="1" ht="11.25">
      <c r="B388" s="205"/>
      <c r="C388" s="206"/>
      <c r="D388" s="196" t="s">
        <v>388</v>
      </c>
      <c r="E388" s="207" t="s">
        <v>19</v>
      </c>
      <c r="F388" s="208" t="s">
        <v>726</v>
      </c>
      <c r="G388" s="206"/>
      <c r="H388" s="209">
        <v>-5.67</v>
      </c>
      <c r="I388" s="210"/>
      <c r="J388" s="206"/>
      <c r="K388" s="206"/>
      <c r="L388" s="211"/>
      <c r="M388" s="212"/>
      <c r="N388" s="213"/>
      <c r="O388" s="213"/>
      <c r="P388" s="213"/>
      <c r="Q388" s="213"/>
      <c r="R388" s="213"/>
      <c r="S388" s="213"/>
      <c r="T388" s="214"/>
      <c r="AT388" s="215" t="s">
        <v>388</v>
      </c>
      <c r="AU388" s="215" t="s">
        <v>82</v>
      </c>
      <c r="AV388" s="14" t="s">
        <v>82</v>
      </c>
      <c r="AW388" s="14" t="s">
        <v>33</v>
      </c>
      <c r="AX388" s="14" t="s">
        <v>72</v>
      </c>
      <c r="AY388" s="215" t="s">
        <v>380</v>
      </c>
    </row>
    <row r="389" spans="1:65" s="16" customFormat="1" ht="11.25">
      <c r="B389" s="237"/>
      <c r="C389" s="238"/>
      <c r="D389" s="196" t="s">
        <v>388</v>
      </c>
      <c r="E389" s="239" t="s">
        <v>19</v>
      </c>
      <c r="F389" s="240" t="s">
        <v>572</v>
      </c>
      <c r="G389" s="238"/>
      <c r="H389" s="241">
        <v>92.587999999999994</v>
      </c>
      <c r="I389" s="242"/>
      <c r="J389" s="238"/>
      <c r="K389" s="238"/>
      <c r="L389" s="243"/>
      <c r="M389" s="244"/>
      <c r="N389" s="245"/>
      <c r="O389" s="245"/>
      <c r="P389" s="245"/>
      <c r="Q389" s="245"/>
      <c r="R389" s="245"/>
      <c r="S389" s="245"/>
      <c r="T389" s="246"/>
      <c r="AT389" s="247" t="s">
        <v>388</v>
      </c>
      <c r="AU389" s="247" t="s">
        <v>82</v>
      </c>
      <c r="AV389" s="16" t="s">
        <v>99</v>
      </c>
      <c r="AW389" s="16" t="s">
        <v>33</v>
      </c>
      <c r="AX389" s="16" t="s">
        <v>72</v>
      </c>
      <c r="AY389" s="247" t="s">
        <v>380</v>
      </c>
    </row>
    <row r="390" spans="1:65" s="13" customFormat="1" ht="11.25">
      <c r="B390" s="194"/>
      <c r="C390" s="195"/>
      <c r="D390" s="196" t="s">
        <v>388</v>
      </c>
      <c r="E390" s="197" t="s">
        <v>19</v>
      </c>
      <c r="F390" s="198" t="s">
        <v>569</v>
      </c>
      <c r="G390" s="195"/>
      <c r="H390" s="197" t="s">
        <v>19</v>
      </c>
      <c r="I390" s="199"/>
      <c r="J390" s="195"/>
      <c r="K390" s="195"/>
      <c r="L390" s="200"/>
      <c r="M390" s="201"/>
      <c r="N390" s="202"/>
      <c r="O390" s="202"/>
      <c r="P390" s="202"/>
      <c r="Q390" s="202"/>
      <c r="R390" s="202"/>
      <c r="S390" s="202"/>
      <c r="T390" s="203"/>
      <c r="AT390" s="204" t="s">
        <v>388</v>
      </c>
      <c r="AU390" s="204" t="s">
        <v>82</v>
      </c>
      <c r="AV390" s="13" t="s">
        <v>79</v>
      </c>
      <c r="AW390" s="13" t="s">
        <v>33</v>
      </c>
      <c r="AX390" s="13" t="s">
        <v>72</v>
      </c>
      <c r="AY390" s="204" t="s">
        <v>380</v>
      </c>
    </row>
    <row r="391" spans="1:65" s="14" customFormat="1" ht="11.25">
      <c r="B391" s="205"/>
      <c r="C391" s="206"/>
      <c r="D391" s="196" t="s">
        <v>388</v>
      </c>
      <c r="E391" s="207" t="s">
        <v>19</v>
      </c>
      <c r="F391" s="208" t="s">
        <v>727</v>
      </c>
      <c r="G391" s="206"/>
      <c r="H391" s="209">
        <v>206.31700000000001</v>
      </c>
      <c r="I391" s="210"/>
      <c r="J391" s="206"/>
      <c r="K391" s="206"/>
      <c r="L391" s="211"/>
      <c r="M391" s="212"/>
      <c r="N391" s="213"/>
      <c r="O391" s="213"/>
      <c r="P391" s="213"/>
      <c r="Q391" s="213"/>
      <c r="R391" s="213"/>
      <c r="S391" s="213"/>
      <c r="T391" s="214"/>
      <c r="AT391" s="215" t="s">
        <v>388</v>
      </c>
      <c r="AU391" s="215" t="s">
        <v>82</v>
      </c>
      <c r="AV391" s="14" t="s">
        <v>82</v>
      </c>
      <c r="AW391" s="14" t="s">
        <v>33</v>
      </c>
      <c r="AX391" s="14" t="s">
        <v>72</v>
      </c>
      <c r="AY391" s="215" t="s">
        <v>380</v>
      </c>
    </row>
    <row r="392" spans="1:65" s="14" customFormat="1" ht="11.25">
      <c r="B392" s="205"/>
      <c r="C392" s="206"/>
      <c r="D392" s="196" t="s">
        <v>388</v>
      </c>
      <c r="E392" s="207" t="s">
        <v>19</v>
      </c>
      <c r="F392" s="208" t="s">
        <v>728</v>
      </c>
      <c r="G392" s="206"/>
      <c r="H392" s="209">
        <v>-4.2</v>
      </c>
      <c r="I392" s="210"/>
      <c r="J392" s="206"/>
      <c r="K392" s="206"/>
      <c r="L392" s="211"/>
      <c r="M392" s="212"/>
      <c r="N392" s="213"/>
      <c r="O392" s="213"/>
      <c r="P392" s="213"/>
      <c r="Q392" s="213"/>
      <c r="R392" s="213"/>
      <c r="S392" s="213"/>
      <c r="T392" s="214"/>
      <c r="AT392" s="215" t="s">
        <v>388</v>
      </c>
      <c r="AU392" s="215" t="s">
        <v>82</v>
      </c>
      <c r="AV392" s="14" t="s">
        <v>82</v>
      </c>
      <c r="AW392" s="14" t="s">
        <v>33</v>
      </c>
      <c r="AX392" s="14" t="s">
        <v>72</v>
      </c>
      <c r="AY392" s="215" t="s">
        <v>380</v>
      </c>
    </row>
    <row r="393" spans="1:65" s="16" customFormat="1" ht="11.25">
      <c r="B393" s="237"/>
      <c r="C393" s="238"/>
      <c r="D393" s="196" t="s">
        <v>388</v>
      </c>
      <c r="E393" s="239" t="s">
        <v>19</v>
      </c>
      <c r="F393" s="240" t="s">
        <v>572</v>
      </c>
      <c r="G393" s="238"/>
      <c r="H393" s="241">
        <v>202.11699999999999</v>
      </c>
      <c r="I393" s="242"/>
      <c r="J393" s="238"/>
      <c r="K393" s="238"/>
      <c r="L393" s="243"/>
      <c r="M393" s="244"/>
      <c r="N393" s="245"/>
      <c r="O393" s="245"/>
      <c r="P393" s="245"/>
      <c r="Q393" s="245"/>
      <c r="R393" s="245"/>
      <c r="S393" s="245"/>
      <c r="T393" s="246"/>
      <c r="AT393" s="247" t="s">
        <v>388</v>
      </c>
      <c r="AU393" s="247" t="s">
        <v>82</v>
      </c>
      <c r="AV393" s="16" t="s">
        <v>99</v>
      </c>
      <c r="AW393" s="16" t="s">
        <v>33</v>
      </c>
      <c r="AX393" s="16" t="s">
        <v>72</v>
      </c>
      <c r="AY393" s="247" t="s">
        <v>380</v>
      </c>
    </row>
    <row r="394" spans="1:65" s="13" customFormat="1" ht="11.25">
      <c r="B394" s="194"/>
      <c r="C394" s="195"/>
      <c r="D394" s="196" t="s">
        <v>388</v>
      </c>
      <c r="E394" s="197" t="s">
        <v>19</v>
      </c>
      <c r="F394" s="198" t="s">
        <v>573</v>
      </c>
      <c r="G394" s="195"/>
      <c r="H394" s="197" t="s">
        <v>19</v>
      </c>
      <c r="I394" s="199"/>
      <c r="J394" s="195"/>
      <c r="K394" s="195"/>
      <c r="L394" s="200"/>
      <c r="M394" s="201"/>
      <c r="N394" s="202"/>
      <c r="O394" s="202"/>
      <c r="P394" s="202"/>
      <c r="Q394" s="202"/>
      <c r="R394" s="202"/>
      <c r="S394" s="202"/>
      <c r="T394" s="203"/>
      <c r="AT394" s="204" t="s">
        <v>388</v>
      </c>
      <c r="AU394" s="204" t="s">
        <v>82</v>
      </c>
      <c r="AV394" s="13" t="s">
        <v>79</v>
      </c>
      <c r="AW394" s="13" t="s">
        <v>33</v>
      </c>
      <c r="AX394" s="13" t="s">
        <v>72</v>
      </c>
      <c r="AY394" s="204" t="s">
        <v>380</v>
      </c>
    </row>
    <row r="395" spans="1:65" s="14" customFormat="1" ht="11.25">
      <c r="B395" s="205"/>
      <c r="C395" s="206"/>
      <c r="D395" s="196" t="s">
        <v>388</v>
      </c>
      <c r="E395" s="207" t="s">
        <v>19</v>
      </c>
      <c r="F395" s="208" t="s">
        <v>729</v>
      </c>
      <c r="G395" s="206"/>
      <c r="H395" s="209">
        <v>245.87899999999999</v>
      </c>
      <c r="I395" s="210"/>
      <c r="J395" s="206"/>
      <c r="K395" s="206"/>
      <c r="L395" s="211"/>
      <c r="M395" s="212"/>
      <c r="N395" s="213"/>
      <c r="O395" s="213"/>
      <c r="P395" s="213"/>
      <c r="Q395" s="213"/>
      <c r="R395" s="213"/>
      <c r="S395" s="213"/>
      <c r="T395" s="214"/>
      <c r="AT395" s="215" t="s">
        <v>388</v>
      </c>
      <c r="AU395" s="215" t="s">
        <v>82</v>
      </c>
      <c r="AV395" s="14" t="s">
        <v>82</v>
      </c>
      <c r="AW395" s="14" t="s">
        <v>33</v>
      </c>
      <c r="AX395" s="14" t="s">
        <v>72</v>
      </c>
      <c r="AY395" s="215" t="s">
        <v>380</v>
      </c>
    </row>
    <row r="396" spans="1:65" s="14" customFormat="1" ht="11.25">
      <c r="B396" s="205"/>
      <c r="C396" s="206"/>
      <c r="D396" s="196" t="s">
        <v>388</v>
      </c>
      <c r="E396" s="207" t="s">
        <v>19</v>
      </c>
      <c r="F396" s="208" t="s">
        <v>730</v>
      </c>
      <c r="G396" s="206"/>
      <c r="H396" s="209">
        <v>-11.97</v>
      </c>
      <c r="I396" s="210"/>
      <c r="J396" s="206"/>
      <c r="K396" s="206"/>
      <c r="L396" s="211"/>
      <c r="M396" s="212"/>
      <c r="N396" s="213"/>
      <c r="O396" s="213"/>
      <c r="P396" s="213"/>
      <c r="Q396" s="213"/>
      <c r="R396" s="213"/>
      <c r="S396" s="213"/>
      <c r="T396" s="214"/>
      <c r="AT396" s="215" t="s">
        <v>388</v>
      </c>
      <c r="AU396" s="215" t="s">
        <v>82</v>
      </c>
      <c r="AV396" s="14" t="s">
        <v>82</v>
      </c>
      <c r="AW396" s="14" t="s">
        <v>33</v>
      </c>
      <c r="AX396" s="14" t="s">
        <v>72</v>
      </c>
      <c r="AY396" s="215" t="s">
        <v>380</v>
      </c>
    </row>
    <row r="397" spans="1:65" s="16" customFormat="1" ht="11.25">
      <c r="B397" s="237"/>
      <c r="C397" s="238"/>
      <c r="D397" s="196" t="s">
        <v>388</v>
      </c>
      <c r="E397" s="239" t="s">
        <v>19</v>
      </c>
      <c r="F397" s="240" t="s">
        <v>572</v>
      </c>
      <c r="G397" s="238"/>
      <c r="H397" s="241">
        <v>233.90899999999999</v>
      </c>
      <c r="I397" s="242"/>
      <c r="J397" s="238"/>
      <c r="K397" s="238"/>
      <c r="L397" s="243"/>
      <c r="M397" s="244"/>
      <c r="N397" s="245"/>
      <c r="O397" s="245"/>
      <c r="P397" s="245"/>
      <c r="Q397" s="245"/>
      <c r="R397" s="245"/>
      <c r="S397" s="245"/>
      <c r="T397" s="246"/>
      <c r="AT397" s="247" t="s">
        <v>388</v>
      </c>
      <c r="AU397" s="247" t="s">
        <v>82</v>
      </c>
      <c r="AV397" s="16" t="s">
        <v>99</v>
      </c>
      <c r="AW397" s="16" t="s">
        <v>33</v>
      </c>
      <c r="AX397" s="16" t="s">
        <v>72</v>
      </c>
      <c r="AY397" s="247" t="s">
        <v>380</v>
      </c>
    </row>
    <row r="398" spans="1:65" s="13" customFormat="1" ht="11.25">
      <c r="B398" s="194"/>
      <c r="C398" s="195"/>
      <c r="D398" s="196" t="s">
        <v>388</v>
      </c>
      <c r="E398" s="197" t="s">
        <v>19</v>
      </c>
      <c r="F398" s="198" t="s">
        <v>576</v>
      </c>
      <c r="G398" s="195"/>
      <c r="H398" s="197" t="s">
        <v>19</v>
      </c>
      <c r="I398" s="199"/>
      <c r="J398" s="195"/>
      <c r="K398" s="195"/>
      <c r="L398" s="200"/>
      <c r="M398" s="201"/>
      <c r="N398" s="202"/>
      <c r="O398" s="202"/>
      <c r="P398" s="202"/>
      <c r="Q398" s="202"/>
      <c r="R398" s="202"/>
      <c r="S398" s="202"/>
      <c r="T398" s="203"/>
      <c r="AT398" s="204" t="s">
        <v>388</v>
      </c>
      <c r="AU398" s="204" t="s">
        <v>82</v>
      </c>
      <c r="AV398" s="13" t="s">
        <v>79</v>
      </c>
      <c r="AW398" s="13" t="s">
        <v>33</v>
      </c>
      <c r="AX398" s="13" t="s">
        <v>72</v>
      </c>
      <c r="AY398" s="204" t="s">
        <v>380</v>
      </c>
    </row>
    <row r="399" spans="1:65" s="14" customFormat="1" ht="11.25">
      <c r="B399" s="205"/>
      <c r="C399" s="206"/>
      <c r="D399" s="196" t="s">
        <v>388</v>
      </c>
      <c r="E399" s="207" t="s">
        <v>19</v>
      </c>
      <c r="F399" s="208" t="s">
        <v>731</v>
      </c>
      <c r="G399" s="206"/>
      <c r="H399" s="209">
        <v>25.75</v>
      </c>
      <c r="I399" s="210"/>
      <c r="J399" s="206"/>
      <c r="K399" s="206"/>
      <c r="L399" s="211"/>
      <c r="M399" s="212"/>
      <c r="N399" s="213"/>
      <c r="O399" s="213"/>
      <c r="P399" s="213"/>
      <c r="Q399" s="213"/>
      <c r="R399" s="213"/>
      <c r="S399" s="213"/>
      <c r="T399" s="214"/>
      <c r="AT399" s="215" t="s">
        <v>388</v>
      </c>
      <c r="AU399" s="215" t="s">
        <v>82</v>
      </c>
      <c r="AV399" s="14" t="s">
        <v>82</v>
      </c>
      <c r="AW399" s="14" t="s">
        <v>33</v>
      </c>
      <c r="AX399" s="14" t="s">
        <v>72</v>
      </c>
      <c r="AY399" s="215" t="s">
        <v>380</v>
      </c>
    </row>
    <row r="400" spans="1:65" s="14" customFormat="1" ht="11.25">
      <c r="B400" s="205"/>
      <c r="C400" s="206"/>
      <c r="D400" s="196" t="s">
        <v>388</v>
      </c>
      <c r="E400" s="207" t="s">
        <v>19</v>
      </c>
      <c r="F400" s="208" t="s">
        <v>732</v>
      </c>
      <c r="G400" s="206"/>
      <c r="H400" s="209">
        <v>-3.78</v>
      </c>
      <c r="I400" s="210"/>
      <c r="J400" s="206"/>
      <c r="K400" s="206"/>
      <c r="L400" s="211"/>
      <c r="M400" s="212"/>
      <c r="N400" s="213"/>
      <c r="O400" s="213"/>
      <c r="P400" s="213"/>
      <c r="Q400" s="213"/>
      <c r="R400" s="213"/>
      <c r="S400" s="213"/>
      <c r="T400" s="214"/>
      <c r="AT400" s="215" t="s">
        <v>388</v>
      </c>
      <c r="AU400" s="215" t="s">
        <v>82</v>
      </c>
      <c r="AV400" s="14" t="s">
        <v>82</v>
      </c>
      <c r="AW400" s="14" t="s">
        <v>33</v>
      </c>
      <c r="AX400" s="14" t="s">
        <v>72</v>
      </c>
      <c r="AY400" s="215" t="s">
        <v>380</v>
      </c>
    </row>
    <row r="401" spans="1:65" s="16" customFormat="1" ht="11.25">
      <c r="B401" s="237"/>
      <c r="C401" s="238"/>
      <c r="D401" s="196" t="s">
        <v>388</v>
      </c>
      <c r="E401" s="239" t="s">
        <v>19</v>
      </c>
      <c r="F401" s="240" t="s">
        <v>572</v>
      </c>
      <c r="G401" s="238"/>
      <c r="H401" s="241">
        <v>21.97</v>
      </c>
      <c r="I401" s="242"/>
      <c r="J401" s="238"/>
      <c r="K401" s="238"/>
      <c r="L401" s="243"/>
      <c r="M401" s="244"/>
      <c r="N401" s="245"/>
      <c r="O401" s="245"/>
      <c r="P401" s="245"/>
      <c r="Q401" s="245"/>
      <c r="R401" s="245"/>
      <c r="S401" s="245"/>
      <c r="T401" s="246"/>
      <c r="AT401" s="247" t="s">
        <v>388</v>
      </c>
      <c r="AU401" s="247" t="s">
        <v>82</v>
      </c>
      <c r="AV401" s="16" t="s">
        <v>99</v>
      </c>
      <c r="AW401" s="16" t="s">
        <v>33</v>
      </c>
      <c r="AX401" s="16" t="s">
        <v>72</v>
      </c>
      <c r="AY401" s="247" t="s">
        <v>380</v>
      </c>
    </row>
    <row r="402" spans="1:65" s="15" customFormat="1" ht="11.25">
      <c r="B402" s="216"/>
      <c r="C402" s="217"/>
      <c r="D402" s="196" t="s">
        <v>388</v>
      </c>
      <c r="E402" s="218" t="s">
        <v>19</v>
      </c>
      <c r="F402" s="219" t="s">
        <v>419</v>
      </c>
      <c r="G402" s="217"/>
      <c r="H402" s="220">
        <v>550.58399999999995</v>
      </c>
      <c r="I402" s="221"/>
      <c r="J402" s="217"/>
      <c r="K402" s="217"/>
      <c r="L402" s="222"/>
      <c r="M402" s="223"/>
      <c r="N402" s="224"/>
      <c r="O402" s="224"/>
      <c r="P402" s="224"/>
      <c r="Q402" s="224"/>
      <c r="R402" s="224"/>
      <c r="S402" s="224"/>
      <c r="T402" s="225"/>
      <c r="AT402" s="226" t="s">
        <v>388</v>
      </c>
      <c r="AU402" s="226" t="s">
        <v>82</v>
      </c>
      <c r="AV402" s="15" t="s">
        <v>386</v>
      </c>
      <c r="AW402" s="15" t="s">
        <v>33</v>
      </c>
      <c r="AX402" s="15" t="s">
        <v>79</v>
      </c>
      <c r="AY402" s="226" t="s">
        <v>380</v>
      </c>
    </row>
    <row r="403" spans="1:65" s="2" customFormat="1" ht="24.2" customHeight="1">
      <c r="A403" s="36"/>
      <c r="B403" s="37"/>
      <c r="C403" s="181" t="s">
        <v>733</v>
      </c>
      <c r="D403" s="181" t="s">
        <v>382</v>
      </c>
      <c r="E403" s="182" t="s">
        <v>734</v>
      </c>
      <c r="F403" s="183" t="s">
        <v>735</v>
      </c>
      <c r="G403" s="184" t="s">
        <v>398</v>
      </c>
      <c r="H403" s="185">
        <v>160.124</v>
      </c>
      <c r="I403" s="186"/>
      <c r="J403" s="187">
        <f>ROUND(I403*H403,2)</f>
        <v>0</v>
      </c>
      <c r="K403" s="183" t="s">
        <v>399</v>
      </c>
      <c r="L403" s="41"/>
      <c r="M403" s="188" t="s">
        <v>19</v>
      </c>
      <c r="N403" s="189" t="s">
        <v>43</v>
      </c>
      <c r="O403" s="66"/>
      <c r="P403" s="190">
        <f>O403*H403</f>
        <v>0</v>
      </c>
      <c r="Q403" s="190">
        <v>6.9169999999999995E-2</v>
      </c>
      <c r="R403" s="190">
        <f>Q403*H403</f>
        <v>11.075777079999998</v>
      </c>
      <c r="S403" s="190">
        <v>0</v>
      </c>
      <c r="T403" s="191">
        <f>S403*H403</f>
        <v>0</v>
      </c>
      <c r="U403" s="36"/>
      <c r="V403" s="36"/>
      <c r="W403" s="36"/>
      <c r="X403" s="36"/>
      <c r="Y403" s="36"/>
      <c r="Z403" s="36"/>
      <c r="AA403" s="36"/>
      <c r="AB403" s="36"/>
      <c r="AC403" s="36"/>
      <c r="AD403" s="36"/>
      <c r="AE403" s="36"/>
      <c r="AR403" s="192" t="s">
        <v>386</v>
      </c>
      <c r="AT403" s="192" t="s">
        <v>382</v>
      </c>
      <c r="AU403" s="192" t="s">
        <v>82</v>
      </c>
      <c r="AY403" s="19" t="s">
        <v>380</v>
      </c>
      <c r="BE403" s="193">
        <f>IF(N403="základní",J403,0)</f>
        <v>0</v>
      </c>
      <c r="BF403" s="193">
        <f>IF(N403="snížená",J403,0)</f>
        <v>0</v>
      </c>
      <c r="BG403" s="193">
        <f>IF(N403="zákl. přenesená",J403,0)</f>
        <v>0</v>
      </c>
      <c r="BH403" s="193">
        <f>IF(N403="sníž. přenesená",J403,0)</f>
        <v>0</v>
      </c>
      <c r="BI403" s="193">
        <f>IF(N403="nulová",J403,0)</f>
        <v>0</v>
      </c>
      <c r="BJ403" s="19" t="s">
        <v>79</v>
      </c>
      <c r="BK403" s="193">
        <f>ROUND(I403*H403,2)</f>
        <v>0</v>
      </c>
      <c r="BL403" s="19" t="s">
        <v>386</v>
      </c>
      <c r="BM403" s="192" t="s">
        <v>736</v>
      </c>
    </row>
    <row r="404" spans="1:65" s="13" customFormat="1" ht="11.25">
      <c r="B404" s="194"/>
      <c r="C404" s="195"/>
      <c r="D404" s="196" t="s">
        <v>388</v>
      </c>
      <c r="E404" s="197" t="s">
        <v>19</v>
      </c>
      <c r="F404" s="198" t="s">
        <v>583</v>
      </c>
      <c r="G404" s="195"/>
      <c r="H404" s="197" t="s">
        <v>19</v>
      </c>
      <c r="I404" s="199"/>
      <c r="J404" s="195"/>
      <c r="K404" s="195"/>
      <c r="L404" s="200"/>
      <c r="M404" s="201"/>
      <c r="N404" s="202"/>
      <c r="O404" s="202"/>
      <c r="P404" s="202"/>
      <c r="Q404" s="202"/>
      <c r="R404" s="202"/>
      <c r="S404" s="202"/>
      <c r="T404" s="203"/>
      <c r="AT404" s="204" t="s">
        <v>388</v>
      </c>
      <c r="AU404" s="204" t="s">
        <v>82</v>
      </c>
      <c r="AV404" s="13" t="s">
        <v>79</v>
      </c>
      <c r="AW404" s="13" t="s">
        <v>33</v>
      </c>
      <c r="AX404" s="13" t="s">
        <v>72</v>
      </c>
      <c r="AY404" s="204" t="s">
        <v>380</v>
      </c>
    </row>
    <row r="405" spans="1:65" s="14" customFormat="1" ht="11.25">
      <c r="B405" s="205"/>
      <c r="C405" s="206"/>
      <c r="D405" s="196" t="s">
        <v>388</v>
      </c>
      <c r="E405" s="207" t="s">
        <v>19</v>
      </c>
      <c r="F405" s="208" t="s">
        <v>737</v>
      </c>
      <c r="G405" s="206"/>
      <c r="H405" s="209">
        <v>21.718</v>
      </c>
      <c r="I405" s="210"/>
      <c r="J405" s="206"/>
      <c r="K405" s="206"/>
      <c r="L405" s="211"/>
      <c r="M405" s="212"/>
      <c r="N405" s="213"/>
      <c r="O405" s="213"/>
      <c r="P405" s="213"/>
      <c r="Q405" s="213"/>
      <c r="R405" s="213"/>
      <c r="S405" s="213"/>
      <c r="T405" s="214"/>
      <c r="AT405" s="215" t="s">
        <v>388</v>
      </c>
      <c r="AU405" s="215" t="s">
        <v>82</v>
      </c>
      <c r="AV405" s="14" t="s">
        <v>82</v>
      </c>
      <c r="AW405" s="14" t="s">
        <v>33</v>
      </c>
      <c r="AX405" s="14" t="s">
        <v>72</v>
      </c>
      <c r="AY405" s="215" t="s">
        <v>380</v>
      </c>
    </row>
    <row r="406" spans="1:65" s="14" customFormat="1" ht="11.25">
      <c r="B406" s="205"/>
      <c r="C406" s="206"/>
      <c r="D406" s="196" t="s">
        <v>388</v>
      </c>
      <c r="E406" s="207" t="s">
        <v>19</v>
      </c>
      <c r="F406" s="208" t="s">
        <v>738</v>
      </c>
      <c r="G406" s="206"/>
      <c r="H406" s="209">
        <v>-2.94</v>
      </c>
      <c r="I406" s="210"/>
      <c r="J406" s="206"/>
      <c r="K406" s="206"/>
      <c r="L406" s="211"/>
      <c r="M406" s="212"/>
      <c r="N406" s="213"/>
      <c r="O406" s="213"/>
      <c r="P406" s="213"/>
      <c r="Q406" s="213"/>
      <c r="R406" s="213"/>
      <c r="S406" s="213"/>
      <c r="T406" s="214"/>
      <c r="AT406" s="215" t="s">
        <v>388</v>
      </c>
      <c r="AU406" s="215" t="s">
        <v>82</v>
      </c>
      <c r="AV406" s="14" t="s">
        <v>82</v>
      </c>
      <c r="AW406" s="14" t="s">
        <v>33</v>
      </c>
      <c r="AX406" s="14" t="s">
        <v>72</v>
      </c>
      <c r="AY406" s="215" t="s">
        <v>380</v>
      </c>
    </row>
    <row r="407" spans="1:65" s="16" customFormat="1" ht="11.25">
      <c r="B407" s="237"/>
      <c r="C407" s="238"/>
      <c r="D407" s="196" t="s">
        <v>388</v>
      </c>
      <c r="E407" s="239" t="s">
        <v>19</v>
      </c>
      <c r="F407" s="240" t="s">
        <v>572</v>
      </c>
      <c r="G407" s="238"/>
      <c r="H407" s="241">
        <v>18.777999999999999</v>
      </c>
      <c r="I407" s="242"/>
      <c r="J407" s="238"/>
      <c r="K407" s="238"/>
      <c r="L407" s="243"/>
      <c r="M407" s="244"/>
      <c r="N407" s="245"/>
      <c r="O407" s="245"/>
      <c r="P407" s="245"/>
      <c r="Q407" s="245"/>
      <c r="R407" s="245"/>
      <c r="S407" s="245"/>
      <c r="T407" s="246"/>
      <c r="AT407" s="247" t="s">
        <v>388</v>
      </c>
      <c r="AU407" s="247" t="s">
        <v>82</v>
      </c>
      <c r="AV407" s="16" t="s">
        <v>99</v>
      </c>
      <c r="AW407" s="16" t="s">
        <v>33</v>
      </c>
      <c r="AX407" s="16" t="s">
        <v>72</v>
      </c>
      <c r="AY407" s="247" t="s">
        <v>380</v>
      </c>
    </row>
    <row r="408" spans="1:65" s="13" customFormat="1" ht="11.25">
      <c r="B408" s="194"/>
      <c r="C408" s="195"/>
      <c r="D408" s="196" t="s">
        <v>388</v>
      </c>
      <c r="E408" s="197" t="s">
        <v>19</v>
      </c>
      <c r="F408" s="198" t="s">
        <v>569</v>
      </c>
      <c r="G408" s="195"/>
      <c r="H408" s="197" t="s">
        <v>19</v>
      </c>
      <c r="I408" s="199"/>
      <c r="J408" s="195"/>
      <c r="K408" s="195"/>
      <c r="L408" s="200"/>
      <c r="M408" s="201"/>
      <c r="N408" s="202"/>
      <c r="O408" s="202"/>
      <c r="P408" s="202"/>
      <c r="Q408" s="202"/>
      <c r="R408" s="202"/>
      <c r="S408" s="202"/>
      <c r="T408" s="203"/>
      <c r="AT408" s="204" t="s">
        <v>388</v>
      </c>
      <c r="AU408" s="204" t="s">
        <v>82</v>
      </c>
      <c r="AV408" s="13" t="s">
        <v>79</v>
      </c>
      <c r="AW408" s="13" t="s">
        <v>33</v>
      </c>
      <c r="AX408" s="13" t="s">
        <v>72</v>
      </c>
      <c r="AY408" s="204" t="s">
        <v>380</v>
      </c>
    </row>
    <row r="409" spans="1:65" s="14" customFormat="1" ht="11.25">
      <c r="B409" s="205"/>
      <c r="C409" s="206"/>
      <c r="D409" s="196" t="s">
        <v>388</v>
      </c>
      <c r="E409" s="207" t="s">
        <v>19</v>
      </c>
      <c r="F409" s="208" t="s">
        <v>739</v>
      </c>
      <c r="G409" s="206"/>
      <c r="H409" s="209">
        <v>67.132999999999996</v>
      </c>
      <c r="I409" s="210"/>
      <c r="J409" s="206"/>
      <c r="K409" s="206"/>
      <c r="L409" s="211"/>
      <c r="M409" s="212"/>
      <c r="N409" s="213"/>
      <c r="O409" s="213"/>
      <c r="P409" s="213"/>
      <c r="Q409" s="213"/>
      <c r="R409" s="213"/>
      <c r="S409" s="213"/>
      <c r="T409" s="214"/>
      <c r="AT409" s="215" t="s">
        <v>388</v>
      </c>
      <c r="AU409" s="215" t="s">
        <v>82</v>
      </c>
      <c r="AV409" s="14" t="s">
        <v>82</v>
      </c>
      <c r="AW409" s="14" t="s">
        <v>33</v>
      </c>
      <c r="AX409" s="14" t="s">
        <v>72</v>
      </c>
      <c r="AY409" s="215" t="s">
        <v>380</v>
      </c>
    </row>
    <row r="410" spans="1:65" s="14" customFormat="1" ht="11.25">
      <c r="B410" s="205"/>
      <c r="C410" s="206"/>
      <c r="D410" s="196" t="s">
        <v>388</v>
      </c>
      <c r="E410" s="207" t="s">
        <v>19</v>
      </c>
      <c r="F410" s="208" t="s">
        <v>740</v>
      </c>
      <c r="G410" s="206"/>
      <c r="H410" s="209">
        <v>-4.62</v>
      </c>
      <c r="I410" s="210"/>
      <c r="J410" s="206"/>
      <c r="K410" s="206"/>
      <c r="L410" s="211"/>
      <c r="M410" s="212"/>
      <c r="N410" s="213"/>
      <c r="O410" s="213"/>
      <c r="P410" s="213"/>
      <c r="Q410" s="213"/>
      <c r="R410" s="213"/>
      <c r="S410" s="213"/>
      <c r="T410" s="214"/>
      <c r="AT410" s="215" t="s">
        <v>388</v>
      </c>
      <c r="AU410" s="215" t="s">
        <v>82</v>
      </c>
      <c r="AV410" s="14" t="s">
        <v>82</v>
      </c>
      <c r="AW410" s="14" t="s">
        <v>33</v>
      </c>
      <c r="AX410" s="14" t="s">
        <v>72</v>
      </c>
      <c r="AY410" s="215" t="s">
        <v>380</v>
      </c>
    </row>
    <row r="411" spans="1:65" s="16" customFormat="1" ht="11.25">
      <c r="B411" s="237"/>
      <c r="C411" s="238"/>
      <c r="D411" s="196" t="s">
        <v>388</v>
      </c>
      <c r="E411" s="239" t="s">
        <v>19</v>
      </c>
      <c r="F411" s="240" t="s">
        <v>572</v>
      </c>
      <c r="G411" s="238"/>
      <c r="H411" s="241">
        <v>62.512999999999998</v>
      </c>
      <c r="I411" s="242"/>
      <c r="J411" s="238"/>
      <c r="K411" s="238"/>
      <c r="L411" s="243"/>
      <c r="M411" s="244"/>
      <c r="N411" s="245"/>
      <c r="O411" s="245"/>
      <c r="P411" s="245"/>
      <c r="Q411" s="245"/>
      <c r="R411" s="245"/>
      <c r="S411" s="245"/>
      <c r="T411" s="246"/>
      <c r="AT411" s="247" t="s">
        <v>388</v>
      </c>
      <c r="AU411" s="247" t="s">
        <v>82</v>
      </c>
      <c r="AV411" s="16" t="s">
        <v>99</v>
      </c>
      <c r="AW411" s="16" t="s">
        <v>33</v>
      </c>
      <c r="AX411" s="16" t="s">
        <v>72</v>
      </c>
      <c r="AY411" s="247" t="s">
        <v>380</v>
      </c>
    </row>
    <row r="412" spans="1:65" s="13" customFormat="1" ht="11.25">
      <c r="B412" s="194"/>
      <c r="C412" s="195"/>
      <c r="D412" s="196" t="s">
        <v>388</v>
      </c>
      <c r="E412" s="197" t="s">
        <v>19</v>
      </c>
      <c r="F412" s="198" t="s">
        <v>573</v>
      </c>
      <c r="G412" s="195"/>
      <c r="H412" s="197" t="s">
        <v>19</v>
      </c>
      <c r="I412" s="199"/>
      <c r="J412" s="195"/>
      <c r="K412" s="195"/>
      <c r="L412" s="200"/>
      <c r="M412" s="201"/>
      <c r="N412" s="202"/>
      <c r="O412" s="202"/>
      <c r="P412" s="202"/>
      <c r="Q412" s="202"/>
      <c r="R412" s="202"/>
      <c r="S412" s="202"/>
      <c r="T412" s="203"/>
      <c r="AT412" s="204" t="s">
        <v>388</v>
      </c>
      <c r="AU412" s="204" t="s">
        <v>82</v>
      </c>
      <c r="AV412" s="13" t="s">
        <v>79</v>
      </c>
      <c r="AW412" s="13" t="s">
        <v>33</v>
      </c>
      <c r="AX412" s="13" t="s">
        <v>72</v>
      </c>
      <c r="AY412" s="204" t="s">
        <v>380</v>
      </c>
    </row>
    <row r="413" spans="1:65" s="14" customFormat="1" ht="11.25">
      <c r="B413" s="205"/>
      <c r="C413" s="206"/>
      <c r="D413" s="196" t="s">
        <v>388</v>
      </c>
      <c r="E413" s="207" t="s">
        <v>19</v>
      </c>
      <c r="F413" s="208" t="s">
        <v>741</v>
      </c>
      <c r="G413" s="206"/>
      <c r="H413" s="209">
        <v>56.363</v>
      </c>
      <c r="I413" s="210"/>
      <c r="J413" s="206"/>
      <c r="K413" s="206"/>
      <c r="L413" s="211"/>
      <c r="M413" s="212"/>
      <c r="N413" s="213"/>
      <c r="O413" s="213"/>
      <c r="P413" s="213"/>
      <c r="Q413" s="213"/>
      <c r="R413" s="213"/>
      <c r="S413" s="213"/>
      <c r="T413" s="214"/>
      <c r="AT413" s="215" t="s">
        <v>388</v>
      </c>
      <c r="AU413" s="215" t="s">
        <v>82</v>
      </c>
      <c r="AV413" s="14" t="s">
        <v>82</v>
      </c>
      <c r="AW413" s="14" t="s">
        <v>33</v>
      </c>
      <c r="AX413" s="14" t="s">
        <v>72</v>
      </c>
      <c r="AY413" s="215" t="s">
        <v>380</v>
      </c>
    </row>
    <row r="414" spans="1:65" s="14" customFormat="1" ht="11.25">
      <c r="B414" s="205"/>
      <c r="C414" s="206"/>
      <c r="D414" s="196" t="s">
        <v>388</v>
      </c>
      <c r="E414" s="207" t="s">
        <v>19</v>
      </c>
      <c r="F414" s="208" t="s">
        <v>742</v>
      </c>
      <c r="G414" s="206"/>
      <c r="H414" s="209">
        <v>-3.78</v>
      </c>
      <c r="I414" s="210"/>
      <c r="J414" s="206"/>
      <c r="K414" s="206"/>
      <c r="L414" s="211"/>
      <c r="M414" s="212"/>
      <c r="N414" s="213"/>
      <c r="O414" s="213"/>
      <c r="P414" s="213"/>
      <c r="Q414" s="213"/>
      <c r="R414" s="213"/>
      <c r="S414" s="213"/>
      <c r="T414" s="214"/>
      <c r="AT414" s="215" t="s">
        <v>388</v>
      </c>
      <c r="AU414" s="215" t="s">
        <v>82</v>
      </c>
      <c r="AV414" s="14" t="s">
        <v>82</v>
      </c>
      <c r="AW414" s="14" t="s">
        <v>33</v>
      </c>
      <c r="AX414" s="14" t="s">
        <v>72</v>
      </c>
      <c r="AY414" s="215" t="s">
        <v>380</v>
      </c>
    </row>
    <row r="415" spans="1:65" s="16" customFormat="1" ht="11.25">
      <c r="B415" s="237"/>
      <c r="C415" s="238"/>
      <c r="D415" s="196" t="s">
        <v>388</v>
      </c>
      <c r="E415" s="239" t="s">
        <v>19</v>
      </c>
      <c r="F415" s="240" t="s">
        <v>572</v>
      </c>
      <c r="G415" s="238"/>
      <c r="H415" s="241">
        <v>52.582999999999998</v>
      </c>
      <c r="I415" s="242"/>
      <c r="J415" s="238"/>
      <c r="K415" s="238"/>
      <c r="L415" s="243"/>
      <c r="M415" s="244"/>
      <c r="N415" s="245"/>
      <c r="O415" s="245"/>
      <c r="P415" s="245"/>
      <c r="Q415" s="245"/>
      <c r="R415" s="245"/>
      <c r="S415" s="245"/>
      <c r="T415" s="246"/>
      <c r="AT415" s="247" t="s">
        <v>388</v>
      </c>
      <c r="AU415" s="247" t="s">
        <v>82</v>
      </c>
      <c r="AV415" s="16" t="s">
        <v>99</v>
      </c>
      <c r="AW415" s="16" t="s">
        <v>33</v>
      </c>
      <c r="AX415" s="16" t="s">
        <v>72</v>
      </c>
      <c r="AY415" s="247" t="s">
        <v>380</v>
      </c>
    </row>
    <row r="416" spans="1:65" s="13" customFormat="1" ht="11.25">
      <c r="B416" s="194"/>
      <c r="C416" s="195"/>
      <c r="D416" s="196" t="s">
        <v>388</v>
      </c>
      <c r="E416" s="197" t="s">
        <v>19</v>
      </c>
      <c r="F416" s="198" t="s">
        <v>576</v>
      </c>
      <c r="G416" s="195"/>
      <c r="H416" s="197" t="s">
        <v>19</v>
      </c>
      <c r="I416" s="199"/>
      <c r="J416" s="195"/>
      <c r="K416" s="195"/>
      <c r="L416" s="200"/>
      <c r="M416" s="201"/>
      <c r="N416" s="202"/>
      <c r="O416" s="202"/>
      <c r="P416" s="202"/>
      <c r="Q416" s="202"/>
      <c r="R416" s="202"/>
      <c r="S416" s="202"/>
      <c r="T416" s="203"/>
      <c r="AT416" s="204" t="s">
        <v>388</v>
      </c>
      <c r="AU416" s="204" t="s">
        <v>82</v>
      </c>
      <c r="AV416" s="13" t="s">
        <v>79</v>
      </c>
      <c r="AW416" s="13" t="s">
        <v>33</v>
      </c>
      <c r="AX416" s="13" t="s">
        <v>72</v>
      </c>
      <c r="AY416" s="204" t="s">
        <v>380</v>
      </c>
    </row>
    <row r="417" spans="1:65" s="14" customFormat="1" ht="11.25">
      <c r="B417" s="205"/>
      <c r="C417" s="206"/>
      <c r="D417" s="196" t="s">
        <v>388</v>
      </c>
      <c r="E417" s="207" t="s">
        <v>19</v>
      </c>
      <c r="F417" s="208" t="s">
        <v>743</v>
      </c>
      <c r="G417" s="206"/>
      <c r="H417" s="209">
        <v>26.25</v>
      </c>
      <c r="I417" s="210"/>
      <c r="J417" s="206"/>
      <c r="K417" s="206"/>
      <c r="L417" s="211"/>
      <c r="M417" s="212"/>
      <c r="N417" s="213"/>
      <c r="O417" s="213"/>
      <c r="P417" s="213"/>
      <c r="Q417" s="213"/>
      <c r="R417" s="213"/>
      <c r="S417" s="213"/>
      <c r="T417" s="214"/>
      <c r="AT417" s="215" t="s">
        <v>388</v>
      </c>
      <c r="AU417" s="215" t="s">
        <v>82</v>
      </c>
      <c r="AV417" s="14" t="s">
        <v>82</v>
      </c>
      <c r="AW417" s="14" t="s">
        <v>33</v>
      </c>
      <c r="AX417" s="14" t="s">
        <v>72</v>
      </c>
      <c r="AY417" s="215" t="s">
        <v>380</v>
      </c>
    </row>
    <row r="418" spans="1:65" s="16" customFormat="1" ht="11.25">
      <c r="B418" s="237"/>
      <c r="C418" s="238"/>
      <c r="D418" s="196" t="s">
        <v>388</v>
      </c>
      <c r="E418" s="239" t="s">
        <v>19</v>
      </c>
      <c r="F418" s="240" t="s">
        <v>572</v>
      </c>
      <c r="G418" s="238"/>
      <c r="H418" s="241">
        <v>26.25</v>
      </c>
      <c r="I418" s="242"/>
      <c r="J418" s="238"/>
      <c r="K418" s="238"/>
      <c r="L418" s="243"/>
      <c r="M418" s="244"/>
      <c r="N418" s="245"/>
      <c r="O418" s="245"/>
      <c r="P418" s="245"/>
      <c r="Q418" s="245"/>
      <c r="R418" s="245"/>
      <c r="S418" s="245"/>
      <c r="T418" s="246"/>
      <c r="AT418" s="247" t="s">
        <v>388</v>
      </c>
      <c r="AU418" s="247" t="s">
        <v>82</v>
      </c>
      <c r="AV418" s="16" t="s">
        <v>99</v>
      </c>
      <c r="AW418" s="16" t="s">
        <v>33</v>
      </c>
      <c r="AX418" s="16" t="s">
        <v>72</v>
      </c>
      <c r="AY418" s="247" t="s">
        <v>380</v>
      </c>
    </row>
    <row r="419" spans="1:65" s="15" customFormat="1" ht="11.25">
      <c r="B419" s="216"/>
      <c r="C419" s="217"/>
      <c r="D419" s="196" t="s">
        <v>388</v>
      </c>
      <c r="E419" s="218" t="s">
        <v>19</v>
      </c>
      <c r="F419" s="219" t="s">
        <v>419</v>
      </c>
      <c r="G419" s="217"/>
      <c r="H419" s="220">
        <v>160.124</v>
      </c>
      <c r="I419" s="221"/>
      <c r="J419" s="217"/>
      <c r="K419" s="217"/>
      <c r="L419" s="222"/>
      <c r="M419" s="223"/>
      <c r="N419" s="224"/>
      <c r="O419" s="224"/>
      <c r="P419" s="224"/>
      <c r="Q419" s="224"/>
      <c r="R419" s="224"/>
      <c r="S419" s="224"/>
      <c r="T419" s="225"/>
      <c r="AT419" s="226" t="s">
        <v>388</v>
      </c>
      <c r="AU419" s="226" t="s">
        <v>82</v>
      </c>
      <c r="AV419" s="15" t="s">
        <v>386</v>
      </c>
      <c r="AW419" s="15" t="s">
        <v>33</v>
      </c>
      <c r="AX419" s="15" t="s">
        <v>79</v>
      </c>
      <c r="AY419" s="226" t="s">
        <v>380</v>
      </c>
    </row>
    <row r="420" spans="1:65" s="2" customFormat="1" ht="24.2" customHeight="1">
      <c r="A420" s="36"/>
      <c r="B420" s="37"/>
      <c r="C420" s="181" t="s">
        <v>744</v>
      </c>
      <c r="D420" s="181" t="s">
        <v>382</v>
      </c>
      <c r="E420" s="182" t="s">
        <v>745</v>
      </c>
      <c r="F420" s="183" t="s">
        <v>746</v>
      </c>
      <c r="G420" s="184" t="s">
        <v>398</v>
      </c>
      <c r="H420" s="185">
        <v>39.529000000000003</v>
      </c>
      <c r="I420" s="186"/>
      <c r="J420" s="187">
        <f>ROUND(I420*H420,2)</f>
        <v>0</v>
      </c>
      <c r="K420" s="183" t="s">
        <v>399</v>
      </c>
      <c r="L420" s="41"/>
      <c r="M420" s="188" t="s">
        <v>19</v>
      </c>
      <c r="N420" s="189" t="s">
        <v>43</v>
      </c>
      <c r="O420" s="66"/>
      <c r="P420" s="190">
        <f>O420*H420</f>
        <v>0</v>
      </c>
      <c r="Q420" s="190">
        <v>0.10324999999999999</v>
      </c>
      <c r="R420" s="190">
        <f>Q420*H420</f>
        <v>4.0813692499999998</v>
      </c>
      <c r="S420" s="190">
        <v>0</v>
      </c>
      <c r="T420" s="191">
        <f>S420*H420</f>
        <v>0</v>
      </c>
      <c r="U420" s="36"/>
      <c r="V420" s="36"/>
      <c r="W420" s="36"/>
      <c r="X420" s="36"/>
      <c r="Y420" s="36"/>
      <c r="Z420" s="36"/>
      <c r="AA420" s="36"/>
      <c r="AB420" s="36"/>
      <c r="AC420" s="36"/>
      <c r="AD420" s="36"/>
      <c r="AE420" s="36"/>
      <c r="AR420" s="192" t="s">
        <v>386</v>
      </c>
      <c r="AT420" s="192" t="s">
        <v>382</v>
      </c>
      <c r="AU420" s="192" t="s">
        <v>82</v>
      </c>
      <c r="AY420" s="19" t="s">
        <v>380</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386</v>
      </c>
      <c r="BM420" s="192" t="s">
        <v>747</v>
      </c>
    </row>
    <row r="421" spans="1:65" s="13" customFormat="1" ht="11.25">
      <c r="B421" s="194"/>
      <c r="C421" s="195"/>
      <c r="D421" s="196" t="s">
        <v>388</v>
      </c>
      <c r="E421" s="197" t="s">
        <v>19</v>
      </c>
      <c r="F421" s="198" t="s">
        <v>583</v>
      </c>
      <c r="G421" s="195"/>
      <c r="H421" s="197" t="s">
        <v>19</v>
      </c>
      <c r="I421" s="199"/>
      <c r="J421" s="195"/>
      <c r="K421" s="195"/>
      <c r="L421" s="200"/>
      <c r="M421" s="201"/>
      <c r="N421" s="202"/>
      <c r="O421" s="202"/>
      <c r="P421" s="202"/>
      <c r="Q421" s="202"/>
      <c r="R421" s="202"/>
      <c r="S421" s="202"/>
      <c r="T421" s="203"/>
      <c r="AT421" s="204" t="s">
        <v>388</v>
      </c>
      <c r="AU421" s="204" t="s">
        <v>82</v>
      </c>
      <c r="AV421" s="13" t="s">
        <v>79</v>
      </c>
      <c r="AW421" s="13" t="s">
        <v>33</v>
      </c>
      <c r="AX421" s="13" t="s">
        <v>72</v>
      </c>
      <c r="AY421" s="204" t="s">
        <v>380</v>
      </c>
    </row>
    <row r="422" spans="1:65" s="14" customFormat="1" ht="11.25">
      <c r="B422" s="205"/>
      <c r="C422" s="206"/>
      <c r="D422" s="196" t="s">
        <v>388</v>
      </c>
      <c r="E422" s="207" t="s">
        <v>19</v>
      </c>
      <c r="F422" s="208" t="s">
        <v>748</v>
      </c>
      <c r="G422" s="206"/>
      <c r="H422" s="209">
        <v>12.228</v>
      </c>
      <c r="I422" s="210"/>
      <c r="J422" s="206"/>
      <c r="K422" s="206"/>
      <c r="L422" s="211"/>
      <c r="M422" s="212"/>
      <c r="N422" s="213"/>
      <c r="O422" s="213"/>
      <c r="P422" s="213"/>
      <c r="Q422" s="213"/>
      <c r="R422" s="213"/>
      <c r="S422" s="213"/>
      <c r="T422" s="214"/>
      <c r="AT422" s="215" t="s">
        <v>388</v>
      </c>
      <c r="AU422" s="215" t="s">
        <v>82</v>
      </c>
      <c r="AV422" s="14" t="s">
        <v>82</v>
      </c>
      <c r="AW422" s="14" t="s">
        <v>33</v>
      </c>
      <c r="AX422" s="14" t="s">
        <v>72</v>
      </c>
      <c r="AY422" s="215" t="s">
        <v>380</v>
      </c>
    </row>
    <row r="423" spans="1:65" s="14" customFormat="1" ht="11.25">
      <c r="B423" s="205"/>
      <c r="C423" s="206"/>
      <c r="D423" s="196" t="s">
        <v>388</v>
      </c>
      <c r="E423" s="207" t="s">
        <v>19</v>
      </c>
      <c r="F423" s="208" t="s">
        <v>749</v>
      </c>
      <c r="G423" s="206"/>
      <c r="H423" s="209">
        <v>-1.68</v>
      </c>
      <c r="I423" s="210"/>
      <c r="J423" s="206"/>
      <c r="K423" s="206"/>
      <c r="L423" s="211"/>
      <c r="M423" s="212"/>
      <c r="N423" s="213"/>
      <c r="O423" s="213"/>
      <c r="P423" s="213"/>
      <c r="Q423" s="213"/>
      <c r="R423" s="213"/>
      <c r="S423" s="213"/>
      <c r="T423" s="214"/>
      <c r="AT423" s="215" t="s">
        <v>388</v>
      </c>
      <c r="AU423" s="215" t="s">
        <v>82</v>
      </c>
      <c r="AV423" s="14" t="s">
        <v>82</v>
      </c>
      <c r="AW423" s="14" t="s">
        <v>33</v>
      </c>
      <c r="AX423" s="14" t="s">
        <v>72</v>
      </c>
      <c r="AY423" s="215" t="s">
        <v>380</v>
      </c>
    </row>
    <row r="424" spans="1:65" s="16" customFormat="1" ht="11.25">
      <c r="B424" s="237"/>
      <c r="C424" s="238"/>
      <c r="D424" s="196" t="s">
        <v>388</v>
      </c>
      <c r="E424" s="239" t="s">
        <v>19</v>
      </c>
      <c r="F424" s="240" t="s">
        <v>572</v>
      </c>
      <c r="G424" s="238"/>
      <c r="H424" s="241">
        <v>10.548</v>
      </c>
      <c r="I424" s="242"/>
      <c r="J424" s="238"/>
      <c r="K424" s="238"/>
      <c r="L424" s="243"/>
      <c r="M424" s="244"/>
      <c r="N424" s="245"/>
      <c r="O424" s="245"/>
      <c r="P424" s="245"/>
      <c r="Q424" s="245"/>
      <c r="R424" s="245"/>
      <c r="S424" s="245"/>
      <c r="T424" s="246"/>
      <c r="AT424" s="247" t="s">
        <v>388</v>
      </c>
      <c r="AU424" s="247" t="s">
        <v>82</v>
      </c>
      <c r="AV424" s="16" t="s">
        <v>99</v>
      </c>
      <c r="AW424" s="16" t="s">
        <v>33</v>
      </c>
      <c r="AX424" s="16" t="s">
        <v>72</v>
      </c>
      <c r="AY424" s="247" t="s">
        <v>380</v>
      </c>
    </row>
    <row r="425" spans="1:65" s="13" customFormat="1" ht="11.25">
      <c r="B425" s="194"/>
      <c r="C425" s="195"/>
      <c r="D425" s="196" t="s">
        <v>388</v>
      </c>
      <c r="E425" s="197" t="s">
        <v>19</v>
      </c>
      <c r="F425" s="198" t="s">
        <v>569</v>
      </c>
      <c r="G425" s="195"/>
      <c r="H425" s="197" t="s">
        <v>19</v>
      </c>
      <c r="I425" s="199"/>
      <c r="J425" s="195"/>
      <c r="K425" s="195"/>
      <c r="L425" s="200"/>
      <c r="M425" s="201"/>
      <c r="N425" s="202"/>
      <c r="O425" s="202"/>
      <c r="P425" s="202"/>
      <c r="Q425" s="202"/>
      <c r="R425" s="202"/>
      <c r="S425" s="202"/>
      <c r="T425" s="203"/>
      <c r="AT425" s="204" t="s">
        <v>388</v>
      </c>
      <c r="AU425" s="204" t="s">
        <v>82</v>
      </c>
      <c r="AV425" s="13" t="s">
        <v>79</v>
      </c>
      <c r="AW425" s="13" t="s">
        <v>33</v>
      </c>
      <c r="AX425" s="13" t="s">
        <v>72</v>
      </c>
      <c r="AY425" s="204" t="s">
        <v>380</v>
      </c>
    </row>
    <row r="426" spans="1:65" s="14" customFormat="1" ht="11.25">
      <c r="B426" s="205"/>
      <c r="C426" s="206"/>
      <c r="D426" s="196" t="s">
        <v>388</v>
      </c>
      <c r="E426" s="207" t="s">
        <v>19</v>
      </c>
      <c r="F426" s="208" t="s">
        <v>750</v>
      </c>
      <c r="G426" s="206"/>
      <c r="H426" s="209">
        <v>15.436999999999999</v>
      </c>
      <c r="I426" s="210"/>
      <c r="J426" s="206"/>
      <c r="K426" s="206"/>
      <c r="L426" s="211"/>
      <c r="M426" s="212"/>
      <c r="N426" s="213"/>
      <c r="O426" s="213"/>
      <c r="P426" s="213"/>
      <c r="Q426" s="213"/>
      <c r="R426" s="213"/>
      <c r="S426" s="213"/>
      <c r="T426" s="214"/>
      <c r="AT426" s="215" t="s">
        <v>388</v>
      </c>
      <c r="AU426" s="215" t="s">
        <v>82</v>
      </c>
      <c r="AV426" s="14" t="s">
        <v>82</v>
      </c>
      <c r="AW426" s="14" t="s">
        <v>33</v>
      </c>
      <c r="AX426" s="14" t="s">
        <v>72</v>
      </c>
      <c r="AY426" s="215" t="s">
        <v>380</v>
      </c>
    </row>
    <row r="427" spans="1:65" s="14" customFormat="1" ht="11.25">
      <c r="B427" s="205"/>
      <c r="C427" s="206"/>
      <c r="D427" s="196" t="s">
        <v>388</v>
      </c>
      <c r="E427" s="207" t="s">
        <v>19</v>
      </c>
      <c r="F427" s="208" t="s">
        <v>751</v>
      </c>
      <c r="G427" s="206"/>
      <c r="H427" s="209">
        <v>-3.15</v>
      </c>
      <c r="I427" s="210"/>
      <c r="J427" s="206"/>
      <c r="K427" s="206"/>
      <c r="L427" s="211"/>
      <c r="M427" s="212"/>
      <c r="N427" s="213"/>
      <c r="O427" s="213"/>
      <c r="P427" s="213"/>
      <c r="Q427" s="213"/>
      <c r="R427" s="213"/>
      <c r="S427" s="213"/>
      <c r="T427" s="214"/>
      <c r="AT427" s="215" t="s">
        <v>388</v>
      </c>
      <c r="AU427" s="215" t="s">
        <v>82</v>
      </c>
      <c r="AV427" s="14" t="s">
        <v>82</v>
      </c>
      <c r="AW427" s="14" t="s">
        <v>33</v>
      </c>
      <c r="AX427" s="14" t="s">
        <v>72</v>
      </c>
      <c r="AY427" s="215" t="s">
        <v>380</v>
      </c>
    </row>
    <row r="428" spans="1:65" s="16" customFormat="1" ht="11.25">
      <c r="B428" s="237"/>
      <c r="C428" s="238"/>
      <c r="D428" s="196" t="s">
        <v>388</v>
      </c>
      <c r="E428" s="239" t="s">
        <v>19</v>
      </c>
      <c r="F428" s="240" t="s">
        <v>572</v>
      </c>
      <c r="G428" s="238"/>
      <c r="H428" s="241">
        <v>12.287000000000001</v>
      </c>
      <c r="I428" s="242"/>
      <c r="J428" s="238"/>
      <c r="K428" s="238"/>
      <c r="L428" s="243"/>
      <c r="M428" s="244"/>
      <c r="N428" s="245"/>
      <c r="O428" s="245"/>
      <c r="P428" s="245"/>
      <c r="Q428" s="245"/>
      <c r="R428" s="245"/>
      <c r="S428" s="245"/>
      <c r="T428" s="246"/>
      <c r="AT428" s="247" t="s">
        <v>388</v>
      </c>
      <c r="AU428" s="247" t="s">
        <v>82</v>
      </c>
      <c r="AV428" s="16" t="s">
        <v>99</v>
      </c>
      <c r="AW428" s="16" t="s">
        <v>33</v>
      </c>
      <c r="AX428" s="16" t="s">
        <v>72</v>
      </c>
      <c r="AY428" s="247" t="s">
        <v>380</v>
      </c>
    </row>
    <row r="429" spans="1:65" s="13" customFormat="1" ht="11.25">
      <c r="B429" s="194"/>
      <c r="C429" s="195"/>
      <c r="D429" s="196" t="s">
        <v>388</v>
      </c>
      <c r="E429" s="197" t="s">
        <v>19</v>
      </c>
      <c r="F429" s="198" t="s">
        <v>573</v>
      </c>
      <c r="G429" s="195"/>
      <c r="H429" s="197" t="s">
        <v>19</v>
      </c>
      <c r="I429" s="199"/>
      <c r="J429" s="195"/>
      <c r="K429" s="195"/>
      <c r="L429" s="200"/>
      <c r="M429" s="201"/>
      <c r="N429" s="202"/>
      <c r="O429" s="202"/>
      <c r="P429" s="202"/>
      <c r="Q429" s="202"/>
      <c r="R429" s="202"/>
      <c r="S429" s="202"/>
      <c r="T429" s="203"/>
      <c r="AT429" s="204" t="s">
        <v>388</v>
      </c>
      <c r="AU429" s="204" t="s">
        <v>82</v>
      </c>
      <c r="AV429" s="13" t="s">
        <v>79</v>
      </c>
      <c r="AW429" s="13" t="s">
        <v>33</v>
      </c>
      <c r="AX429" s="13" t="s">
        <v>72</v>
      </c>
      <c r="AY429" s="204" t="s">
        <v>380</v>
      </c>
    </row>
    <row r="430" spans="1:65" s="14" customFormat="1" ht="11.25">
      <c r="B430" s="205"/>
      <c r="C430" s="206"/>
      <c r="D430" s="196" t="s">
        <v>388</v>
      </c>
      <c r="E430" s="207" t="s">
        <v>19</v>
      </c>
      <c r="F430" s="208" t="s">
        <v>752</v>
      </c>
      <c r="G430" s="206"/>
      <c r="H430" s="209">
        <v>16.693999999999999</v>
      </c>
      <c r="I430" s="210"/>
      <c r="J430" s="206"/>
      <c r="K430" s="206"/>
      <c r="L430" s="211"/>
      <c r="M430" s="212"/>
      <c r="N430" s="213"/>
      <c r="O430" s="213"/>
      <c r="P430" s="213"/>
      <c r="Q430" s="213"/>
      <c r="R430" s="213"/>
      <c r="S430" s="213"/>
      <c r="T430" s="214"/>
      <c r="AT430" s="215" t="s">
        <v>388</v>
      </c>
      <c r="AU430" s="215" t="s">
        <v>82</v>
      </c>
      <c r="AV430" s="14" t="s">
        <v>82</v>
      </c>
      <c r="AW430" s="14" t="s">
        <v>33</v>
      </c>
      <c r="AX430" s="14" t="s">
        <v>72</v>
      </c>
      <c r="AY430" s="215" t="s">
        <v>380</v>
      </c>
    </row>
    <row r="431" spans="1:65" s="16" customFormat="1" ht="11.25">
      <c r="B431" s="237"/>
      <c r="C431" s="238"/>
      <c r="D431" s="196" t="s">
        <v>388</v>
      </c>
      <c r="E431" s="239" t="s">
        <v>19</v>
      </c>
      <c r="F431" s="240" t="s">
        <v>572</v>
      </c>
      <c r="G431" s="238"/>
      <c r="H431" s="241">
        <v>16.693999999999999</v>
      </c>
      <c r="I431" s="242"/>
      <c r="J431" s="238"/>
      <c r="K431" s="238"/>
      <c r="L431" s="243"/>
      <c r="M431" s="244"/>
      <c r="N431" s="245"/>
      <c r="O431" s="245"/>
      <c r="P431" s="245"/>
      <c r="Q431" s="245"/>
      <c r="R431" s="245"/>
      <c r="S431" s="245"/>
      <c r="T431" s="246"/>
      <c r="AT431" s="247" t="s">
        <v>388</v>
      </c>
      <c r="AU431" s="247" t="s">
        <v>82</v>
      </c>
      <c r="AV431" s="16" t="s">
        <v>99</v>
      </c>
      <c r="AW431" s="16" t="s">
        <v>33</v>
      </c>
      <c r="AX431" s="16" t="s">
        <v>72</v>
      </c>
      <c r="AY431" s="247" t="s">
        <v>380</v>
      </c>
    </row>
    <row r="432" spans="1:65" s="15" customFormat="1" ht="11.25">
      <c r="B432" s="216"/>
      <c r="C432" s="217"/>
      <c r="D432" s="196" t="s">
        <v>388</v>
      </c>
      <c r="E432" s="218" t="s">
        <v>19</v>
      </c>
      <c r="F432" s="219" t="s">
        <v>419</v>
      </c>
      <c r="G432" s="217"/>
      <c r="H432" s="220">
        <v>39.529000000000003</v>
      </c>
      <c r="I432" s="221"/>
      <c r="J432" s="217"/>
      <c r="K432" s="217"/>
      <c r="L432" s="222"/>
      <c r="M432" s="223"/>
      <c r="N432" s="224"/>
      <c r="O432" s="224"/>
      <c r="P432" s="224"/>
      <c r="Q432" s="224"/>
      <c r="R432" s="224"/>
      <c r="S432" s="224"/>
      <c r="T432" s="225"/>
      <c r="AT432" s="226" t="s">
        <v>388</v>
      </c>
      <c r="AU432" s="226" t="s">
        <v>82</v>
      </c>
      <c r="AV432" s="15" t="s">
        <v>386</v>
      </c>
      <c r="AW432" s="15" t="s">
        <v>33</v>
      </c>
      <c r="AX432" s="15" t="s">
        <v>79</v>
      </c>
      <c r="AY432" s="226" t="s">
        <v>380</v>
      </c>
    </row>
    <row r="433" spans="1:65" s="2" customFormat="1" ht="16.5" customHeight="1">
      <c r="A433" s="36"/>
      <c r="B433" s="37"/>
      <c r="C433" s="181" t="s">
        <v>753</v>
      </c>
      <c r="D433" s="181" t="s">
        <v>382</v>
      </c>
      <c r="E433" s="182" t="s">
        <v>754</v>
      </c>
      <c r="F433" s="183" t="s">
        <v>755</v>
      </c>
      <c r="G433" s="184" t="s">
        <v>385</v>
      </c>
      <c r="H433" s="185">
        <v>18.882000000000001</v>
      </c>
      <c r="I433" s="186"/>
      <c r="J433" s="187">
        <f>ROUND(I433*H433,2)</f>
        <v>0</v>
      </c>
      <c r="K433" s="183" t="s">
        <v>399</v>
      </c>
      <c r="L433" s="41"/>
      <c r="M433" s="188" t="s">
        <v>19</v>
      </c>
      <c r="N433" s="189" t="s">
        <v>43</v>
      </c>
      <c r="O433" s="66"/>
      <c r="P433" s="190">
        <f>O433*H433</f>
        <v>0</v>
      </c>
      <c r="Q433" s="190">
        <v>2.4533109999999998</v>
      </c>
      <c r="R433" s="190">
        <f>Q433*H433</f>
        <v>46.323418302</v>
      </c>
      <c r="S433" s="190">
        <v>0</v>
      </c>
      <c r="T433" s="191">
        <f>S433*H433</f>
        <v>0</v>
      </c>
      <c r="U433" s="36"/>
      <c r="V433" s="36"/>
      <c r="W433" s="36"/>
      <c r="X433" s="36"/>
      <c r="Y433" s="36"/>
      <c r="Z433" s="36"/>
      <c r="AA433" s="36"/>
      <c r="AB433" s="36"/>
      <c r="AC433" s="36"/>
      <c r="AD433" s="36"/>
      <c r="AE433" s="36"/>
      <c r="AR433" s="192" t="s">
        <v>386</v>
      </c>
      <c r="AT433" s="192" t="s">
        <v>382</v>
      </c>
      <c r="AU433" s="192" t="s">
        <v>82</v>
      </c>
      <c r="AY433" s="19" t="s">
        <v>380</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386</v>
      </c>
      <c r="BM433" s="192" t="s">
        <v>756</v>
      </c>
    </row>
    <row r="434" spans="1:65" s="13" customFormat="1" ht="11.25">
      <c r="B434" s="194"/>
      <c r="C434" s="195"/>
      <c r="D434" s="196" t="s">
        <v>388</v>
      </c>
      <c r="E434" s="197" t="s">
        <v>19</v>
      </c>
      <c r="F434" s="198" t="s">
        <v>573</v>
      </c>
      <c r="G434" s="195"/>
      <c r="H434" s="197" t="s">
        <v>19</v>
      </c>
      <c r="I434" s="199"/>
      <c r="J434" s="195"/>
      <c r="K434" s="195"/>
      <c r="L434" s="200"/>
      <c r="M434" s="201"/>
      <c r="N434" s="202"/>
      <c r="O434" s="202"/>
      <c r="P434" s="202"/>
      <c r="Q434" s="202"/>
      <c r="R434" s="202"/>
      <c r="S434" s="202"/>
      <c r="T434" s="203"/>
      <c r="AT434" s="204" t="s">
        <v>388</v>
      </c>
      <c r="AU434" s="204" t="s">
        <v>82</v>
      </c>
      <c r="AV434" s="13" t="s">
        <v>79</v>
      </c>
      <c r="AW434" s="13" t="s">
        <v>33</v>
      </c>
      <c r="AX434" s="13" t="s">
        <v>72</v>
      </c>
      <c r="AY434" s="204" t="s">
        <v>380</v>
      </c>
    </row>
    <row r="435" spans="1:65" s="14" customFormat="1" ht="11.25">
      <c r="B435" s="205"/>
      <c r="C435" s="206"/>
      <c r="D435" s="196" t="s">
        <v>388</v>
      </c>
      <c r="E435" s="207" t="s">
        <v>19</v>
      </c>
      <c r="F435" s="208" t="s">
        <v>757</v>
      </c>
      <c r="G435" s="206"/>
      <c r="H435" s="209">
        <v>0.48599999999999999</v>
      </c>
      <c r="I435" s="210"/>
      <c r="J435" s="206"/>
      <c r="K435" s="206"/>
      <c r="L435" s="211"/>
      <c r="M435" s="212"/>
      <c r="N435" s="213"/>
      <c r="O435" s="213"/>
      <c r="P435" s="213"/>
      <c r="Q435" s="213"/>
      <c r="R435" s="213"/>
      <c r="S435" s="213"/>
      <c r="T435" s="214"/>
      <c r="AT435" s="215" t="s">
        <v>388</v>
      </c>
      <c r="AU435" s="215" t="s">
        <v>82</v>
      </c>
      <c r="AV435" s="14" t="s">
        <v>82</v>
      </c>
      <c r="AW435" s="14" t="s">
        <v>33</v>
      </c>
      <c r="AX435" s="14" t="s">
        <v>72</v>
      </c>
      <c r="AY435" s="215" t="s">
        <v>380</v>
      </c>
    </row>
    <row r="436" spans="1:65" s="14" customFormat="1" ht="11.25">
      <c r="B436" s="205"/>
      <c r="C436" s="206"/>
      <c r="D436" s="196" t="s">
        <v>388</v>
      </c>
      <c r="E436" s="207" t="s">
        <v>19</v>
      </c>
      <c r="F436" s="208" t="s">
        <v>758</v>
      </c>
      <c r="G436" s="206"/>
      <c r="H436" s="209">
        <v>5.9160000000000004</v>
      </c>
      <c r="I436" s="210"/>
      <c r="J436" s="206"/>
      <c r="K436" s="206"/>
      <c r="L436" s="211"/>
      <c r="M436" s="212"/>
      <c r="N436" s="213"/>
      <c r="O436" s="213"/>
      <c r="P436" s="213"/>
      <c r="Q436" s="213"/>
      <c r="R436" s="213"/>
      <c r="S436" s="213"/>
      <c r="T436" s="214"/>
      <c r="AT436" s="215" t="s">
        <v>388</v>
      </c>
      <c r="AU436" s="215" t="s">
        <v>82</v>
      </c>
      <c r="AV436" s="14" t="s">
        <v>82</v>
      </c>
      <c r="AW436" s="14" t="s">
        <v>33</v>
      </c>
      <c r="AX436" s="14" t="s">
        <v>72</v>
      </c>
      <c r="AY436" s="215" t="s">
        <v>380</v>
      </c>
    </row>
    <row r="437" spans="1:65" s="16" customFormat="1" ht="11.25">
      <c r="B437" s="237"/>
      <c r="C437" s="238"/>
      <c r="D437" s="196" t="s">
        <v>388</v>
      </c>
      <c r="E437" s="239" t="s">
        <v>19</v>
      </c>
      <c r="F437" s="240" t="s">
        <v>572</v>
      </c>
      <c r="G437" s="238"/>
      <c r="H437" s="241">
        <v>6.4020000000000001</v>
      </c>
      <c r="I437" s="242"/>
      <c r="J437" s="238"/>
      <c r="K437" s="238"/>
      <c r="L437" s="243"/>
      <c r="M437" s="244"/>
      <c r="N437" s="245"/>
      <c r="O437" s="245"/>
      <c r="P437" s="245"/>
      <c r="Q437" s="245"/>
      <c r="R437" s="245"/>
      <c r="S437" s="245"/>
      <c r="T437" s="246"/>
      <c r="AT437" s="247" t="s">
        <v>388</v>
      </c>
      <c r="AU437" s="247" t="s">
        <v>82</v>
      </c>
      <c r="AV437" s="16" t="s">
        <v>99</v>
      </c>
      <c r="AW437" s="16" t="s">
        <v>33</v>
      </c>
      <c r="AX437" s="16" t="s">
        <v>72</v>
      </c>
      <c r="AY437" s="247" t="s">
        <v>380</v>
      </c>
    </row>
    <row r="438" spans="1:65" s="13" customFormat="1" ht="11.25">
      <c r="B438" s="194"/>
      <c r="C438" s="195"/>
      <c r="D438" s="196" t="s">
        <v>388</v>
      </c>
      <c r="E438" s="197" t="s">
        <v>19</v>
      </c>
      <c r="F438" s="198" t="s">
        <v>576</v>
      </c>
      <c r="G438" s="195"/>
      <c r="H438" s="197" t="s">
        <v>19</v>
      </c>
      <c r="I438" s="199"/>
      <c r="J438" s="195"/>
      <c r="K438" s="195"/>
      <c r="L438" s="200"/>
      <c r="M438" s="201"/>
      <c r="N438" s="202"/>
      <c r="O438" s="202"/>
      <c r="P438" s="202"/>
      <c r="Q438" s="202"/>
      <c r="R438" s="202"/>
      <c r="S438" s="202"/>
      <c r="T438" s="203"/>
      <c r="AT438" s="204" t="s">
        <v>388</v>
      </c>
      <c r="AU438" s="204" t="s">
        <v>82</v>
      </c>
      <c r="AV438" s="13" t="s">
        <v>79</v>
      </c>
      <c r="AW438" s="13" t="s">
        <v>33</v>
      </c>
      <c r="AX438" s="13" t="s">
        <v>72</v>
      </c>
      <c r="AY438" s="204" t="s">
        <v>380</v>
      </c>
    </row>
    <row r="439" spans="1:65" s="14" customFormat="1" ht="11.25">
      <c r="B439" s="205"/>
      <c r="C439" s="206"/>
      <c r="D439" s="196" t="s">
        <v>388</v>
      </c>
      <c r="E439" s="207" t="s">
        <v>19</v>
      </c>
      <c r="F439" s="208" t="s">
        <v>759</v>
      </c>
      <c r="G439" s="206"/>
      <c r="H439" s="209">
        <v>12.48</v>
      </c>
      <c r="I439" s="210"/>
      <c r="J439" s="206"/>
      <c r="K439" s="206"/>
      <c r="L439" s="211"/>
      <c r="M439" s="212"/>
      <c r="N439" s="213"/>
      <c r="O439" s="213"/>
      <c r="P439" s="213"/>
      <c r="Q439" s="213"/>
      <c r="R439" s="213"/>
      <c r="S439" s="213"/>
      <c r="T439" s="214"/>
      <c r="AT439" s="215" t="s">
        <v>388</v>
      </c>
      <c r="AU439" s="215" t="s">
        <v>82</v>
      </c>
      <c r="AV439" s="14" t="s">
        <v>82</v>
      </c>
      <c r="AW439" s="14" t="s">
        <v>33</v>
      </c>
      <c r="AX439" s="14" t="s">
        <v>72</v>
      </c>
      <c r="AY439" s="215" t="s">
        <v>380</v>
      </c>
    </row>
    <row r="440" spans="1:65" s="16" customFormat="1" ht="11.25">
      <c r="B440" s="237"/>
      <c r="C440" s="238"/>
      <c r="D440" s="196" t="s">
        <v>388</v>
      </c>
      <c r="E440" s="239" t="s">
        <v>19</v>
      </c>
      <c r="F440" s="240" t="s">
        <v>572</v>
      </c>
      <c r="G440" s="238"/>
      <c r="H440" s="241">
        <v>12.48</v>
      </c>
      <c r="I440" s="242"/>
      <c r="J440" s="238"/>
      <c r="K440" s="238"/>
      <c r="L440" s="243"/>
      <c r="M440" s="244"/>
      <c r="N440" s="245"/>
      <c r="O440" s="245"/>
      <c r="P440" s="245"/>
      <c r="Q440" s="245"/>
      <c r="R440" s="245"/>
      <c r="S440" s="245"/>
      <c r="T440" s="246"/>
      <c r="AT440" s="247" t="s">
        <v>388</v>
      </c>
      <c r="AU440" s="247" t="s">
        <v>82</v>
      </c>
      <c r="AV440" s="16" t="s">
        <v>99</v>
      </c>
      <c r="AW440" s="16" t="s">
        <v>33</v>
      </c>
      <c r="AX440" s="16" t="s">
        <v>72</v>
      </c>
      <c r="AY440" s="247" t="s">
        <v>380</v>
      </c>
    </row>
    <row r="441" spans="1:65" s="15" customFormat="1" ht="11.25">
      <c r="B441" s="216"/>
      <c r="C441" s="217"/>
      <c r="D441" s="196" t="s">
        <v>388</v>
      </c>
      <c r="E441" s="218" t="s">
        <v>19</v>
      </c>
      <c r="F441" s="219" t="s">
        <v>419</v>
      </c>
      <c r="G441" s="217"/>
      <c r="H441" s="220">
        <v>18.882000000000001</v>
      </c>
      <c r="I441" s="221"/>
      <c r="J441" s="217"/>
      <c r="K441" s="217"/>
      <c r="L441" s="222"/>
      <c r="M441" s="223"/>
      <c r="N441" s="224"/>
      <c r="O441" s="224"/>
      <c r="P441" s="224"/>
      <c r="Q441" s="224"/>
      <c r="R441" s="224"/>
      <c r="S441" s="224"/>
      <c r="T441" s="225"/>
      <c r="AT441" s="226" t="s">
        <v>388</v>
      </c>
      <c r="AU441" s="226" t="s">
        <v>82</v>
      </c>
      <c r="AV441" s="15" t="s">
        <v>386</v>
      </c>
      <c r="AW441" s="15" t="s">
        <v>33</v>
      </c>
      <c r="AX441" s="15" t="s">
        <v>79</v>
      </c>
      <c r="AY441" s="226" t="s">
        <v>380</v>
      </c>
    </row>
    <row r="442" spans="1:65" s="2" customFormat="1" ht="16.5" customHeight="1">
      <c r="A442" s="36"/>
      <c r="B442" s="37"/>
      <c r="C442" s="181" t="s">
        <v>760</v>
      </c>
      <c r="D442" s="181" t="s">
        <v>382</v>
      </c>
      <c r="E442" s="182" t="s">
        <v>761</v>
      </c>
      <c r="F442" s="183" t="s">
        <v>762</v>
      </c>
      <c r="G442" s="184" t="s">
        <v>398</v>
      </c>
      <c r="H442" s="185">
        <v>232.04</v>
      </c>
      <c r="I442" s="186"/>
      <c r="J442" s="187">
        <f>ROUND(I442*H442,2)</f>
        <v>0</v>
      </c>
      <c r="K442" s="183" t="s">
        <v>399</v>
      </c>
      <c r="L442" s="41"/>
      <c r="M442" s="188" t="s">
        <v>19</v>
      </c>
      <c r="N442" s="189" t="s">
        <v>43</v>
      </c>
      <c r="O442" s="66"/>
      <c r="P442" s="190">
        <f>O442*H442</f>
        <v>0</v>
      </c>
      <c r="Q442" s="190">
        <v>1.4218499999999999E-3</v>
      </c>
      <c r="R442" s="190">
        <f>Q442*H442</f>
        <v>0.32992607399999996</v>
      </c>
      <c r="S442" s="190">
        <v>0</v>
      </c>
      <c r="T442" s="191">
        <f>S442*H442</f>
        <v>0</v>
      </c>
      <c r="U442" s="36"/>
      <c r="V442" s="36"/>
      <c r="W442" s="36"/>
      <c r="X442" s="36"/>
      <c r="Y442" s="36"/>
      <c r="Z442" s="36"/>
      <c r="AA442" s="36"/>
      <c r="AB442" s="36"/>
      <c r="AC442" s="36"/>
      <c r="AD442" s="36"/>
      <c r="AE442" s="36"/>
      <c r="AR442" s="192" t="s">
        <v>386</v>
      </c>
      <c r="AT442" s="192" t="s">
        <v>382</v>
      </c>
      <c r="AU442" s="192" t="s">
        <v>82</v>
      </c>
      <c r="AY442" s="19" t="s">
        <v>380</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386</v>
      </c>
      <c r="BM442" s="192" t="s">
        <v>763</v>
      </c>
    </row>
    <row r="443" spans="1:65" s="13" customFormat="1" ht="11.25">
      <c r="B443" s="194"/>
      <c r="C443" s="195"/>
      <c r="D443" s="196" t="s">
        <v>388</v>
      </c>
      <c r="E443" s="197" t="s">
        <v>19</v>
      </c>
      <c r="F443" s="198" t="s">
        <v>573</v>
      </c>
      <c r="G443" s="195"/>
      <c r="H443" s="197" t="s">
        <v>19</v>
      </c>
      <c r="I443" s="199"/>
      <c r="J443" s="195"/>
      <c r="K443" s="195"/>
      <c r="L443" s="200"/>
      <c r="M443" s="201"/>
      <c r="N443" s="202"/>
      <c r="O443" s="202"/>
      <c r="P443" s="202"/>
      <c r="Q443" s="202"/>
      <c r="R443" s="202"/>
      <c r="S443" s="202"/>
      <c r="T443" s="203"/>
      <c r="AT443" s="204" t="s">
        <v>388</v>
      </c>
      <c r="AU443" s="204" t="s">
        <v>82</v>
      </c>
      <c r="AV443" s="13" t="s">
        <v>79</v>
      </c>
      <c r="AW443" s="13" t="s">
        <v>33</v>
      </c>
      <c r="AX443" s="13" t="s">
        <v>72</v>
      </c>
      <c r="AY443" s="204" t="s">
        <v>380</v>
      </c>
    </row>
    <row r="444" spans="1:65" s="14" customFormat="1" ht="11.25">
      <c r="B444" s="205"/>
      <c r="C444" s="206"/>
      <c r="D444" s="196" t="s">
        <v>388</v>
      </c>
      <c r="E444" s="207" t="s">
        <v>19</v>
      </c>
      <c r="F444" s="208" t="s">
        <v>764</v>
      </c>
      <c r="G444" s="206"/>
      <c r="H444" s="209">
        <v>6.48</v>
      </c>
      <c r="I444" s="210"/>
      <c r="J444" s="206"/>
      <c r="K444" s="206"/>
      <c r="L444" s="211"/>
      <c r="M444" s="212"/>
      <c r="N444" s="213"/>
      <c r="O444" s="213"/>
      <c r="P444" s="213"/>
      <c r="Q444" s="213"/>
      <c r="R444" s="213"/>
      <c r="S444" s="213"/>
      <c r="T444" s="214"/>
      <c r="AT444" s="215" t="s">
        <v>388</v>
      </c>
      <c r="AU444" s="215" t="s">
        <v>82</v>
      </c>
      <c r="AV444" s="14" t="s">
        <v>82</v>
      </c>
      <c r="AW444" s="14" t="s">
        <v>33</v>
      </c>
      <c r="AX444" s="14" t="s">
        <v>72</v>
      </c>
      <c r="AY444" s="215" t="s">
        <v>380</v>
      </c>
    </row>
    <row r="445" spans="1:65" s="14" customFormat="1" ht="11.25">
      <c r="B445" s="205"/>
      <c r="C445" s="206"/>
      <c r="D445" s="196" t="s">
        <v>388</v>
      </c>
      <c r="E445" s="207" t="s">
        <v>19</v>
      </c>
      <c r="F445" s="208" t="s">
        <v>765</v>
      </c>
      <c r="G445" s="206"/>
      <c r="H445" s="209">
        <v>59.16</v>
      </c>
      <c r="I445" s="210"/>
      <c r="J445" s="206"/>
      <c r="K445" s="206"/>
      <c r="L445" s="211"/>
      <c r="M445" s="212"/>
      <c r="N445" s="213"/>
      <c r="O445" s="213"/>
      <c r="P445" s="213"/>
      <c r="Q445" s="213"/>
      <c r="R445" s="213"/>
      <c r="S445" s="213"/>
      <c r="T445" s="214"/>
      <c r="AT445" s="215" t="s">
        <v>388</v>
      </c>
      <c r="AU445" s="215" t="s">
        <v>82</v>
      </c>
      <c r="AV445" s="14" t="s">
        <v>82</v>
      </c>
      <c r="AW445" s="14" t="s">
        <v>33</v>
      </c>
      <c r="AX445" s="14" t="s">
        <v>72</v>
      </c>
      <c r="AY445" s="215" t="s">
        <v>380</v>
      </c>
    </row>
    <row r="446" spans="1:65" s="16" customFormat="1" ht="11.25">
      <c r="B446" s="237"/>
      <c r="C446" s="238"/>
      <c r="D446" s="196" t="s">
        <v>388</v>
      </c>
      <c r="E446" s="239" t="s">
        <v>19</v>
      </c>
      <c r="F446" s="240" t="s">
        <v>572</v>
      </c>
      <c r="G446" s="238"/>
      <c r="H446" s="241">
        <v>65.64</v>
      </c>
      <c r="I446" s="242"/>
      <c r="J446" s="238"/>
      <c r="K446" s="238"/>
      <c r="L446" s="243"/>
      <c r="M446" s="244"/>
      <c r="N446" s="245"/>
      <c r="O446" s="245"/>
      <c r="P446" s="245"/>
      <c r="Q446" s="245"/>
      <c r="R446" s="245"/>
      <c r="S446" s="245"/>
      <c r="T446" s="246"/>
      <c r="AT446" s="247" t="s">
        <v>388</v>
      </c>
      <c r="AU446" s="247" t="s">
        <v>82</v>
      </c>
      <c r="AV446" s="16" t="s">
        <v>99</v>
      </c>
      <c r="AW446" s="16" t="s">
        <v>33</v>
      </c>
      <c r="AX446" s="16" t="s">
        <v>72</v>
      </c>
      <c r="AY446" s="247" t="s">
        <v>380</v>
      </c>
    </row>
    <row r="447" spans="1:65" s="13" customFormat="1" ht="11.25">
      <c r="B447" s="194"/>
      <c r="C447" s="195"/>
      <c r="D447" s="196" t="s">
        <v>388</v>
      </c>
      <c r="E447" s="197" t="s">
        <v>19</v>
      </c>
      <c r="F447" s="198" t="s">
        <v>576</v>
      </c>
      <c r="G447" s="195"/>
      <c r="H447" s="197" t="s">
        <v>19</v>
      </c>
      <c r="I447" s="199"/>
      <c r="J447" s="195"/>
      <c r="K447" s="195"/>
      <c r="L447" s="200"/>
      <c r="M447" s="201"/>
      <c r="N447" s="202"/>
      <c r="O447" s="202"/>
      <c r="P447" s="202"/>
      <c r="Q447" s="202"/>
      <c r="R447" s="202"/>
      <c r="S447" s="202"/>
      <c r="T447" s="203"/>
      <c r="AT447" s="204" t="s">
        <v>388</v>
      </c>
      <c r="AU447" s="204" t="s">
        <v>82</v>
      </c>
      <c r="AV447" s="13" t="s">
        <v>79</v>
      </c>
      <c r="AW447" s="13" t="s">
        <v>33</v>
      </c>
      <c r="AX447" s="13" t="s">
        <v>72</v>
      </c>
      <c r="AY447" s="204" t="s">
        <v>380</v>
      </c>
    </row>
    <row r="448" spans="1:65" s="14" customFormat="1" ht="11.25">
      <c r="B448" s="205"/>
      <c r="C448" s="206"/>
      <c r="D448" s="196" t="s">
        <v>388</v>
      </c>
      <c r="E448" s="207" t="s">
        <v>19</v>
      </c>
      <c r="F448" s="208" t="s">
        <v>766</v>
      </c>
      <c r="G448" s="206"/>
      <c r="H448" s="209">
        <v>166.4</v>
      </c>
      <c r="I448" s="210"/>
      <c r="J448" s="206"/>
      <c r="K448" s="206"/>
      <c r="L448" s="211"/>
      <c r="M448" s="212"/>
      <c r="N448" s="213"/>
      <c r="O448" s="213"/>
      <c r="P448" s="213"/>
      <c r="Q448" s="213"/>
      <c r="R448" s="213"/>
      <c r="S448" s="213"/>
      <c r="T448" s="214"/>
      <c r="AT448" s="215" t="s">
        <v>388</v>
      </c>
      <c r="AU448" s="215" t="s">
        <v>82</v>
      </c>
      <c r="AV448" s="14" t="s">
        <v>82</v>
      </c>
      <c r="AW448" s="14" t="s">
        <v>33</v>
      </c>
      <c r="AX448" s="14" t="s">
        <v>72</v>
      </c>
      <c r="AY448" s="215" t="s">
        <v>380</v>
      </c>
    </row>
    <row r="449" spans="1:65" s="16" customFormat="1" ht="11.25">
      <c r="B449" s="237"/>
      <c r="C449" s="238"/>
      <c r="D449" s="196" t="s">
        <v>388</v>
      </c>
      <c r="E449" s="239" t="s">
        <v>19</v>
      </c>
      <c r="F449" s="240" t="s">
        <v>572</v>
      </c>
      <c r="G449" s="238"/>
      <c r="H449" s="241">
        <v>166.4</v>
      </c>
      <c r="I449" s="242"/>
      <c r="J449" s="238"/>
      <c r="K449" s="238"/>
      <c r="L449" s="243"/>
      <c r="M449" s="244"/>
      <c r="N449" s="245"/>
      <c r="O449" s="245"/>
      <c r="P449" s="245"/>
      <c r="Q449" s="245"/>
      <c r="R449" s="245"/>
      <c r="S449" s="245"/>
      <c r="T449" s="246"/>
      <c r="AT449" s="247" t="s">
        <v>388</v>
      </c>
      <c r="AU449" s="247" t="s">
        <v>82</v>
      </c>
      <c r="AV449" s="16" t="s">
        <v>99</v>
      </c>
      <c r="AW449" s="16" t="s">
        <v>33</v>
      </c>
      <c r="AX449" s="16" t="s">
        <v>72</v>
      </c>
      <c r="AY449" s="247" t="s">
        <v>380</v>
      </c>
    </row>
    <row r="450" spans="1:65" s="15" customFormat="1" ht="11.25">
      <c r="B450" s="216"/>
      <c r="C450" s="217"/>
      <c r="D450" s="196" t="s">
        <v>388</v>
      </c>
      <c r="E450" s="218" t="s">
        <v>19</v>
      </c>
      <c r="F450" s="219" t="s">
        <v>419</v>
      </c>
      <c r="G450" s="217"/>
      <c r="H450" s="220">
        <v>232.04</v>
      </c>
      <c r="I450" s="221"/>
      <c r="J450" s="217"/>
      <c r="K450" s="217"/>
      <c r="L450" s="222"/>
      <c r="M450" s="223"/>
      <c r="N450" s="224"/>
      <c r="O450" s="224"/>
      <c r="P450" s="224"/>
      <c r="Q450" s="224"/>
      <c r="R450" s="224"/>
      <c r="S450" s="224"/>
      <c r="T450" s="225"/>
      <c r="AT450" s="226" t="s">
        <v>388</v>
      </c>
      <c r="AU450" s="226" t="s">
        <v>82</v>
      </c>
      <c r="AV450" s="15" t="s">
        <v>386</v>
      </c>
      <c r="AW450" s="15" t="s">
        <v>33</v>
      </c>
      <c r="AX450" s="15" t="s">
        <v>79</v>
      </c>
      <c r="AY450" s="226" t="s">
        <v>380</v>
      </c>
    </row>
    <row r="451" spans="1:65" s="2" customFormat="1" ht="16.5" customHeight="1">
      <c r="A451" s="36"/>
      <c r="B451" s="37"/>
      <c r="C451" s="181" t="s">
        <v>767</v>
      </c>
      <c r="D451" s="181" t="s">
        <v>382</v>
      </c>
      <c r="E451" s="182" t="s">
        <v>768</v>
      </c>
      <c r="F451" s="183" t="s">
        <v>769</v>
      </c>
      <c r="G451" s="184" t="s">
        <v>398</v>
      </c>
      <c r="H451" s="185">
        <v>232.04</v>
      </c>
      <c r="I451" s="186"/>
      <c r="J451" s="187">
        <f>ROUND(I451*H451,2)</f>
        <v>0</v>
      </c>
      <c r="K451" s="183" t="s">
        <v>399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386</v>
      </c>
      <c r="AT451" s="192" t="s">
        <v>382</v>
      </c>
      <c r="AU451" s="192" t="s">
        <v>82</v>
      </c>
      <c r="AY451" s="19" t="s">
        <v>380</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386</v>
      </c>
      <c r="BM451" s="192" t="s">
        <v>770</v>
      </c>
    </row>
    <row r="452" spans="1:65" s="2" customFormat="1" ht="24.2" customHeight="1">
      <c r="A452" s="36"/>
      <c r="B452" s="37"/>
      <c r="C452" s="181" t="s">
        <v>771</v>
      </c>
      <c r="D452" s="181" t="s">
        <v>382</v>
      </c>
      <c r="E452" s="182" t="s">
        <v>772</v>
      </c>
      <c r="F452" s="183" t="s">
        <v>773</v>
      </c>
      <c r="G452" s="184" t="s">
        <v>437</v>
      </c>
      <c r="H452" s="185">
        <v>2.266</v>
      </c>
      <c r="I452" s="186"/>
      <c r="J452" s="187">
        <f>ROUND(I452*H452,2)</f>
        <v>0</v>
      </c>
      <c r="K452" s="183" t="s">
        <v>399</v>
      </c>
      <c r="L452" s="41"/>
      <c r="M452" s="188" t="s">
        <v>19</v>
      </c>
      <c r="N452" s="189" t="s">
        <v>43</v>
      </c>
      <c r="O452" s="66"/>
      <c r="P452" s="190">
        <f>O452*H452</f>
        <v>0</v>
      </c>
      <c r="Q452" s="190">
        <v>1.0503671000000001</v>
      </c>
      <c r="R452" s="190">
        <f>Q452*H452</f>
        <v>2.3801318486</v>
      </c>
      <c r="S452" s="190">
        <v>0</v>
      </c>
      <c r="T452" s="191">
        <f>S452*H452</f>
        <v>0</v>
      </c>
      <c r="U452" s="36"/>
      <c r="V452" s="36"/>
      <c r="W452" s="36"/>
      <c r="X452" s="36"/>
      <c r="Y452" s="36"/>
      <c r="Z452" s="36"/>
      <c r="AA452" s="36"/>
      <c r="AB452" s="36"/>
      <c r="AC452" s="36"/>
      <c r="AD452" s="36"/>
      <c r="AE452" s="36"/>
      <c r="AR452" s="192" t="s">
        <v>386</v>
      </c>
      <c r="AT452" s="192" t="s">
        <v>382</v>
      </c>
      <c r="AU452" s="192" t="s">
        <v>82</v>
      </c>
      <c r="AY452" s="19" t="s">
        <v>380</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386</v>
      </c>
      <c r="BM452" s="192" t="s">
        <v>774</v>
      </c>
    </row>
    <row r="453" spans="1:65" s="13" customFormat="1" ht="11.25">
      <c r="B453" s="194"/>
      <c r="C453" s="195"/>
      <c r="D453" s="196" t="s">
        <v>388</v>
      </c>
      <c r="E453" s="197" t="s">
        <v>19</v>
      </c>
      <c r="F453" s="198" t="s">
        <v>493</v>
      </c>
      <c r="G453" s="195"/>
      <c r="H453" s="197" t="s">
        <v>19</v>
      </c>
      <c r="I453" s="199"/>
      <c r="J453" s="195"/>
      <c r="K453" s="195"/>
      <c r="L453" s="200"/>
      <c r="M453" s="201"/>
      <c r="N453" s="202"/>
      <c r="O453" s="202"/>
      <c r="P453" s="202"/>
      <c r="Q453" s="202"/>
      <c r="R453" s="202"/>
      <c r="S453" s="202"/>
      <c r="T453" s="203"/>
      <c r="AT453" s="204" t="s">
        <v>388</v>
      </c>
      <c r="AU453" s="204" t="s">
        <v>82</v>
      </c>
      <c r="AV453" s="13" t="s">
        <v>79</v>
      </c>
      <c r="AW453" s="13" t="s">
        <v>33</v>
      </c>
      <c r="AX453" s="13" t="s">
        <v>72</v>
      </c>
      <c r="AY453" s="204" t="s">
        <v>380</v>
      </c>
    </row>
    <row r="454" spans="1:65" s="14" customFormat="1" ht="11.25">
      <c r="B454" s="205"/>
      <c r="C454" s="206"/>
      <c r="D454" s="196" t="s">
        <v>388</v>
      </c>
      <c r="E454" s="207" t="s">
        <v>19</v>
      </c>
      <c r="F454" s="208" t="s">
        <v>775</v>
      </c>
      <c r="G454" s="206"/>
      <c r="H454" s="209">
        <v>2.266</v>
      </c>
      <c r="I454" s="210"/>
      <c r="J454" s="206"/>
      <c r="K454" s="206"/>
      <c r="L454" s="211"/>
      <c r="M454" s="212"/>
      <c r="N454" s="213"/>
      <c r="O454" s="213"/>
      <c r="P454" s="213"/>
      <c r="Q454" s="213"/>
      <c r="R454" s="213"/>
      <c r="S454" s="213"/>
      <c r="T454" s="214"/>
      <c r="AT454" s="215" t="s">
        <v>388</v>
      </c>
      <c r="AU454" s="215" t="s">
        <v>82</v>
      </c>
      <c r="AV454" s="14" t="s">
        <v>82</v>
      </c>
      <c r="AW454" s="14" t="s">
        <v>33</v>
      </c>
      <c r="AX454" s="14" t="s">
        <v>79</v>
      </c>
      <c r="AY454" s="215" t="s">
        <v>380</v>
      </c>
    </row>
    <row r="455" spans="1:65" s="2" customFormat="1" ht="24.2" customHeight="1">
      <c r="A455" s="36"/>
      <c r="B455" s="37"/>
      <c r="C455" s="181" t="s">
        <v>776</v>
      </c>
      <c r="D455" s="181" t="s">
        <v>382</v>
      </c>
      <c r="E455" s="182" t="s">
        <v>777</v>
      </c>
      <c r="F455" s="183" t="s">
        <v>778</v>
      </c>
      <c r="G455" s="184" t="s">
        <v>398</v>
      </c>
      <c r="H455" s="185">
        <v>3.96</v>
      </c>
      <c r="I455" s="186"/>
      <c r="J455" s="187">
        <f>ROUND(I455*H455,2)</f>
        <v>0</v>
      </c>
      <c r="K455" s="183" t="s">
        <v>399</v>
      </c>
      <c r="L455" s="41"/>
      <c r="M455" s="188" t="s">
        <v>19</v>
      </c>
      <c r="N455" s="189" t="s">
        <v>43</v>
      </c>
      <c r="O455" s="66"/>
      <c r="P455" s="190">
        <f>O455*H455</f>
        <v>0</v>
      </c>
      <c r="Q455" s="190">
        <v>7.1970000000000006E-2</v>
      </c>
      <c r="R455" s="190">
        <f>Q455*H455</f>
        <v>0.28500120000000001</v>
      </c>
      <c r="S455" s="190">
        <v>0</v>
      </c>
      <c r="T455" s="191">
        <f>S455*H455</f>
        <v>0</v>
      </c>
      <c r="U455" s="36"/>
      <c r="V455" s="36"/>
      <c r="W455" s="36"/>
      <c r="X455" s="36"/>
      <c r="Y455" s="36"/>
      <c r="Z455" s="36"/>
      <c r="AA455" s="36"/>
      <c r="AB455" s="36"/>
      <c r="AC455" s="36"/>
      <c r="AD455" s="36"/>
      <c r="AE455" s="36"/>
      <c r="AR455" s="192" t="s">
        <v>386</v>
      </c>
      <c r="AT455" s="192" t="s">
        <v>382</v>
      </c>
      <c r="AU455" s="192" t="s">
        <v>82</v>
      </c>
      <c r="AY455" s="19" t="s">
        <v>380</v>
      </c>
      <c r="BE455" s="193">
        <f>IF(N455="základní",J455,0)</f>
        <v>0</v>
      </c>
      <c r="BF455" s="193">
        <f>IF(N455="snížená",J455,0)</f>
        <v>0</v>
      </c>
      <c r="BG455" s="193">
        <f>IF(N455="zákl. přenesená",J455,0)</f>
        <v>0</v>
      </c>
      <c r="BH455" s="193">
        <f>IF(N455="sníž. přenesená",J455,0)</f>
        <v>0</v>
      </c>
      <c r="BI455" s="193">
        <f>IF(N455="nulová",J455,0)</f>
        <v>0</v>
      </c>
      <c r="BJ455" s="19" t="s">
        <v>79</v>
      </c>
      <c r="BK455" s="193">
        <f>ROUND(I455*H455,2)</f>
        <v>0</v>
      </c>
      <c r="BL455" s="19" t="s">
        <v>386</v>
      </c>
      <c r="BM455" s="192" t="s">
        <v>779</v>
      </c>
    </row>
    <row r="456" spans="1:65" s="13" customFormat="1" ht="11.25">
      <c r="B456" s="194"/>
      <c r="C456" s="195"/>
      <c r="D456" s="196" t="s">
        <v>388</v>
      </c>
      <c r="E456" s="197" t="s">
        <v>19</v>
      </c>
      <c r="F456" s="198" t="s">
        <v>583</v>
      </c>
      <c r="G456" s="195"/>
      <c r="H456" s="197" t="s">
        <v>19</v>
      </c>
      <c r="I456" s="199"/>
      <c r="J456" s="195"/>
      <c r="K456" s="195"/>
      <c r="L456" s="200"/>
      <c r="M456" s="201"/>
      <c r="N456" s="202"/>
      <c r="O456" s="202"/>
      <c r="P456" s="202"/>
      <c r="Q456" s="202"/>
      <c r="R456" s="202"/>
      <c r="S456" s="202"/>
      <c r="T456" s="203"/>
      <c r="AT456" s="204" t="s">
        <v>388</v>
      </c>
      <c r="AU456" s="204" t="s">
        <v>82</v>
      </c>
      <c r="AV456" s="13" t="s">
        <v>79</v>
      </c>
      <c r="AW456" s="13" t="s">
        <v>33</v>
      </c>
      <c r="AX456" s="13" t="s">
        <v>72</v>
      </c>
      <c r="AY456" s="204" t="s">
        <v>380</v>
      </c>
    </row>
    <row r="457" spans="1:65" s="14" customFormat="1" ht="11.25">
      <c r="B457" s="205"/>
      <c r="C457" s="206"/>
      <c r="D457" s="196" t="s">
        <v>388</v>
      </c>
      <c r="E457" s="207" t="s">
        <v>19</v>
      </c>
      <c r="F457" s="208" t="s">
        <v>780</v>
      </c>
      <c r="G457" s="206"/>
      <c r="H457" s="209">
        <v>1.8</v>
      </c>
      <c r="I457" s="210"/>
      <c r="J457" s="206"/>
      <c r="K457" s="206"/>
      <c r="L457" s="211"/>
      <c r="M457" s="212"/>
      <c r="N457" s="213"/>
      <c r="O457" s="213"/>
      <c r="P457" s="213"/>
      <c r="Q457" s="213"/>
      <c r="R457" s="213"/>
      <c r="S457" s="213"/>
      <c r="T457" s="214"/>
      <c r="AT457" s="215" t="s">
        <v>388</v>
      </c>
      <c r="AU457" s="215" t="s">
        <v>82</v>
      </c>
      <c r="AV457" s="14" t="s">
        <v>82</v>
      </c>
      <c r="AW457" s="14" t="s">
        <v>33</v>
      </c>
      <c r="AX457" s="14" t="s">
        <v>72</v>
      </c>
      <c r="AY457" s="215" t="s">
        <v>380</v>
      </c>
    </row>
    <row r="458" spans="1:65" s="13" customFormat="1" ht="11.25">
      <c r="B458" s="194"/>
      <c r="C458" s="195"/>
      <c r="D458" s="196" t="s">
        <v>388</v>
      </c>
      <c r="E458" s="197" t="s">
        <v>19</v>
      </c>
      <c r="F458" s="198" t="s">
        <v>569</v>
      </c>
      <c r="G458" s="195"/>
      <c r="H458" s="197" t="s">
        <v>19</v>
      </c>
      <c r="I458" s="199"/>
      <c r="J458" s="195"/>
      <c r="K458" s="195"/>
      <c r="L458" s="200"/>
      <c r="M458" s="201"/>
      <c r="N458" s="202"/>
      <c r="O458" s="202"/>
      <c r="P458" s="202"/>
      <c r="Q458" s="202"/>
      <c r="R458" s="202"/>
      <c r="S458" s="202"/>
      <c r="T458" s="203"/>
      <c r="AT458" s="204" t="s">
        <v>388</v>
      </c>
      <c r="AU458" s="204" t="s">
        <v>82</v>
      </c>
      <c r="AV458" s="13" t="s">
        <v>79</v>
      </c>
      <c r="AW458" s="13" t="s">
        <v>33</v>
      </c>
      <c r="AX458" s="13" t="s">
        <v>72</v>
      </c>
      <c r="AY458" s="204" t="s">
        <v>380</v>
      </c>
    </row>
    <row r="459" spans="1:65" s="14" customFormat="1" ht="11.25">
      <c r="B459" s="205"/>
      <c r="C459" s="206"/>
      <c r="D459" s="196" t="s">
        <v>388</v>
      </c>
      <c r="E459" s="207" t="s">
        <v>19</v>
      </c>
      <c r="F459" s="208" t="s">
        <v>781</v>
      </c>
      <c r="G459" s="206"/>
      <c r="H459" s="209">
        <v>1.08</v>
      </c>
      <c r="I459" s="210"/>
      <c r="J459" s="206"/>
      <c r="K459" s="206"/>
      <c r="L459" s="211"/>
      <c r="M459" s="212"/>
      <c r="N459" s="213"/>
      <c r="O459" s="213"/>
      <c r="P459" s="213"/>
      <c r="Q459" s="213"/>
      <c r="R459" s="213"/>
      <c r="S459" s="213"/>
      <c r="T459" s="214"/>
      <c r="AT459" s="215" t="s">
        <v>388</v>
      </c>
      <c r="AU459" s="215" t="s">
        <v>82</v>
      </c>
      <c r="AV459" s="14" t="s">
        <v>82</v>
      </c>
      <c r="AW459" s="14" t="s">
        <v>33</v>
      </c>
      <c r="AX459" s="14" t="s">
        <v>72</v>
      </c>
      <c r="AY459" s="215" t="s">
        <v>380</v>
      </c>
    </row>
    <row r="460" spans="1:65" s="13" customFormat="1" ht="11.25">
      <c r="B460" s="194"/>
      <c r="C460" s="195"/>
      <c r="D460" s="196" t="s">
        <v>388</v>
      </c>
      <c r="E460" s="197" t="s">
        <v>19</v>
      </c>
      <c r="F460" s="198" t="s">
        <v>573</v>
      </c>
      <c r="G460" s="195"/>
      <c r="H460" s="197" t="s">
        <v>19</v>
      </c>
      <c r="I460" s="199"/>
      <c r="J460" s="195"/>
      <c r="K460" s="195"/>
      <c r="L460" s="200"/>
      <c r="M460" s="201"/>
      <c r="N460" s="202"/>
      <c r="O460" s="202"/>
      <c r="P460" s="202"/>
      <c r="Q460" s="202"/>
      <c r="R460" s="202"/>
      <c r="S460" s="202"/>
      <c r="T460" s="203"/>
      <c r="AT460" s="204" t="s">
        <v>388</v>
      </c>
      <c r="AU460" s="204" t="s">
        <v>82</v>
      </c>
      <c r="AV460" s="13" t="s">
        <v>79</v>
      </c>
      <c r="AW460" s="13" t="s">
        <v>33</v>
      </c>
      <c r="AX460" s="13" t="s">
        <v>72</v>
      </c>
      <c r="AY460" s="204" t="s">
        <v>380</v>
      </c>
    </row>
    <row r="461" spans="1:65" s="14" customFormat="1" ht="11.25">
      <c r="B461" s="205"/>
      <c r="C461" s="206"/>
      <c r="D461" s="196" t="s">
        <v>388</v>
      </c>
      <c r="E461" s="207" t="s">
        <v>19</v>
      </c>
      <c r="F461" s="208" t="s">
        <v>781</v>
      </c>
      <c r="G461" s="206"/>
      <c r="H461" s="209">
        <v>1.08</v>
      </c>
      <c r="I461" s="210"/>
      <c r="J461" s="206"/>
      <c r="K461" s="206"/>
      <c r="L461" s="211"/>
      <c r="M461" s="212"/>
      <c r="N461" s="213"/>
      <c r="O461" s="213"/>
      <c r="P461" s="213"/>
      <c r="Q461" s="213"/>
      <c r="R461" s="213"/>
      <c r="S461" s="213"/>
      <c r="T461" s="214"/>
      <c r="AT461" s="215" t="s">
        <v>388</v>
      </c>
      <c r="AU461" s="215" t="s">
        <v>82</v>
      </c>
      <c r="AV461" s="14" t="s">
        <v>82</v>
      </c>
      <c r="AW461" s="14" t="s">
        <v>33</v>
      </c>
      <c r="AX461" s="14" t="s">
        <v>72</v>
      </c>
      <c r="AY461" s="215" t="s">
        <v>380</v>
      </c>
    </row>
    <row r="462" spans="1:65" s="15" customFormat="1" ht="11.25">
      <c r="B462" s="216"/>
      <c r="C462" s="217"/>
      <c r="D462" s="196" t="s">
        <v>388</v>
      </c>
      <c r="E462" s="218" t="s">
        <v>19</v>
      </c>
      <c r="F462" s="219" t="s">
        <v>419</v>
      </c>
      <c r="G462" s="217"/>
      <c r="H462" s="220">
        <v>3.96</v>
      </c>
      <c r="I462" s="221"/>
      <c r="J462" s="217"/>
      <c r="K462" s="217"/>
      <c r="L462" s="222"/>
      <c r="M462" s="223"/>
      <c r="N462" s="224"/>
      <c r="O462" s="224"/>
      <c r="P462" s="224"/>
      <c r="Q462" s="224"/>
      <c r="R462" s="224"/>
      <c r="S462" s="224"/>
      <c r="T462" s="225"/>
      <c r="AT462" s="226" t="s">
        <v>388</v>
      </c>
      <c r="AU462" s="226" t="s">
        <v>82</v>
      </c>
      <c r="AV462" s="15" t="s">
        <v>386</v>
      </c>
      <c r="AW462" s="15" t="s">
        <v>33</v>
      </c>
      <c r="AX462" s="15" t="s">
        <v>79</v>
      </c>
      <c r="AY462" s="226" t="s">
        <v>380</v>
      </c>
    </row>
    <row r="463" spans="1:65" s="2" customFormat="1" ht="24.2" customHeight="1">
      <c r="A463" s="36"/>
      <c r="B463" s="37"/>
      <c r="C463" s="181" t="s">
        <v>782</v>
      </c>
      <c r="D463" s="181" t="s">
        <v>382</v>
      </c>
      <c r="E463" s="182" t="s">
        <v>783</v>
      </c>
      <c r="F463" s="183" t="s">
        <v>784</v>
      </c>
      <c r="G463" s="184" t="s">
        <v>398</v>
      </c>
      <c r="H463" s="185">
        <v>2.16</v>
      </c>
      <c r="I463" s="186"/>
      <c r="J463" s="187">
        <f>ROUND(I463*H463,2)</f>
        <v>0</v>
      </c>
      <c r="K463" s="183" t="s">
        <v>399</v>
      </c>
      <c r="L463" s="41"/>
      <c r="M463" s="188" t="s">
        <v>19</v>
      </c>
      <c r="N463" s="189" t="s">
        <v>43</v>
      </c>
      <c r="O463" s="66"/>
      <c r="P463" s="190">
        <f>O463*H463</f>
        <v>0</v>
      </c>
      <c r="Q463" s="190">
        <v>0.10745</v>
      </c>
      <c r="R463" s="190">
        <f>Q463*H463</f>
        <v>0.23209200000000002</v>
      </c>
      <c r="S463" s="190">
        <v>0</v>
      </c>
      <c r="T463" s="191">
        <f>S463*H463</f>
        <v>0</v>
      </c>
      <c r="U463" s="36"/>
      <c r="V463" s="36"/>
      <c r="W463" s="36"/>
      <c r="X463" s="36"/>
      <c r="Y463" s="36"/>
      <c r="Z463" s="36"/>
      <c r="AA463" s="36"/>
      <c r="AB463" s="36"/>
      <c r="AC463" s="36"/>
      <c r="AD463" s="36"/>
      <c r="AE463" s="36"/>
      <c r="AR463" s="192" t="s">
        <v>386</v>
      </c>
      <c r="AT463" s="192" t="s">
        <v>382</v>
      </c>
      <c r="AU463" s="192" t="s">
        <v>82</v>
      </c>
      <c r="AY463" s="19" t="s">
        <v>380</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386</v>
      </c>
      <c r="BM463" s="192" t="s">
        <v>785</v>
      </c>
    </row>
    <row r="464" spans="1:65" s="13" customFormat="1" ht="11.25">
      <c r="B464" s="194"/>
      <c r="C464" s="195"/>
      <c r="D464" s="196" t="s">
        <v>388</v>
      </c>
      <c r="E464" s="197" t="s">
        <v>19</v>
      </c>
      <c r="F464" s="198" t="s">
        <v>569</v>
      </c>
      <c r="G464" s="195"/>
      <c r="H464" s="197" t="s">
        <v>19</v>
      </c>
      <c r="I464" s="199"/>
      <c r="J464" s="195"/>
      <c r="K464" s="195"/>
      <c r="L464" s="200"/>
      <c r="M464" s="201"/>
      <c r="N464" s="202"/>
      <c r="O464" s="202"/>
      <c r="P464" s="202"/>
      <c r="Q464" s="202"/>
      <c r="R464" s="202"/>
      <c r="S464" s="202"/>
      <c r="T464" s="203"/>
      <c r="AT464" s="204" t="s">
        <v>388</v>
      </c>
      <c r="AU464" s="204" t="s">
        <v>82</v>
      </c>
      <c r="AV464" s="13" t="s">
        <v>79</v>
      </c>
      <c r="AW464" s="13" t="s">
        <v>33</v>
      </c>
      <c r="AX464" s="13" t="s">
        <v>72</v>
      </c>
      <c r="AY464" s="204" t="s">
        <v>380</v>
      </c>
    </row>
    <row r="465" spans="1:65" s="14" customFormat="1" ht="11.25">
      <c r="B465" s="205"/>
      <c r="C465" s="206"/>
      <c r="D465" s="196" t="s">
        <v>388</v>
      </c>
      <c r="E465" s="207" t="s">
        <v>19</v>
      </c>
      <c r="F465" s="208" t="s">
        <v>786</v>
      </c>
      <c r="G465" s="206"/>
      <c r="H465" s="209">
        <v>2.16</v>
      </c>
      <c r="I465" s="210"/>
      <c r="J465" s="206"/>
      <c r="K465" s="206"/>
      <c r="L465" s="211"/>
      <c r="M465" s="212"/>
      <c r="N465" s="213"/>
      <c r="O465" s="213"/>
      <c r="P465" s="213"/>
      <c r="Q465" s="213"/>
      <c r="R465" s="213"/>
      <c r="S465" s="213"/>
      <c r="T465" s="214"/>
      <c r="AT465" s="215" t="s">
        <v>388</v>
      </c>
      <c r="AU465" s="215" t="s">
        <v>82</v>
      </c>
      <c r="AV465" s="14" t="s">
        <v>82</v>
      </c>
      <c r="AW465" s="14" t="s">
        <v>33</v>
      </c>
      <c r="AX465" s="14" t="s">
        <v>79</v>
      </c>
      <c r="AY465" s="215" t="s">
        <v>380</v>
      </c>
    </row>
    <row r="466" spans="1:65" s="2" customFormat="1" ht="24.2" customHeight="1">
      <c r="A466" s="36"/>
      <c r="B466" s="37"/>
      <c r="C466" s="181" t="s">
        <v>787</v>
      </c>
      <c r="D466" s="181" t="s">
        <v>382</v>
      </c>
      <c r="E466" s="182" t="s">
        <v>788</v>
      </c>
      <c r="F466" s="183" t="s">
        <v>789</v>
      </c>
      <c r="G466" s="184" t="s">
        <v>641</v>
      </c>
      <c r="H466" s="185">
        <v>7</v>
      </c>
      <c r="I466" s="186"/>
      <c r="J466" s="187">
        <f>ROUND(I466*H466,2)</f>
        <v>0</v>
      </c>
      <c r="K466" s="183" t="s">
        <v>19</v>
      </c>
      <c r="L466" s="41"/>
      <c r="M466" s="188" t="s">
        <v>19</v>
      </c>
      <c r="N466" s="189" t="s">
        <v>43</v>
      </c>
      <c r="O466" s="66"/>
      <c r="P466" s="190">
        <f>O466*H466</f>
        <v>0</v>
      </c>
      <c r="Q466" s="190">
        <v>1.35</v>
      </c>
      <c r="R466" s="190">
        <f>Q466*H466</f>
        <v>9.4500000000000011</v>
      </c>
      <c r="S466" s="190">
        <v>0</v>
      </c>
      <c r="T466" s="191">
        <f>S466*H466</f>
        <v>0</v>
      </c>
      <c r="U466" s="36"/>
      <c r="V466" s="36"/>
      <c r="W466" s="36"/>
      <c r="X466" s="36"/>
      <c r="Y466" s="36"/>
      <c r="Z466" s="36"/>
      <c r="AA466" s="36"/>
      <c r="AB466" s="36"/>
      <c r="AC466" s="36"/>
      <c r="AD466" s="36"/>
      <c r="AE466" s="36"/>
      <c r="AR466" s="192" t="s">
        <v>386</v>
      </c>
      <c r="AT466" s="192" t="s">
        <v>382</v>
      </c>
      <c r="AU466" s="192" t="s">
        <v>82</v>
      </c>
      <c r="AY466" s="19" t="s">
        <v>380</v>
      </c>
      <c r="BE466" s="193">
        <f>IF(N466="základní",J466,0)</f>
        <v>0</v>
      </c>
      <c r="BF466" s="193">
        <f>IF(N466="snížená",J466,0)</f>
        <v>0</v>
      </c>
      <c r="BG466" s="193">
        <f>IF(N466="zákl. přenesená",J466,0)</f>
        <v>0</v>
      </c>
      <c r="BH466" s="193">
        <f>IF(N466="sníž. přenesená",J466,0)</f>
        <v>0</v>
      </c>
      <c r="BI466" s="193">
        <f>IF(N466="nulová",J466,0)</f>
        <v>0</v>
      </c>
      <c r="BJ466" s="19" t="s">
        <v>79</v>
      </c>
      <c r="BK466" s="193">
        <f>ROUND(I466*H466,2)</f>
        <v>0</v>
      </c>
      <c r="BL466" s="19" t="s">
        <v>386</v>
      </c>
      <c r="BM466" s="192" t="s">
        <v>790</v>
      </c>
    </row>
    <row r="467" spans="1:65" s="2" customFormat="1" ht="24.2" customHeight="1">
      <c r="A467" s="36"/>
      <c r="B467" s="37"/>
      <c r="C467" s="181" t="s">
        <v>791</v>
      </c>
      <c r="D467" s="181" t="s">
        <v>382</v>
      </c>
      <c r="E467" s="182" t="s">
        <v>792</v>
      </c>
      <c r="F467" s="183" t="s">
        <v>793</v>
      </c>
      <c r="G467" s="184" t="s">
        <v>641</v>
      </c>
      <c r="H467" s="185">
        <v>2</v>
      </c>
      <c r="I467" s="186"/>
      <c r="J467" s="187">
        <f>ROUND(I467*H467,2)</f>
        <v>0</v>
      </c>
      <c r="K467" s="183" t="s">
        <v>19</v>
      </c>
      <c r="L467" s="41"/>
      <c r="M467" s="188" t="s">
        <v>19</v>
      </c>
      <c r="N467" s="189" t="s">
        <v>43</v>
      </c>
      <c r="O467" s="66"/>
      <c r="P467" s="190">
        <f>O467*H467</f>
        <v>0</v>
      </c>
      <c r="Q467" s="190">
        <v>1.53</v>
      </c>
      <c r="R467" s="190">
        <f>Q467*H467</f>
        <v>3.06</v>
      </c>
      <c r="S467" s="190">
        <v>0</v>
      </c>
      <c r="T467" s="191">
        <f>S467*H467</f>
        <v>0</v>
      </c>
      <c r="U467" s="36"/>
      <c r="V467" s="36"/>
      <c r="W467" s="36"/>
      <c r="X467" s="36"/>
      <c r="Y467" s="36"/>
      <c r="Z467" s="36"/>
      <c r="AA467" s="36"/>
      <c r="AB467" s="36"/>
      <c r="AC467" s="36"/>
      <c r="AD467" s="36"/>
      <c r="AE467" s="36"/>
      <c r="AR467" s="192" t="s">
        <v>386</v>
      </c>
      <c r="AT467" s="192" t="s">
        <v>382</v>
      </c>
      <c r="AU467" s="192" t="s">
        <v>82</v>
      </c>
      <c r="AY467" s="19" t="s">
        <v>380</v>
      </c>
      <c r="BE467" s="193">
        <f>IF(N467="základní",J467,0)</f>
        <v>0</v>
      </c>
      <c r="BF467" s="193">
        <f>IF(N467="snížená",J467,0)</f>
        <v>0</v>
      </c>
      <c r="BG467" s="193">
        <f>IF(N467="zákl. přenesená",J467,0)</f>
        <v>0</v>
      </c>
      <c r="BH467" s="193">
        <f>IF(N467="sníž. přenesená",J467,0)</f>
        <v>0</v>
      </c>
      <c r="BI467" s="193">
        <f>IF(N467="nulová",J467,0)</f>
        <v>0</v>
      </c>
      <c r="BJ467" s="19" t="s">
        <v>79</v>
      </c>
      <c r="BK467" s="193">
        <f>ROUND(I467*H467,2)</f>
        <v>0</v>
      </c>
      <c r="BL467" s="19" t="s">
        <v>386</v>
      </c>
      <c r="BM467" s="192" t="s">
        <v>794</v>
      </c>
    </row>
    <row r="468" spans="1:65" s="2" customFormat="1" ht="24.2" customHeight="1">
      <c r="A468" s="36"/>
      <c r="B468" s="37"/>
      <c r="C468" s="181" t="s">
        <v>795</v>
      </c>
      <c r="D468" s="181" t="s">
        <v>382</v>
      </c>
      <c r="E468" s="182" t="s">
        <v>796</v>
      </c>
      <c r="F468" s="183" t="s">
        <v>797</v>
      </c>
      <c r="G468" s="184" t="s">
        <v>641</v>
      </c>
      <c r="H468" s="185">
        <v>6</v>
      </c>
      <c r="I468" s="186"/>
      <c r="J468" s="187">
        <f>ROUND(I468*H468,2)</f>
        <v>0</v>
      </c>
      <c r="K468" s="183" t="s">
        <v>19</v>
      </c>
      <c r="L468" s="41"/>
      <c r="M468" s="188" t="s">
        <v>19</v>
      </c>
      <c r="N468" s="189" t="s">
        <v>43</v>
      </c>
      <c r="O468" s="66"/>
      <c r="P468" s="190">
        <f>O468*H468</f>
        <v>0</v>
      </c>
      <c r="Q468" s="190">
        <v>1.1499999999999999</v>
      </c>
      <c r="R468" s="190">
        <f>Q468*H468</f>
        <v>6.8999999999999995</v>
      </c>
      <c r="S468" s="190">
        <v>0</v>
      </c>
      <c r="T468" s="191">
        <f>S468*H468</f>
        <v>0</v>
      </c>
      <c r="U468" s="36"/>
      <c r="V468" s="36"/>
      <c r="W468" s="36"/>
      <c r="X468" s="36"/>
      <c r="Y468" s="36"/>
      <c r="Z468" s="36"/>
      <c r="AA468" s="36"/>
      <c r="AB468" s="36"/>
      <c r="AC468" s="36"/>
      <c r="AD468" s="36"/>
      <c r="AE468" s="36"/>
      <c r="AR468" s="192" t="s">
        <v>386</v>
      </c>
      <c r="AT468" s="192" t="s">
        <v>382</v>
      </c>
      <c r="AU468" s="192" t="s">
        <v>82</v>
      </c>
      <c r="AY468" s="19" t="s">
        <v>380</v>
      </c>
      <c r="BE468" s="193">
        <f>IF(N468="základní",J468,0)</f>
        <v>0</v>
      </c>
      <c r="BF468" s="193">
        <f>IF(N468="snížená",J468,0)</f>
        <v>0</v>
      </c>
      <c r="BG468" s="193">
        <f>IF(N468="zákl. přenesená",J468,0)</f>
        <v>0</v>
      </c>
      <c r="BH468" s="193">
        <f>IF(N468="sníž. přenesená",J468,0)</f>
        <v>0</v>
      </c>
      <c r="BI468" s="193">
        <f>IF(N468="nulová",J468,0)</f>
        <v>0</v>
      </c>
      <c r="BJ468" s="19" t="s">
        <v>79</v>
      </c>
      <c r="BK468" s="193">
        <f>ROUND(I468*H468,2)</f>
        <v>0</v>
      </c>
      <c r="BL468" s="19" t="s">
        <v>386</v>
      </c>
      <c r="BM468" s="192" t="s">
        <v>798</v>
      </c>
    </row>
    <row r="469" spans="1:65" s="2" customFormat="1" ht="24.2" customHeight="1">
      <c r="A469" s="36"/>
      <c r="B469" s="37"/>
      <c r="C469" s="181" t="s">
        <v>799</v>
      </c>
      <c r="D469" s="181" t="s">
        <v>382</v>
      </c>
      <c r="E469" s="182" t="s">
        <v>800</v>
      </c>
      <c r="F469" s="183" t="s">
        <v>801</v>
      </c>
      <c r="G469" s="184" t="s">
        <v>641</v>
      </c>
      <c r="H469" s="185">
        <v>7</v>
      </c>
      <c r="I469" s="186"/>
      <c r="J469" s="187">
        <f>ROUND(I469*H469,2)</f>
        <v>0</v>
      </c>
      <c r="K469" s="183" t="s">
        <v>19</v>
      </c>
      <c r="L469" s="41"/>
      <c r="M469" s="188" t="s">
        <v>19</v>
      </c>
      <c r="N469" s="189" t="s">
        <v>43</v>
      </c>
      <c r="O469" s="66"/>
      <c r="P469" s="190">
        <f>O469*H469</f>
        <v>0</v>
      </c>
      <c r="Q469" s="190">
        <v>0.35</v>
      </c>
      <c r="R469" s="190">
        <f>Q469*H469</f>
        <v>2.4499999999999997</v>
      </c>
      <c r="S469" s="190">
        <v>0</v>
      </c>
      <c r="T469" s="191">
        <f>S469*H469</f>
        <v>0</v>
      </c>
      <c r="U469" s="36"/>
      <c r="V469" s="36"/>
      <c r="W469" s="36"/>
      <c r="X469" s="36"/>
      <c r="Y469" s="36"/>
      <c r="Z469" s="36"/>
      <c r="AA469" s="36"/>
      <c r="AB469" s="36"/>
      <c r="AC469" s="36"/>
      <c r="AD469" s="36"/>
      <c r="AE469" s="36"/>
      <c r="AR469" s="192" t="s">
        <v>386</v>
      </c>
      <c r="AT469" s="192" t="s">
        <v>382</v>
      </c>
      <c r="AU469" s="192" t="s">
        <v>82</v>
      </c>
      <c r="AY469" s="19" t="s">
        <v>380</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386</v>
      </c>
      <c r="BM469" s="192" t="s">
        <v>802</v>
      </c>
    </row>
    <row r="470" spans="1:65" s="12" customFormat="1" ht="22.9" customHeight="1">
      <c r="B470" s="165"/>
      <c r="C470" s="166"/>
      <c r="D470" s="167" t="s">
        <v>71</v>
      </c>
      <c r="E470" s="179" t="s">
        <v>386</v>
      </c>
      <c r="F470" s="179" t="s">
        <v>803</v>
      </c>
      <c r="G470" s="166"/>
      <c r="H470" s="166"/>
      <c r="I470" s="169"/>
      <c r="J470" s="180">
        <f>BK470</f>
        <v>0</v>
      </c>
      <c r="K470" s="166"/>
      <c r="L470" s="171"/>
      <c r="M470" s="172"/>
      <c r="N470" s="173"/>
      <c r="O470" s="173"/>
      <c r="P470" s="174">
        <f>SUM(P471:P677)</f>
        <v>0</v>
      </c>
      <c r="Q470" s="173"/>
      <c r="R470" s="174">
        <f>SUM(R471:R677)</f>
        <v>2281.7339530917998</v>
      </c>
      <c r="S470" s="173"/>
      <c r="T470" s="175">
        <f>SUM(T471:T677)</f>
        <v>0</v>
      </c>
      <c r="AR470" s="176" t="s">
        <v>79</v>
      </c>
      <c r="AT470" s="177" t="s">
        <v>71</v>
      </c>
      <c r="AU470" s="177" t="s">
        <v>79</v>
      </c>
      <c r="AY470" s="176" t="s">
        <v>380</v>
      </c>
      <c r="BK470" s="178">
        <f>SUM(BK471:BK677)</f>
        <v>0</v>
      </c>
    </row>
    <row r="471" spans="1:65" s="2" customFormat="1" ht="24.2" customHeight="1">
      <c r="A471" s="36"/>
      <c r="B471" s="37"/>
      <c r="C471" s="181" t="s">
        <v>804</v>
      </c>
      <c r="D471" s="181" t="s">
        <v>382</v>
      </c>
      <c r="E471" s="182" t="s">
        <v>805</v>
      </c>
      <c r="F471" s="183" t="s">
        <v>806</v>
      </c>
      <c r="G471" s="184" t="s">
        <v>385</v>
      </c>
      <c r="H471" s="185">
        <v>738.11800000000005</v>
      </c>
      <c r="I471" s="186"/>
      <c r="J471" s="187">
        <f>ROUND(I471*H471,2)</f>
        <v>0</v>
      </c>
      <c r="K471" s="183" t="s">
        <v>399</v>
      </c>
      <c r="L471" s="41"/>
      <c r="M471" s="188" t="s">
        <v>19</v>
      </c>
      <c r="N471" s="189" t="s">
        <v>43</v>
      </c>
      <c r="O471" s="66"/>
      <c r="P471" s="190">
        <f>O471*H471</f>
        <v>0</v>
      </c>
      <c r="Q471" s="190">
        <v>2.45343</v>
      </c>
      <c r="R471" s="190">
        <f>Q471*H471</f>
        <v>1810.9208447400001</v>
      </c>
      <c r="S471" s="190">
        <v>0</v>
      </c>
      <c r="T471" s="191">
        <f>S471*H471</f>
        <v>0</v>
      </c>
      <c r="U471" s="36"/>
      <c r="V471" s="36"/>
      <c r="W471" s="36"/>
      <c r="X471" s="36"/>
      <c r="Y471" s="36"/>
      <c r="Z471" s="36"/>
      <c r="AA471" s="36"/>
      <c r="AB471" s="36"/>
      <c r="AC471" s="36"/>
      <c r="AD471" s="36"/>
      <c r="AE471" s="36"/>
      <c r="AR471" s="192" t="s">
        <v>386</v>
      </c>
      <c r="AT471" s="192" t="s">
        <v>382</v>
      </c>
      <c r="AU471" s="192" t="s">
        <v>82</v>
      </c>
      <c r="AY471" s="19" t="s">
        <v>380</v>
      </c>
      <c r="BE471" s="193">
        <f>IF(N471="základní",J471,0)</f>
        <v>0</v>
      </c>
      <c r="BF471" s="193">
        <f>IF(N471="snížená",J471,0)</f>
        <v>0</v>
      </c>
      <c r="BG471" s="193">
        <f>IF(N471="zákl. přenesená",J471,0)</f>
        <v>0</v>
      </c>
      <c r="BH471" s="193">
        <f>IF(N471="sníž. přenesená",J471,0)</f>
        <v>0</v>
      </c>
      <c r="BI471" s="193">
        <f>IF(N471="nulová",J471,0)</f>
        <v>0</v>
      </c>
      <c r="BJ471" s="19" t="s">
        <v>79</v>
      </c>
      <c r="BK471" s="193">
        <f>ROUND(I471*H471,2)</f>
        <v>0</v>
      </c>
      <c r="BL471" s="19" t="s">
        <v>386</v>
      </c>
      <c r="BM471" s="192" t="s">
        <v>807</v>
      </c>
    </row>
    <row r="472" spans="1:65" s="13" customFormat="1" ht="11.25">
      <c r="B472" s="194"/>
      <c r="C472" s="195"/>
      <c r="D472" s="196" t="s">
        <v>388</v>
      </c>
      <c r="E472" s="197" t="s">
        <v>19</v>
      </c>
      <c r="F472" s="198" t="s">
        <v>583</v>
      </c>
      <c r="G472" s="195"/>
      <c r="H472" s="197" t="s">
        <v>19</v>
      </c>
      <c r="I472" s="199"/>
      <c r="J472" s="195"/>
      <c r="K472" s="195"/>
      <c r="L472" s="200"/>
      <c r="M472" s="201"/>
      <c r="N472" s="202"/>
      <c r="O472" s="202"/>
      <c r="P472" s="202"/>
      <c r="Q472" s="202"/>
      <c r="R472" s="202"/>
      <c r="S472" s="202"/>
      <c r="T472" s="203"/>
      <c r="AT472" s="204" t="s">
        <v>388</v>
      </c>
      <c r="AU472" s="204" t="s">
        <v>82</v>
      </c>
      <c r="AV472" s="13" t="s">
        <v>79</v>
      </c>
      <c r="AW472" s="13" t="s">
        <v>33</v>
      </c>
      <c r="AX472" s="13" t="s">
        <v>72</v>
      </c>
      <c r="AY472" s="204" t="s">
        <v>380</v>
      </c>
    </row>
    <row r="473" spans="1:65" s="14" customFormat="1" ht="11.25">
      <c r="B473" s="205"/>
      <c r="C473" s="206"/>
      <c r="D473" s="196" t="s">
        <v>388</v>
      </c>
      <c r="E473" s="207" t="s">
        <v>19</v>
      </c>
      <c r="F473" s="208" t="s">
        <v>808</v>
      </c>
      <c r="G473" s="206"/>
      <c r="H473" s="209">
        <v>90.875</v>
      </c>
      <c r="I473" s="210"/>
      <c r="J473" s="206"/>
      <c r="K473" s="206"/>
      <c r="L473" s="211"/>
      <c r="M473" s="212"/>
      <c r="N473" s="213"/>
      <c r="O473" s="213"/>
      <c r="P473" s="213"/>
      <c r="Q473" s="213"/>
      <c r="R473" s="213"/>
      <c r="S473" s="213"/>
      <c r="T473" s="214"/>
      <c r="AT473" s="215" t="s">
        <v>388</v>
      </c>
      <c r="AU473" s="215" t="s">
        <v>82</v>
      </c>
      <c r="AV473" s="14" t="s">
        <v>82</v>
      </c>
      <c r="AW473" s="14" t="s">
        <v>33</v>
      </c>
      <c r="AX473" s="14" t="s">
        <v>72</v>
      </c>
      <c r="AY473" s="215" t="s">
        <v>380</v>
      </c>
    </row>
    <row r="474" spans="1:65" s="14" customFormat="1" ht="11.25">
      <c r="B474" s="205"/>
      <c r="C474" s="206"/>
      <c r="D474" s="196" t="s">
        <v>388</v>
      </c>
      <c r="E474" s="207" t="s">
        <v>19</v>
      </c>
      <c r="F474" s="208" t="s">
        <v>809</v>
      </c>
      <c r="G474" s="206"/>
      <c r="H474" s="209">
        <v>203.78100000000001</v>
      </c>
      <c r="I474" s="210"/>
      <c r="J474" s="206"/>
      <c r="K474" s="206"/>
      <c r="L474" s="211"/>
      <c r="M474" s="212"/>
      <c r="N474" s="213"/>
      <c r="O474" s="213"/>
      <c r="P474" s="213"/>
      <c r="Q474" s="213"/>
      <c r="R474" s="213"/>
      <c r="S474" s="213"/>
      <c r="T474" s="214"/>
      <c r="AT474" s="215" t="s">
        <v>388</v>
      </c>
      <c r="AU474" s="215" t="s">
        <v>82</v>
      </c>
      <c r="AV474" s="14" t="s">
        <v>82</v>
      </c>
      <c r="AW474" s="14" t="s">
        <v>33</v>
      </c>
      <c r="AX474" s="14" t="s">
        <v>72</v>
      </c>
      <c r="AY474" s="215" t="s">
        <v>380</v>
      </c>
    </row>
    <row r="475" spans="1:65" s="16" customFormat="1" ht="11.25">
      <c r="B475" s="237"/>
      <c r="C475" s="238"/>
      <c r="D475" s="196" t="s">
        <v>388</v>
      </c>
      <c r="E475" s="239" t="s">
        <v>19</v>
      </c>
      <c r="F475" s="240" t="s">
        <v>572</v>
      </c>
      <c r="G475" s="238"/>
      <c r="H475" s="241">
        <v>294.65600000000001</v>
      </c>
      <c r="I475" s="242"/>
      <c r="J475" s="238"/>
      <c r="K475" s="238"/>
      <c r="L475" s="243"/>
      <c r="M475" s="244"/>
      <c r="N475" s="245"/>
      <c r="O475" s="245"/>
      <c r="P475" s="245"/>
      <c r="Q475" s="245"/>
      <c r="R475" s="245"/>
      <c r="S475" s="245"/>
      <c r="T475" s="246"/>
      <c r="AT475" s="247" t="s">
        <v>388</v>
      </c>
      <c r="AU475" s="247" t="s">
        <v>82</v>
      </c>
      <c r="AV475" s="16" t="s">
        <v>99</v>
      </c>
      <c r="AW475" s="16" t="s">
        <v>33</v>
      </c>
      <c r="AX475" s="16" t="s">
        <v>72</v>
      </c>
      <c r="AY475" s="247" t="s">
        <v>380</v>
      </c>
    </row>
    <row r="476" spans="1:65" s="13" customFormat="1" ht="11.25">
      <c r="B476" s="194"/>
      <c r="C476" s="195"/>
      <c r="D476" s="196" t="s">
        <v>388</v>
      </c>
      <c r="E476" s="197" t="s">
        <v>19</v>
      </c>
      <c r="F476" s="198" t="s">
        <v>569</v>
      </c>
      <c r="G476" s="195"/>
      <c r="H476" s="197" t="s">
        <v>19</v>
      </c>
      <c r="I476" s="199"/>
      <c r="J476" s="195"/>
      <c r="K476" s="195"/>
      <c r="L476" s="200"/>
      <c r="M476" s="201"/>
      <c r="N476" s="202"/>
      <c r="O476" s="202"/>
      <c r="P476" s="202"/>
      <c r="Q476" s="202"/>
      <c r="R476" s="202"/>
      <c r="S476" s="202"/>
      <c r="T476" s="203"/>
      <c r="AT476" s="204" t="s">
        <v>388</v>
      </c>
      <c r="AU476" s="204" t="s">
        <v>82</v>
      </c>
      <c r="AV476" s="13" t="s">
        <v>79</v>
      </c>
      <c r="AW476" s="13" t="s">
        <v>33</v>
      </c>
      <c r="AX476" s="13" t="s">
        <v>72</v>
      </c>
      <c r="AY476" s="204" t="s">
        <v>380</v>
      </c>
    </row>
    <row r="477" spans="1:65" s="14" customFormat="1" ht="11.25">
      <c r="B477" s="205"/>
      <c r="C477" s="206"/>
      <c r="D477" s="196" t="s">
        <v>388</v>
      </c>
      <c r="E477" s="207" t="s">
        <v>19</v>
      </c>
      <c r="F477" s="208" t="s">
        <v>810</v>
      </c>
      <c r="G477" s="206"/>
      <c r="H477" s="209">
        <v>254.85</v>
      </c>
      <c r="I477" s="210"/>
      <c r="J477" s="206"/>
      <c r="K477" s="206"/>
      <c r="L477" s="211"/>
      <c r="M477" s="212"/>
      <c r="N477" s="213"/>
      <c r="O477" s="213"/>
      <c r="P477" s="213"/>
      <c r="Q477" s="213"/>
      <c r="R477" s="213"/>
      <c r="S477" s="213"/>
      <c r="T477" s="214"/>
      <c r="AT477" s="215" t="s">
        <v>388</v>
      </c>
      <c r="AU477" s="215" t="s">
        <v>82</v>
      </c>
      <c r="AV477" s="14" t="s">
        <v>82</v>
      </c>
      <c r="AW477" s="14" t="s">
        <v>33</v>
      </c>
      <c r="AX477" s="14" t="s">
        <v>72</v>
      </c>
      <c r="AY477" s="215" t="s">
        <v>380</v>
      </c>
    </row>
    <row r="478" spans="1:65" s="14" customFormat="1" ht="11.25">
      <c r="B478" s="205"/>
      <c r="C478" s="206"/>
      <c r="D478" s="196" t="s">
        <v>388</v>
      </c>
      <c r="E478" s="207" t="s">
        <v>19</v>
      </c>
      <c r="F478" s="208" t="s">
        <v>811</v>
      </c>
      <c r="G478" s="206"/>
      <c r="H478" s="209">
        <v>4.0880000000000001</v>
      </c>
      <c r="I478" s="210"/>
      <c r="J478" s="206"/>
      <c r="K478" s="206"/>
      <c r="L478" s="211"/>
      <c r="M478" s="212"/>
      <c r="N478" s="213"/>
      <c r="O478" s="213"/>
      <c r="P478" s="213"/>
      <c r="Q478" s="213"/>
      <c r="R478" s="213"/>
      <c r="S478" s="213"/>
      <c r="T478" s="214"/>
      <c r="AT478" s="215" t="s">
        <v>388</v>
      </c>
      <c r="AU478" s="215" t="s">
        <v>82</v>
      </c>
      <c r="AV478" s="14" t="s">
        <v>82</v>
      </c>
      <c r="AW478" s="14" t="s">
        <v>33</v>
      </c>
      <c r="AX478" s="14" t="s">
        <v>72</v>
      </c>
      <c r="AY478" s="215" t="s">
        <v>380</v>
      </c>
    </row>
    <row r="479" spans="1:65" s="16" customFormat="1" ht="11.25">
      <c r="B479" s="237"/>
      <c r="C479" s="238"/>
      <c r="D479" s="196" t="s">
        <v>388</v>
      </c>
      <c r="E479" s="239" t="s">
        <v>19</v>
      </c>
      <c r="F479" s="240" t="s">
        <v>572</v>
      </c>
      <c r="G479" s="238"/>
      <c r="H479" s="241">
        <v>258.93799999999999</v>
      </c>
      <c r="I479" s="242"/>
      <c r="J479" s="238"/>
      <c r="K479" s="238"/>
      <c r="L479" s="243"/>
      <c r="M479" s="244"/>
      <c r="N479" s="245"/>
      <c r="O479" s="245"/>
      <c r="P479" s="245"/>
      <c r="Q479" s="245"/>
      <c r="R479" s="245"/>
      <c r="S479" s="245"/>
      <c r="T479" s="246"/>
      <c r="AT479" s="247" t="s">
        <v>388</v>
      </c>
      <c r="AU479" s="247" t="s">
        <v>82</v>
      </c>
      <c r="AV479" s="16" t="s">
        <v>99</v>
      </c>
      <c r="AW479" s="16" t="s">
        <v>33</v>
      </c>
      <c r="AX479" s="16" t="s">
        <v>72</v>
      </c>
      <c r="AY479" s="247" t="s">
        <v>380</v>
      </c>
    </row>
    <row r="480" spans="1:65" s="13" customFormat="1" ht="11.25">
      <c r="B480" s="194"/>
      <c r="C480" s="195"/>
      <c r="D480" s="196" t="s">
        <v>388</v>
      </c>
      <c r="E480" s="197" t="s">
        <v>19</v>
      </c>
      <c r="F480" s="198" t="s">
        <v>573</v>
      </c>
      <c r="G480" s="195"/>
      <c r="H480" s="197" t="s">
        <v>19</v>
      </c>
      <c r="I480" s="199"/>
      <c r="J480" s="195"/>
      <c r="K480" s="195"/>
      <c r="L480" s="200"/>
      <c r="M480" s="201"/>
      <c r="N480" s="202"/>
      <c r="O480" s="202"/>
      <c r="P480" s="202"/>
      <c r="Q480" s="202"/>
      <c r="R480" s="202"/>
      <c r="S480" s="202"/>
      <c r="T480" s="203"/>
      <c r="AT480" s="204" t="s">
        <v>388</v>
      </c>
      <c r="AU480" s="204" t="s">
        <v>82</v>
      </c>
      <c r="AV480" s="13" t="s">
        <v>79</v>
      </c>
      <c r="AW480" s="13" t="s">
        <v>33</v>
      </c>
      <c r="AX480" s="13" t="s">
        <v>72</v>
      </c>
      <c r="AY480" s="204" t="s">
        <v>380</v>
      </c>
    </row>
    <row r="481" spans="1:65" s="14" customFormat="1" ht="11.25">
      <c r="B481" s="205"/>
      <c r="C481" s="206"/>
      <c r="D481" s="196" t="s">
        <v>388</v>
      </c>
      <c r="E481" s="207" t="s">
        <v>19</v>
      </c>
      <c r="F481" s="208" t="s">
        <v>812</v>
      </c>
      <c r="G481" s="206"/>
      <c r="H481" s="209">
        <v>99.325000000000003</v>
      </c>
      <c r="I481" s="210"/>
      <c r="J481" s="206"/>
      <c r="K481" s="206"/>
      <c r="L481" s="211"/>
      <c r="M481" s="212"/>
      <c r="N481" s="213"/>
      <c r="O481" s="213"/>
      <c r="P481" s="213"/>
      <c r="Q481" s="213"/>
      <c r="R481" s="213"/>
      <c r="S481" s="213"/>
      <c r="T481" s="214"/>
      <c r="AT481" s="215" t="s">
        <v>388</v>
      </c>
      <c r="AU481" s="215" t="s">
        <v>82</v>
      </c>
      <c r="AV481" s="14" t="s">
        <v>82</v>
      </c>
      <c r="AW481" s="14" t="s">
        <v>33</v>
      </c>
      <c r="AX481" s="14" t="s">
        <v>72</v>
      </c>
      <c r="AY481" s="215" t="s">
        <v>380</v>
      </c>
    </row>
    <row r="482" spans="1:65" s="16" customFormat="1" ht="11.25">
      <c r="B482" s="237"/>
      <c r="C482" s="238"/>
      <c r="D482" s="196" t="s">
        <v>388</v>
      </c>
      <c r="E482" s="239" t="s">
        <v>19</v>
      </c>
      <c r="F482" s="240" t="s">
        <v>572</v>
      </c>
      <c r="G482" s="238"/>
      <c r="H482" s="241">
        <v>99.325000000000003</v>
      </c>
      <c r="I482" s="242"/>
      <c r="J482" s="238"/>
      <c r="K482" s="238"/>
      <c r="L482" s="243"/>
      <c r="M482" s="244"/>
      <c r="N482" s="245"/>
      <c r="O482" s="245"/>
      <c r="P482" s="245"/>
      <c r="Q482" s="245"/>
      <c r="R482" s="245"/>
      <c r="S482" s="245"/>
      <c r="T482" s="246"/>
      <c r="AT482" s="247" t="s">
        <v>388</v>
      </c>
      <c r="AU482" s="247" t="s">
        <v>82</v>
      </c>
      <c r="AV482" s="16" t="s">
        <v>99</v>
      </c>
      <c r="AW482" s="16" t="s">
        <v>33</v>
      </c>
      <c r="AX482" s="16" t="s">
        <v>72</v>
      </c>
      <c r="AY482" s="247" t="s">
        <v>380</v>
      </c>
    </row>
    <row r="483" spans="1:65" s="13" customFormat="1" ht="11.25">
      <c r="B483" s="194"/>
      <c r="C483" s="195"/>
      <c r="D483" s="196" t="s">
        <v>388</v>
      </c>
      <c r="E483" s="197" t="s">
        <v>19</v>
      </c>
      <c r="F483" s="198" t="s">
        <v>576</v>
      </c>
      <c r="G483" s="195"/>
      <c r="H483" s="197" t="s">
        <v>19</v>
      </c>
      <c r="I483" s="199"/>
      <c r="J483" s="195"/>
      <c r="K483" s="195"/>
      <c r="L483" s="200"/>
      <c r="M483" s="201"/>
      <c r="N483" s="202"/>
      <c r="O483" s="202"/>
      <c r="P483" s="202"/>
      <c r="Q483" s="202"/>
      <c r="R483" s="202"/>
      <c r="S483" s="202"/>
      <c r="T483" s="203"/>
      <c r="AT483" s="204" t="s">
        <v>388</v>
      </c>
      <c r="AU483" s="204" t="s">
        <v>82</v>
      </c>
      <c r="AV483" s="13" t="s">
        <v>79</v>
      </c>
      <c r="AW483" s="13" t="s">
        <v>33</v>
      </c>
      <c r="AX483" s="13" t="s">
        <v>72</v>
      </c>
      <c r="AY483" s="204" t="s">
        <v>380</v>
      </c>
    </row>
    <row r="484" spans="1:65" s="14" customFormat="1" ht="11.25">
      <c r="B484" s="205"/>
      <c r="C484" s="206"/>
      <c r="D484" s="196" t="s">
        <v>388</v>
      </c>
      <c r="E484" s="207" t="s">
        <v>19</v>
      </c>
      <c r="F484" s="208" t="s">
        <v>813</v>
      </c>
      <c r="G484" s="206"/>
      <c r="H484" s="209">
        <v>82.066999999999993</v>
      </c>
      <c r="I484" s="210"/>
      <c r="J484" s="206"/>
      <c r="K484" s="206"/>
      <c r="L484" s="211"/>
      <c r="M484" s="212"/>
      <c r="N484" s="213"/>
      <c r="O484" s="213"/>
      <c r="P484" s="213"/>
      <c r="Q484" s="213"/>
      <c r="R484" s="213"/>
      <c r="S484" s="213"/>
      <c r="T484" s="214"/>
      <c r="AT484" s="215" t="s">
        <v>388</v>
      </c>
      <c r="AU484" s="215" t="s">
        <v>82</v>
      </c>
      <c r="AV484" s="14" t="s">
        <v>82</v>
      </c>
      <c r="AW484" s="14" t="s">
        <v>33</v>
      </c>
      <c r="AX484" s="14" t="s">
        <v>72</v>
      </c>
      <c r="AY484" s="215" t="s">
        <v>380</v>
      </c>
    </row>
    <row r="485" spans="1:65" s="14" customFormat="1" ht="11.25">
      <c r="B485" s="205"/>
      <c r="C485" s="206"/>
      <c r="D485" s="196" t="s">
        <v>388</v>
      </c>
      <c r="E485" s="207" t="s">
        <v>19</v>
      </c>
      <c r="F485" s="208" t="s">
        <v>814</v>
      </c>
      <c r="G485" s="206"/>
      <c r="H485" s="209">
        <v>3.1320000000000001</v>
      </c>
      <c r="I485" s="210"/>
      <c r="J485" s="206"/>
      <c r="K485" s="206"/>
      <c r="L485" s="211"/>
      <c r="M485" s="212"/>
      <c r="N485" s="213"/>
      <c r="O485" s="213"/>
      <c r="P485" s="213"/>
      <c r="Q485" s="213"/>
      <c r="R485" s="213"/>
      <c r="S485" s="213"/>
      <c r="T485" s="214"/>
      <c r="AT485" s="215" t="s">
        <v>388</v>
      </c>
      <c r="AU485" s="215" t="s">
        <v>82</v>
      </c>
      <c r="AV485" s="14" t="s">
        <v>82</v>
      </c>
      <c r="AW485" s="14" t="s">
        <v>33</v>
      </c>
      <c r="AX485" s="14" t="s">
        <v>72</v>
      </c>
      <c r="AY485" s="215" t="s">
        <v>380</v>
      </c>
    </row>
    <row r="486" spans="1:65" s="16" customFormat="1" ht="11.25">
      <c r="B486" s="237"/>
      <c r="C486" s="238"/>
      <c r="D486" s="196" t="s">
        <v>388</v>
      </c>
      <c r="E486" s="239" t="s">
        <v>19</v>
      </c>
      <c r="F486" s="240" t="s">
        <v>572</v>
      </c>
      <c r="G486" s="238"/>
      <c r="H486" s="241">
        <v>85.198999999999998</v>
      </c>
      <c r="I486" s="242"/>
      <c r="J486" s="238"/>
      <c r="K486" s="238"/>
      <c r="L486" s="243"/>
      <c r="M486" s="244"/>
      <c r="N486" s="245"/>
      <c r="O486" s="245"/>
      <c r="P486" s="245"/>
      <c r="Q486" s="245"/>
      <c r="R486" s="245"/>
      <c r="S486" s="245"/>
      <c r="T486" s="246"/>
      <c r="AT486" s="247" t="s">
        <v>388</v>
      </c>
      <c r="AU486" s="247" t="s">
        <v>82</v>
      </c>
      <c r="AV486" s="16" t="s">
        <v>99</v>
      </c>
      <c r="AW486" s="16" t="s">
        <v>33</v>
      </c>
      <c r="AX486" s="16" t="s">
        <v>72</v>
      </c>
      <c r="AY486" s="247" t="s">
        <v>380</v>
      </c>
    </row>
    <row r="487" spans="1:65" s="15" customFormat="1" ht="11.25">
      <c r="B487" s="216"/>
      <c r="C487" s="217"/>
      <c r="D487" s="196" t="s">
        <v>388</v>
      </c>
      <c r="E487" s="218" t="s">
        <v>19</v>
      </c>
      <c r="F487" s="219" t="s">
        <v>419</v>
      </c>
      <c r="G487" s="217"/>
      <c r="H487" s="220">
        <v>738.11800000000005</v>
      </c>
      <c r="I487" s="221"/>
      <c r="J487" s="217"/>
      <c r="K487" s="217"/>
      <c r="L487" s="222"/>
      <c r="M487" s="223"/>
      <c r="N487" s="224"/>
      <c r="O487" s="224"/>
      <c r="P487" s="224"/>
      <c r="Q487" s="224"/>
      <c r="R487" s="224"/>
      <c r="S487" s="224"/>
      <c r="T487" s="225"/>
      <c r="AT487" s="226" t="s">
        <v>388</v>
      </c>
      <c r="AU487" s="226" t="s">
        <v>82</v>
      </c>
      <c r="AV487" s="15" t="s">
        <v>386</v>
      </c>
      <c r="AW487" s="15" t="s">
        <v>33</v>
      </c>
      <c r="AX487" s="15" t="s">
        <v>79</v>
      </c>
      <c r="AY487" s="226" t="s">
        <v>380</v>
      </c>
    </row>
    <row r="488" spans="1:65" s="2" customFormat="1" ht="21.75" customHeight="1">
      <c r="A488" s="36"/>
      <c r="B488" s="37"/>
      <c r="C488" s="181" t="s">
        <v>815</v>
      </c>
      <c r="D488" s="181" t="s">
        <v>382</v>
      </c>
      <c r="E488" s="182" t="s">
        <v>816</v>
      </c>
      <c r="F488" s="183" t="s">
        <v>817</v>
      </c>
      <c r="G488" s="184" t="s">
        <v>398</v>
      </c>
      <c r="H488" s="185">
        <v>2330.7469999999998</v>
      </c>
      <c r="I488" s="186"/>
      <c r="J488" s="187">
        <f>ROUND(I488*H488,2)</f>
        <v>0</v>
      </c>
      <c r="K488" s="183" t="s">
        <v>399</v>
      </c>
      <c r="L488" s="41"/>
      <c r="M488" s="188" t="s">
        <v>19</v>
      </c>
      <c r="N488" s="189" t="s">
        <v>43</v>
      </c>
      <c r="O488" s="66"/>
      <c r="P488" s="190">
        <f>O488*H488</f>
        <v>0</v>
      </c>
      <c r="Q488" s="190">
        <v>5.3261999999999997E-3</v>
      </c>
      <c r="R488" s="190">
        <f>Q488*H488</f>
        <v>12.414024671399998</v>
      </c>
      <c r="S488" s="190">
        <v>0</v>
      </c>
      <c r="T488" s="191">
        <f>S488*H488</f>
        <v>0</v>
      </c>
      <c r="U488" s="36"/>
      <c r="V488" s="36"/>
      <c r="W488" s="36"/>
      <c r="X488" s="36"/>
      <c r="Y488" s="36"/>
      <c r="Z488" s="36"/>
      <c r="AA488" s="36"/>
      <c r="AB488" s="36"/>
      <c r="AC488" s="36"/>
      <c r="AD488" s="36"/>
      <c r="AE488" s="36"/>
      <c r="AR488" s="192" t="s">
        <v>386</v>
      </c>
      <c r="AT488" s="192" t="s">
        <v>382</v>
      </c>
      <c r="AU488" s="192" t="s">
        <v>82</v>
      </c>
      <c r="AY488" s="19" t="s">
        <v>380</v>
      </c>
      <c r="BE488" s="193">
        <f>IF(N488="základní",J488,0)</f>
        <v>0</v>
      </c>
      <c r="BF488" s="193">
        <f>IF(N488="snížená",J488,0)</f>
        <v>0</v>
      </c>
      <c r="BG488" s="193">
        <f>IF(N488="zákl. přenesená",J488,0)</f>
        <v>0</v>
      </c>
      <c r="BH488" s="193">
        <f>IF(N488="sníž. přenesená",J488,0)</f>
        <v>0</v>
      </c>
      <c r="BI488" s="193">
        <f>IF(N488="nulová",J488,0)</f>
        <v>0</v>
      </c>
      <c r="BJ488" s="19" t="s">
        <v>79</v>
      </c>
      <c r="BK488" s="193">
        <f>ROUND(I488*H488,2)</f>
        <v>0</v>
      </c>
      <c r="BL488" s="19" t="s">
        <v>386</v>
      </c>
      <c r="BM488" s="192" t="s">
        <v>818</v>
      </c>
    </row>
    <row r="489" spans="1:65" s="13" customFormat="1" ht="11.25">
      <c r="B489" s="194"/>
      <c r="C489" s="195"/>
      <c r="D489" s="196" t="s">
        <v>388</v>
      </c>
      <c r="E489" s="197" t="s">
        <v>19</v>
      </c>
      <c r="F489" s="198" t="s">
        <v>583</v>
      </c>
      <c r="G489" s="195"/>
      <c r="H489" s="197" t="s">
        <v>19</v>
      </c>
      <c r="I489" s="199"/>
      <c r="J489" s="195"/>
      <c r="K489" s="195"/>
      <c r="L489" s="200"/>
      <c r="M489" s="201"/>
      <c r="N489" s="202"/>
      <c r="O489" s="202"/>
      <c r="P489" s="202"/>
      <c r="Q489" s="202"/>
      <c r="R489" s="202"/>
      <c r="S489" s="202"/>
      <c r="T489" s="203"/>
      <c r="AT489" s="204" t="s">
        <v>388</v>
      </c>
      <c r="AU489" s="204" t="s">
        <v>82</v>
      </c>
      <c r="AV489" s="13" t="s">
        <v>79</v>
      </c>
      <c r="AW489" s="13" t="s">
        <v>33</v>
      </c>
      <c r="AX489" s="13" t="s">
        <v>72</v>
      </c>
      <c r="AY489" s="204" t="s">
        <v>380</v>
      </c>
    </row>
    <row r="490" spans="1:65" s="14" customFormat="1" ht="11.25">
      <c r="B490" s="205"/>
      <c r="C490" s="206"/>
      <c r="D490" s="196" t="s">
        <v>388</v>
      </c>
      <c r="E490" s="207" t="s">
        <v>19</v>
      </c>
      <c r="F490" s="208" t="s">
        <v>819</v>
      </c>
      <c r="G490" s="206"/>
      <c r="H490" s="209">
        <v>363.5</v>
      </c>
      <c r="I490" s="210"/>
      <c r="J490" s="206"/>
      <c r="K490" s="206"/>
      <c r="L490" s="211"/>
      <c r="M490" s="212"/>
      <c r="N490" s="213"/>
      <c r="O490" s="213"/>
      <c r="P490" s="213"/>
      <c r="Q490" s="213"/>
      <c r="R490" s="213"/>
      <c r="S490" s="213"/>
      <c r="T490" s="214"/>
      <c r="AT490" s="215" t="s">
        <v>388</v>
      </c>
      <c r="AU490" s="215" t="s">
        <v>82</v>
      </c>
      <c r="AV490" s="14" t="s">
        <v>82</v>
      </c>
      <c r="AW490" s="14" t="s">
        <v>33</v>
      </c>
      <c r="AX490" s="14" t="s">
        <v>72</v>
      </c>
      <c r="AY490" s="215" t="s">
        <v>380</v>
      </c>
    </row>
    <row r="491" spans="1:65" s="14" customFormat="1" ht="11.25">
      <c r="B491" s="205"/>
      <c r="C491" s="206"/>
      <c r="D491" s="196" t="s">
        <v>388</v>
      </c>
      <c r="E491" s="207" t="s">
        <v>19</v>
      </c>
      <c r="F491" s="208" t="s">
        <v>820</v>
      </c>
      <c r="G491" s="206"/>
      <c r="H491" s="209">
        <v>26.824999999999999</v>
      </c>
      <c r="I491" s="210"/>
      <c r="J491" s="206"/>
      <c r="K491" s="206"/>
      <c r="L491" s="211"/>
      <c r="M491" s="212"/>
      <c r="N491" s="213"/>
      <c r="O491" s="213"/>
      <c r="P491" s="213"/>
      <c r="Q491" s="213"/>
      <c r="R491" s="213"/>
      <c r="S491" s="213"/>
      <c r="T491" s="214"/>
      <c r="AT491" s="215" t="s">
        <v>388</v>
      </c>
      <c r="AU491" s="215" t="s">
        <v>82</v>
      </c>
      <c r="AV491" s="14" t="s">
        <v>82</v>
      </c>
      <c r="AW491" s="14" t="s">
        <v>33</v>
      </c>
      <c r="AX491" s="14" t="s">
        <v>72</v>
      </c>
      <c r="AY491" s="215" t="s">
        <v>380</v>
      </c>
    </row>
    <row r="492" spans="1:65" s="16" customFormat="1" ht="11.25">
      <c r="B492" s="237"/>
      <c r="C492" s="238"/>
      <c r="D492" s="196" t="s">
        <v>388</v>
      </c>
      <c r="E492" s="239" t="s">
        <v>19</v>
      </c>
      <c r="F492" s="240" t="s">
        <v>572</v>
      </c>
      <c r="G492" s="238"/>
      <c r="H492" s="241">
        <v>390.32499999999999</v>
      </c>
      <c r="I492" s="242"/>
      <c r="J492" s="238"/>
      <c r="K492" s="238"/>
      <c r="L492" s="243"/>
      <c r="M492" s="244"/>
      <c r="N492" s="245"/>
      <c r="O492" s="245"/>
      <c r="P492" s="245"/>
      <c r="Q492" s="245"/>
      <c r="R492" s="245"/>
      <c r="S492" s="245"/>
      <c r="T492" s="246"/>
      <c r="AT492" s="247" t="s">
        <v>388</v>
      </c>
      <c r="AU492" s="247" t="s">
        <v>82</v>
      </c>
      <c r="AV492" s="16" t="s">
        <v>99</v>
      </c>
      <c r="AW492" s="16" t="s">
        <v>33</v>
      </c>
      <c r="AX492" s="16" t="s">
        <v>72</v>
      </c>
      <c r="AY492" s="247" t="s">
        <v>380</v>
      </c>
    </row>
    <row r="493" spans="1:65" s="13" customFormat="1" ht="11.25">
      <c r="B493" s="194"/>
      <c r="C493" s="195"/>
      <c r="D493" s="196" t="s">
        <v>388</v>
      </c>
      <c r="E493" s="197" t="s">
        <v>19</v>
      </c>
      <c r="F493" s="198" t="s">
        <v>569</v>
      </c>
      <c r="G493" s="195"/>
      <c r="H493" s="197" t="s">
        <v>19</v>
      </c>
      <c r="I493" s="199"/>
      <c r="J493" s="195"/>
      <c r="K493" s="195"/>
      <c r="L493" s="200"/>
      <c r="M493" s="201"/>
      <c r="N493" s="202"/>
      <c r="O493" s="202"/>
      <c r="P493" s="202"/>
      <c r="Q493" s="202"/>
      <c r="R493" s="202"/>
      <c r="S493" s="202"/>
      <c r="T493" s="203"/>
      <c r="AT493" s="204" t="s">
        <v>388</v>
      </c>
      <c r="AU493" s="204" t="s">
        <v>82</v>
      </c>
      <c r="AV493" s="13" t="s">
        <v>79</v>
      </c>
      <c r="AW493" s="13" t="s">
        <v>33</v>
      </c>
      <c r="AX493" s="13" t="s">
        <v>72</v>
      </c>
      <c r="AY493" s="204" t="s">
        <v>380</v>
      </c>
    </row>
    <row r="494" spans="1:65" s="14" customFormat="1" ht="11.25">
      <c r="B494" s="205"/>
      <c r="C494" s="206"/>
      <c r="D494" s="196" t="s">
        <v>388</v>
      </c>
      <c r="E494" s="207" t="s">
        <v>19</v>
      </c>
      <c r="F494" s="208" t="s">
        <v>821</v>
      </c>
      <c r="G494" s="206"/>
      <c r="H494" s="209">
        <v>1019.4</v>
      </c>
      <c r="I494" s="210"/>
      <c r="J494" s="206"/>
      <c r="K494" s="206"/>
      <c r="L494" s="211"/>
      <c r="M494" s="212"/>
      <c r="N494" s="213"/>
      <c r="O494" s="213"/>
      <c r="P494" s="213"/>
      <c r="Q494" s="213"/>
      <c r="R494" s="213"/>
      <c r="S494" s="213"/>
      <c r="T494" s="214"/>
      <c r="AT494" s="215" t="s">
        <v>388</v>
      </c>
      <c r="AU494" s="215" t="s">
        <v>82</v>
      </c>
      <c r="AV494" s="14" t="s">
        <v>82</v>
      </c>
      <c r="AW494" s="14" t="s">
        <v>33</v>
      </c>
      <c r="AX494" s="14" t="s">
        <v>72</v>
      </c>
      <c r="AY494" s="215" t="s">
        <v>380</v>
      </c>
    </row>
    <row r="495" spans="1:65" s="14" customFormat="1" ht="11.25">
      <c r="B495" s="205"/>
      <c r="C495" s="206"/>
      <c r="D495" s="196" t="s">
        <v>388</v>
      </c>
      <c r="E495" s="207" t="s">
        <v>19</v>
      </c>
      <c r="F495" s="208" t="s">
        <v>822</v>
      </c>
      <c r="G495" s="206"/>
      <c r="H495" s="209">
        <v>20.440000000000001</v>
      </c>
      <c r="I495" s="210"/>
      <c r="J495" s="206"/>
      <c r="K495" s="206"/>
      <c r="L495" s="211"/>
      <c r="M495" s="212"/>
      <c r="N495" s="213"/>
      <c r="O495" s="213"/>
      <c r="P495" s="213"/>
      <c r="Q495" s="213"/>
      <c r="R495" s="213"/>
      <c r="S495" s="213"/>
      <c r="T495" s="214"/>
      <c r="AT495" s="215" t="s">
        <v>388</v>
      </c>
      <c r="AU495" s="215" t="s">
        <v>82</v>
      </c>
      <c r="AV495" s="14" t="s">
        <v>82</v>
      </c>
      <c r="AW495" s="14" t="s">
        <v>33</v>
      </c>
      <c r="AX495" s="14" t="s">
        <v>72</v>
      </c>
      <c r="AY495" s="215" t="s">
        <v>380</v>
      </c>
    </row>
    <row r="496" spans="1:65" s="14" customFormat="1" ht="11.25">
      <c r="B496" s="205"/>
      <c r="C496" s="206"/>
      <c r="D496" s="196" t="s">
        <v>388</v>
      </c>
      <c r="E496" s="207" t="s">
        <v>19</v>
      </c>
      <c r="F496" s="208" t="s">
        <v>823</v>
      </c>
      <c r="G496" s="206"/>
      <c r="H496" s="209">
        <v>38.049999999999997</v>
      </c>
      <c r="I496" s="210"/>
      <c r="J496" s="206"/>
      <c r="K496" s="206"/>
      <c r="L496" s="211"/>
      <c r="M496" s="212"/>
      <c r="N496" s="213"/>
      <c r="O496" s="213"/>
      <c r="P496" s="213"/>
      <c r="Q496" s="213"/>
      <c r="R496" s="213"/>
      <c r="S496" s="213"/>
      <c r="T496" s="214"/>
      <c r="AT496" s="215" t="s">
        <v>388</v>
      </c>
      <c r="AU496" s="215" t="s">
        <v>82</v>
      </c>
      <c r="AV496" s="14" t="s">
        <v>82</v>
      </c>
      <c r="AW496" s="14" t="s">
        <v>33</v>
      </c>
      <c r="AX496" s="14" t="s">
        <v>72</v>
      </c>
      <c r="AY496" s="215" t="s">
        <v>380</v>
      </c>
    </row>
    <row r="497" spans="1:65" s="14" customFormat="1" ht="11.25">
      <c r="B497" s="205"/>
      <c r="C497" s="206"/>
      <c r="D497" s="196" t="s">
        <v>388</v>
      </c>
      <c r="E497" s="207" t="s">
        <v>19</v>
      </c>
      <c r="F497" s="208" t="s">
        <v>824</v>
      </c>
      <c r="G497" s="206"/>
      <c r="H497" s="209">
        <v>5.16</v>
      </c>
      <c r="I497" s="210"/>
      <c r="J497" s="206"/>
      <c r="K497" s="206"/>
      <c r="L497" s="211"/>
      <c r="M497" s="212"/>
      <c r="N497" s="213"/>
      <c r="O497" s="213"/>
      <c r="P497" s="213"/>
      <c r="Q497" s="213"/>
      <c r="R497" s="213"/>
      <c r="S497" s="213"/>
      <c r="T497" s="214"/>
      <c r="AT497" s="215" t="s">
        <v>388</v>
      </c>
      <c r="AU497" s="215" t="s">
        <v>82</v>
      </c>
      <c r="AV497" s="14" t="s">
        <v>82</v>
      </c>
      <c r="AW497" s="14" t="s">
        <v>33</v>
      </c>
      <c r="AX497" s="14" t="s">
        <v>72</v>
      </c>
      <c r="AY497" s="215" t="s">
        <v>380</v>
      </c>
    </row>
    <row r="498" spans="1:65" s="16" customFormat="1" ht="11.25">
      <c r="B498" s="237"/>
      <c r="C498" s="238"/>
      <c r="D498" s="196" t="s">
        <v>388</v>
      </c>
      <c r="E498" s="239" t="s">
        <v>19</v>
      </c>
      <c r="F498" s="240" t="s">
        <v>572</v>
      </c>
      <c r="G498" s="238"/>
      <c r="H498" s="241">
        <v>1083.05</v>
      </c>
      <c r="I498" s="242"/>
      <c r="J498" s="238"/>
      <c r="K498" s="238"/>
      <c r="L498" s="243"/>
      <c r="M498" s="244"/>
      <c r="N498" s="245"/>
      <c r="O498" s="245"/>
      <c r="P498" s="245"/>
      <c r="Q498" s="245"/>
      <c r="R498" s="245"/>
      <c r="S498" s="245"/>
      <c r="T498" s="246"/>
      <c r="AT498" s="247" t="s">
        <v>388</v>
      </c>
      <c r="AU498" s="247" t="s">
        <v>82</v>
      </c>
      <c r="AV498" s="16" t="s">
        <v>99</v>
      </c>
      <c r="AW498" s="16" t="s">
        <v>33</v>
      </c>
      <c r="AX498" s="16" t="s">
        <v>72</v>
      </c>
      <c r="AY498" s="247" t="s">
        <v>380</v>
      </c>
    </row>
    <row r="499" spans="1:65" s="13" customFormat="1" ht="11.25">
      <c r="B499" s="194"/>
      <c r="C499" s="195"/>
      <c r="D499" s="196" t="s">
        <v>388</v>
      </c>
      <c r="E499" s="197" t="s">
        <v>19</v>
      </c>
      <c r="F499" s="198" t="s">
        <v>573</v>
      </c>
      <c r="G499" s="195"/>
      <c r="H499" s="197" t="s">
        <v>19</v>
      </c>
      <c r="I499" s="199"/>
      <c r="J499" s="195"/>
      <c r="K499" s="195"/>
      <c r="L499" s="200"/>
      <c r="M499" s="201"/>
      <c r="N499" s="202"/>
      <c r="O499" s="202"/>
      <c r="P499" s="202"/>
      <c r="Q499" s="202"/>
      <c r="R499" s="202"/>
      <c r="S499" s="202"/>
      <c r="T499" s="203"/>
      <c r="AT499" s="204" t="s">
        <v>388</v>
      </c>
      <c r="AU499" s="204" t="s">
        <v>82</v>
      </c>
      <c r="AV499" s="13" t="s">
        <v>79</v>
      </c>
      <c r="AW499" s="13" t="s">
        <v>33</v>
      </c>
      <c r="AX499" s="13" t="s">
        <v>72</v>
      </c>
      <c r="AY499" s="204" t="s">
        <v>380</v>
      </c>
    </row>
    <row r="500" spans="1:65" s="14" customFormat="1" ht="11.25">
      <c r="B500" s="205"/>
      <c r="C500" s="206"/>
      <c r="D500" s="196" t="s">
        <v>388</v>
      </c>
      <c r="E500" s="207" t="s">
        <v>19</v>
      </c>
      <c r="F500" s="208" t="s">
        <v>825</v>
      </c>
      <c r="G500" s="206"/>
      <c r="H500" s="209">
        <v>397.3</v>
      </c>
      <c r="I500" s="210"/>
      <c r="J500" s="206"/>
      <c r="K500" s="206"/>
      <c r="L500" s="211"/>
      <c r="M500" s="212"/>
      <c r="N500" s="213"/>
      <c r="O500" s="213"/>
      <c r="P500" s="213"/>
      <c r="Q500" s="213"/>
      <c r="R500" s="213"/>
      <c r="S500" s="213"/>
      <c r="T500" s="214"/>
      <c r="AT500" s="215" t="s">
        <v>388</v>
      </c>
      <c r="AU500" s="215" t="s">
        <v>82</v>
      </c>
      <c r="AV500" s="14" t="s">
        <v>82</v>
      </c>
      <c r="AW500" s="14" t="s">
        <v>33</v>
      </c>
      <c r="AX500" s="14" t="s">
        <v>72</v>
      </c>
      <c r="AY500" s="215" t="s">
        <v>380</v>
      </c>
    </row>
    <row r="501" spans="1:65" s="14" customFormat="1" ht="11.25">
      <c r="B501" s="205"/>
      <c r="C501" s="206"/>
      <c r="D501" s="196" t="s">
        <v>388</v>
      </c>
      <c r="E501" s="207" t="s">
        <v>19</v>
      </c>
      <c r="F501" s="208" t="s">
        <v>826</v>
      </c>
      <c r="G501" s="206"/>
      <c r="H501" s="209">
        <v>39.662999999999997</v>
      </c>
      <c r="I501" s="210"/>
      <c r="J501" s="206"/>
      <c r="K501" s="206"/>
      <c r="L501" s="211"/>
      <c r="M501" s="212"/>
      <c r="N501" s="213"/>
      <c r="O501" s="213"/>
      <c r="P501" s="213"/>
      <c r="Q501" s="213"/>
      <c r="R501" s="213"/>
      <c r="S501" s="213"/>
      <c r="T501" s="214"/>
      <c r="AT501" s="215" t="s">
        <v>388</v>
      </c>
      <c r="AU501" s="215" t="s">
        <v>82</v>
      </c>
      <c r="AV501" s="14" t="s">
        <v>82</v>
      </c>
      <c r="AW501" s="14" t="s">
        <v>33</v>
      </c>
      <c r="AX501" s="14" t="s">
        <v>72</v>
      </c>
      <c r="AY501" s="215" t="s">
        <v>380</v>
      </c>
    </row>
    <row r="502" spans="1:65" s="16" customFormat="1" ht="11.25">
      <c r="B502" s="237"/>
      <c r="C502" s="238"/>
      <c r="D502" s="196" t="s">
        <v>388</v>
      </c>
      <c r="E502" s="239" t="s">
        <v>19</v>
      </c>
      <c r="F502" s="240" t="s">
        <v>572</v>
      </c>
      <c r="G502" s="238"/>
      <c r="H502" s="241">
        <v>436.96300000000002</v>
      </c>
      <c r="I502" s="242"/>
      <c r="J502" s="238"/>
      <c r="K502" s="238"/>
      <c r="L502" s="243"/>
      <c r="M502" s="244"/>
      <c r="N502" s="245"/>
      <c r="O502" s="245"/>
      <c r="P502" s="245"/>
      <c r="Q502" s="245"/>
      <c r="R502" s="245"/>
      <c r="S502" s="245"/>
      <c r="T502" s="246"/>
      <c r="AT502" s="247" t="s">
        <v>388</v>
      </c>
      <c r="AU502" s="247" t="s">
        <v>82</v>
      </c>
      <c r="AV502" s="16" t="s">
        <v>99</v>
      </c>
      <c r="AW502" s="16" t="s">
        <v>33</v>
      </c>
      <c r="AX502" s="16" t="s">
        <v>72</v>
      </c>
      <c r="AY502" s="247" t="s">
        <v>380</v>
      </c>
    </row>
    <row r="503" spans="1:65" s="13" customFormat="1" ht="11.25">
      <c r="B503" s="194"/>
      <c r="C503" s="195"/>
      <c r="D503" s="196" t="s">
        <v>388</v>
      </c>
      <c r="E503" s="197" t="s">
        <v>19</v>
      </c>
      <c r="F503" s="198" t="s">
        <v>576</v>
      </c>
      <c r="G503" s="195"/>
      <c r="H503" s="197" t="s">
        <v>19</v>
      </c>
      <c r="I503" s="199"/>
      <c r="J503" s="195"/>
      <c r="K503" s="195"/>
      <c r="L503" s="200"/>
      <c r="M503" s="201"/>
      <c r="N503" s="202"/>
      <c r="O503" s="202"/>
      <c r="P503" s="202"/>
      <c r="Q503" s="202"/>
      <c r="R503" s="202"/>
      <c r="S503" s="202"/>
      <c r="T503" s="203"/>
      <c r="AT503" s="204" t="s">
        <v>388</v>
      </c>
      <c r="AU503" s="204" t="s">
        <v>82</v>
      </c>
      <c r="AV503" s="13" t="s">
        <v>79</v>
      </c>
      <c r="AW503" s="13" t="s">
        <v>33</v>
      </c>
      <c r="AX503" s="13" t="s">
        <v>72</v>
      </c>
      <c r="AY503" s="204" t="s">
        <v>380</v>
      </c>
    </row>
    <row r="504" spans="1:65" s="14" customFormat="1" ht="11.25">
      <c r="B504" s="205"/>
      <c r="C504" s="206"/>
      <c r="D504" s="196" t="s">
        <v>388</v>
      </c>
      <c r="E504" s="207" t="s">
        <v>19</v>
      </c>
      <c r="F504" s="208" t="s">
        <v>827</v>
      </c>
      <c r="G504" s="206"/>
      <c r="H504" s="209">
        <v>373.03300000000002</v>
      </c>
      <c r="I504" s="210"/>
      <c r="J504" s="206"/>
      <c r="K504" s="206"/>
      <c r="L504" s="211"/>
      <c r="M504" s="212"/>
      <c r="N504" s="213"/>
      <c r="O504" s="213"/>
      <c r="P504" s="213"/>
      <c r="Q504" s="213"/>
      <c r="R504" s="213"/>
      <c r="S504" s="213"/>
      <c r="T504" s="214"/>
      <c r="AT504" s="215" t="s">
        <v>388</v>
      </c>
      <c r="AU504" s="215" t="s">
        <v>82</v>
      </c>
      <c r="AV504" s="14" t="s">
        <v>82</v>
      </c>
      <c r="AW504" s="14" t="s">
        <v>33</v>
      </c>
      <c r="AX504" s="14" t="s">
        <v>72</v>
      </c>
      <c r="AY504" s="215" t="s">
        <v>380</v>
      </c>
    </row>
    <row r="505" spans="1:65" s="14" customFormat="1" ht="11.25">
      <c r="B505" s="205"/>
      <c r="C505" s="206"/>
      <c r="D505" s="196" t="s">
        <v>388</v>
      </c>
      <c r="E505" s="207" t="s">
        <v>19</v>
      </c>
      <c r="F505" s="208" t="s">
        <v>828</v>
      </c>
      <c r="G505" s="206"/>
      <c r="H505" s="209">
        <v>15.66</v>
      </c>
      <c r="I505" s="210"/>
      <c r="J505" s="206"/>
      <c r="K505" s="206"/>
      <c r="L505" s="211"/>
      <c r="M505" s="212"/>
      <c r="N505" s="213"/>
      <c r="O505" s="213"/>
      <c r="P505" s="213"/>
      <c r="Q505" s="213"/>
      <c r="R505" s="213"/>
      <c r="S505" s="213"/>
      <c r="T505" s="214"/>
      <c r="AT505" s="215" t="s">
        <v>388</v>
      </c>
      <c r="AU505" s="215" t="s">
        <v>82</v>
      </c>
      <c r="AV505" s="14" t="s">
        <v>82</v>
      </c>
      <c r="AW505" s="14" t="s">
        <v>33</v>
      </c>
      <c r="AX505" s="14" t="s">
        <v>72</v>
      </c>
      <c r="AY505" s="215" t="s">
        <v>380</v>
      </c>
    </row>
    <row r="506" spans="1:65" s="14" customFormat="1" ht="11.25">
      <c r="B506" s="205"/>
      <c r="C506" s="206"/>
      <c r="D506" s="196" t="s">
        <v>388</v>
      </c>
      <c r="E506" s="207" t="s">
        <v>19</v>
      </c>
      <c r="F506" s="208" t="s">
        <v>829</v>
      </c>
      <c r="G506" s="206"/>
      <c r="H506" s="209">
        <v>27.236000000000001</v>
      </c>
      <c r="I506" s="210"/>
      <c r="J506" s="206"/>
      <c r="K506" s="206"/>
      <c r="L506" s="211"/>
      <c r="M506" s="212"/>
      <c r="N506" s="213"/>
      <c r="O506" s="213"/>
      <c r="P506" s="213"/>
      <c r="Q506" s="213"/>
      <c r="R506" s="213"/>
      <c r="S506" s="213"/>
      <c r="T506" s="214"/>
      <c r="AT506" s="215" t="s">
        <v>388</v>
      </c>
      <c r="AU506" s="215" t="s">
        <v>82</v>
      </c>
      <c r="AV506" s="14" t="s">
        <v>82</v>
      </c>
      <c r="AW506" s="14" t="s">
        <v>33</v>
      </c>
      <c r="AX506" s="14" t="s">
        <v>72</v>
      </c>
      <c r="AY506" s="215" t="s">
        <v>380</v>
      </c>
    </row>
    <row r="507" spans="1:65" s="14" customFormat="1" ht="11.25">
      <c r="B507" s="205"/>
      <c r="C507" s="206"/>
      <c r="D507" s="196" t="s">
        <v>388</v>
      </c>
      <c r="E507" s="207" t="s">
        <v>19</v>
      </c>
      <c r="F507" s="208" t="s">
        <v>830</v>
      </c>
      <c r="G507" s="206"/>
      <c r="H507" s="209">
        <v>4.4800000000000004</v>
      </c>
      <c r="I507" s="210"/>
      <c r="J507" s="206"/>
      <c r="K507" s="206"/>
      <c r="L507" s="211"/>
      <c r="M507" s="212"/>
      <c r="N507" s="213"/>
      <c r="O507" s="213"/>
      <c r="P507" s="213"/>
      <c r="Q507" s="213"/>
      <c r="R507" s="213"/>
      <c r="S507" s="213"/>
      <c r="T507" s="214"/>
      <c r="AT507" s="215" t="s">
        <v>388</v>
      </c>
      <c r="AU507" s="215" t="s">
        <v>82</v>
      </c>
      <c r="AV507" s="14" t="s">
        <v>82</v>
      </c>
      <c r="AW507" s="14" t="s">
        <v>33</v>
      </c>
      <c r="AX507" s="14" t="s">
        <v>72</v>
      </c>
      <c r="AY507" s="215" t="s">
        <v>380</v>
      </c>
    </row>
    <row r="508" spans="1:65" s="16" customFormat="1" ht="11.25">
      <c r="B508" s="237"/>
      <c r="C508" s="238"/>
      <c r="D508" s="196" t="s">
        <v>388</v>
      </c>
      <c r="E508" s="239" t="s">
        <v>19</v>
      </c>
      <c r="F508" s="240" t="s">
        <v>572</v>
      </c>
      <c r="G508" s="238"/>
      <c r="H508" s="241">
        <v>420.40899999999999</v>
      </c>
      <c r="I508" s="242"/>
      <c r="J508" s="238"/>
      <c r="K508" s="238"/>
      <c r="L508" s="243"/>
      <c r="M508" s="244"/>
      <c r="N508" s="245"/>
      <c r="O508" s="245"/>
      <c r="P508" s="245"/>
      <c r="Q508" s="245"/>
      <c r="R508" s="245"/>
      <c r="S508" s="245"/>
      <c r="T508" s="246"/>
      <c r="AT508" s="247" t="s">
        <v>388</v>
      </c>
      <c r="AU508" s="247" t="s">
        <v>82</v>
      </c>
      <c r="AV508" s="16" t="s">
        <v>99</v>
      </c>
      <c r="AW508" s="16" t="s">
        <v>33</v>
      </c>
      <c r="AX508" s="16" t="s">
        <v>72</v>
      </c>
      <c r="AY508" s="247" t="s">
        <v>380</v>
      </c>
    </row>
    <row r="509" spans="1:65" s="15" customFormat="1" ht="11.25">
      <c r="B509" s="216"/>
      <c r="C509" s="217"/>
      <c r="D509" s="196" t="s">
        <v>388</v>
      </c>
      <c r="E509" s="218" t="s">
        <v>19</v>
      </c>
      <c r="F509" s="219" t="s">
        <v>419</v>
      </c>
      <c r="G509" s="217"/>
      <c r="H509" s="220">
        <v>2330.7469999999998</v>
      </c>
      <c r="I509" s="221"/>
      <c r="J509" s="217"/>
      <c r="K509" s="217"/>
      <c r="L509" s="222"/>
      <c r="M509" s="223"/>
      <c r="N509" s="224"/>
      <c r="O509" s="224"/>
      <c r="P509" s="224"/>
      <c r="Q509" s="224"/>
      <c r="R509" s="224"/>
      <c r="S509" s="224"/>
      <c r="T509" s="225"/>
      <c r="AT509" s="226" t="s">
        <v>388</v>
      </c>
      <c r="AU509" s="226" t="s">
        <v>82</v>
      </c>
      <c r="AV509" s="15" t="s">
        <v>386</v>
      </c>
      <c r="AW509" s="15" t="s">
        <v>33</v>
      </c>
      <c r="AX509" s="15" t="s">
        <v>79</v>
      </c>
      <c r="AY509" s="226" t="s">
        <v>380</v>
      </c>
    </row>
    <row r="510" spans="1:65" s="2" customFormat="1" ht="24.2" customHeight="1">
      <c r="A510" s="36"/>
      <c r="B510" s="37"/>
      <c r="C510" s="181" t="s">
        <v>831</v>
      </c>
      <c r="D510" s="181" t="s">
        <v>382</v>
      </c>
      <c r="E510" s="182" t="s">
        <v>832</v>
      </c>
      <c r="F510" s="183" t="s">
        <v>833</v>
      </c>
      <c r="G510" s="184" t="s">
        <v>398</v>
      </c>
      <c r="H510" s="185">
        <v>2330.7469999999998</v>
      </c>
      <c r="I510" s="186"/>
      <c r="J510" s="187">
        <f>ROUND(I510*H510,2)</f>
        <v>0</v>
      </c>
      <c r="K510" s="183" t="s">
        <v>399</v>
      </c>
      <c r="L510" s="41"/>
      <c r="M510" s="188" t="s">
        <v>19</v>
      </c>
      <c r="N510" s="189" t="s">
        <v>43</v>
      </c>
      <c r="O510" s="66"/>
      <c r="P510" s="190">
        <f>O510*H510</f>
        <v>0</v>
      </c>
      <c r="Q510" s="190">
        <v>0</v>
      </c>
      <c r="R510" s="190">
        <f>Q510*H510</f>
        <v>0</v>
      </c>
      <c r="S510" s="190">
        <v>0</v>
      </c>
      <c r="T510" s="191">
        <f>S510*H510</f>
        <v>0</v>
      </c>
      <c r="U510" s="36"/>
      <c r="V510" s="36"/>
      <c r="W510" s="36"/>
      <c r="X510" s="36"/>
      <c r="Y510" s="36"/>
      <c r="Z510" s="36"/>
      <c r="AA510" s="36"/>
      <c r="AB510" s="36"/>
      <c r="AC510" s="36"/>
      <c r="AD510" s="36"/>
      <c r="AE510" s="36"/>
      <c r="AR510" s="192" t="s">
        <v>386</v>
      </c>
      <c r="AT510" s="192" t="s">
        <v>382</v>
      </c>
      <c r="AU510" s="192" t="s">
        <v>82</v>
      </c>
      <c r="AY510" s="19" t="s">
        <v>380</v>
      </c>
      <c r="BE510" s="193">
        <f>IF(N510="základní",J510,0)</f>
        <v>0</v>
      </c>
      <c r="BF510" s="193">
        <f>IF(N510="snížená",J510,0)</f>
        <v>0</v>
      </c>
      <c r="BG510" s="193">
        <f>IF(N510="zákl. přenesená",J510,0)</f>
        <v>0</v>
      </c>
      <c r="BH510" s="193">
        <f>IF(N510="sníž. přenesená",J510,0)</f>
        <v>0</v>
      </c>
      <c r="BI510" s="193">
        <f>IF(N510="nulová",J510,0)</f>
        <v>0</v>
      </c>
      <c r="BJ510" s="19" t="s">
        <v>79</v>
      </c>
      <c r="BK510" s="193">
        <f>ROUND(I510*H510,2)</f>
        <v>0</v>
      </c>
      <c r="BL510" s="19" t="s">
        <v>386</v>
      </c>
      <c r="BM510" s="192" t="s">
        <v>834</v>
      </c>
    </row>
    <row r="511" spans="1:65" s="2" customFormat="1" ht="21.75" customHeight="1">
      <c r="A511" s="36"/>
      <c r="B511" s="37"/>
      <c r="C511" s="181" t="s">
        <v>835</v>
      </c>
      <c r="D511" s="181" t="s">
        <v>382</v>
      </c>
      <c r="E511" s="182" t="s">
        <v>836</v>
      </c>
      <c r="F511" s="183" t="s">
        <v>837</v>
      </c>
      <c r="G511" s="184" t="s">
        <v>398</v>
      </c>
      <c r="H511" s="185">
        <v>761.5</v>
      </c>
      <c r="I511" s="186"/>
      <c r="J511" s="187">
        <f>ROUND(I511*H511,2)</f>
        <v>0</v>
      </c>
      <c r="K511" s="183" t="s">
        <v>399</v>
      </c>
      <c r="L511" s="41"/>
      <c r="M511" s="188" t="s">
        <v>19</v>
      </c>
      <c r="N511" s="189" t="s">
        <v>43</v>
      </c>
      <c r="O511" s="66"/>
      <c r="P511" s="190">
        <f>O511*H511</f>
        <v>0</v>
      </c>
      <c r="Q511" s="190">
        <v>5.5180000000000003E-3</v>
      </c>
      <c r="R511" s="190">
        <f>Q511*H511</f>
        <v>4.2019570000000002</v>
      </c>
      <c r="S511" s="190">
        <v>0</v>
      </c>
      <c r="T511" s="191">
        <f>S511*H511</f>
        <v>0</v>
      </c>
      <c r="U511" s="36"/>
      <c r="V511" s="36"/>
      <c r="W511" s="36"/>
      <c r="X511" s="36"/>
      <c r="Y511" s="36"/>
      <c r="Z511" s="36"/>
      <c r="AA511" s="36"/>
      <c r="AB511" s="36"/>
      <c r="AC511" s="36"/>
      <c r="AD511" s="36"/>
      <c r="AE511" s="36"/>
      <c r="AR511" s="192" t="s">
        <v>386</v>
      </c>
      <c r="AT511" s="192" t="s">
        <v>382</v>
      </c>
      <c r="AU511" s="192" t="s">
        <v>82</v>
      </c>
      <c r="AY511" s="19" t="s">
        <v>380</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386</v>
      </c>
      <c r="BM511" s="192" t="s">
        <v>838</v>
      </c>
    </row>
    <row r="512" spans="1:65" s="13" customFormat="1" ht="11.25">
      <c r="B512" s="194"/>
      <c r="C512" s="195"/>
      <c r="D512" s="196" t="s">
        <v>388</v>
      </c>
      <c r="E512" s="197" t="s">
        <v>19</v>
      </c>
      <c r="F512" s="198" t="s">
        <v>583</v>
      </c>
      <c r="G512" s="195"/>
      <c r="H512" s="197" t="s">
        <v>19</v>
      </c>
      <c r="I512" s="199"/>
      <c r="J512" s="195"/>
      <c r="K512" s="195"/>
      <c r="L512" s="200"/>
      <c r="M512" s="201"/>
      <c r="N512" s="202"/>
      <c r="O512" s="202"/>
      <c r="P512" s="202"/>
      <c r="Q512" s="202"/>
      <c r="R512" s="202"/>
      <c r="S512" s="202"/>
      <c r="T512" s="203"/>
      <c r="AT512" s="204" t="s">
        <v>388</v>
      </c>
      <c r="AU512" s="204" t="s">
        <v>82</v>
      </c>
      <c r="AV512" s="13" t="s">
        <v>79</v>
      </c>
      <c r="AW512" s="13" t="s">
        <v>33</v>
      </c>
      <c r="AX512" s="13" t="s">
        <v>72</v>
      </c>
      <c r="AY512" s="204" t="s">
        <v>380</v>
      </c>
    </row>
    <row r="513" spans="1:65" s="14" customFormat="1" ht="11.25">
      <c r="B513" s="205"/>
      <c r="C513" s="206"/>
      <c r="D513" s="196" t="s">
        <v>388</v>
      </c>
      <c r="E513" s="207" t="s">
        <v>19</v>
      </c>
      <c r="F513" s="208" t="s">
        <v>839</v>
      </c>
      <c r="G513" s="206"/>
      <c r="H513" s="209">
        <v>727.78800000000001</v>
      </c>
      <c r="I513" s="210"/>
      <c r="J513" s="206"/>
      <c r="K513" s="206"/>
      <c r="L513" s="211"/>
      <c r="M513" s="212"/>
      <c r="N513" s="213"/>
      <c r="O513" s="213"/>
      <c r="P513" s="213"/>
      <c r="Q513" s="213"/>
      <c r="R513" s="213"/>
      <c r="S513" s="213"/>
      <c r="T513" s="214"/>
      <c r="AT513" s="215" t="s">
        <v>388</v>
      </c>
      <c r="AU513" s="215" t="s">
        <v>82</v>
      </c>
      <c r="AV513" s="14" t="s">
        <v>82</v>
      </c>
      <c r="AW513" s="14" t="s">
        <v>33</v>
      </c>
      <c r="AX513" s="14" t="s">
        <v>72</v>
      </c>
      <c r="AY513" s="215" t="s">
        <v>380</v>
      </c>
    </row>
    <row r="514" spans="1:65" s="14" customFormat="1" ht="11.25">
      <c r="B514" s="205"/>
      <c r="C514" s="206"/>
      <c r="D514" s="196" t="s">
        <v>388</v>
      </c>
      <c r="E514" s="207" t="s">
        <v>19</v>
      </c>
      <c r="F514" s="208" t="s">
        <v>840</v>
      </c>
      <c r="G514" s="206"/>
      <c r="H514" s="209">
        <v>33.712000000000003</v>
      </c>
      <c r="I514" s="210"/>
      <c r="J514" s="206"/>
      <c r="K514" s="206"/>
      <c r="L514" s="211"/>
      <c r="M514" s="212"/>
      <c r="N514" s="213"/>
      <c r="O514" s="213"/>
      <c r="P514" s="213"/>
      <c r="Q514" s="213"/>
      <c r="R514" s="213"/>
      <c r="S514" s="213"/>
      <c r="T514" s="214"/>
      <c r="AT514" s="215" t="s">
        <v>388</v>
      </c>
      <c r="AU514" s="215" t="s">
        <v>82</v>
      </c>
      <c r="AV514" s="14" t="s">
        <v>82</v>
      </c>
      <c r="AW514" s="14" t="s">
        <v>33</v>
      </c>
      <c r="AX514" s="14" t="s">
        <v>72</v>
      </c>
      <c r="AY514" s="215" t="s">
        <v>380</v>
      </c>
    </row>
    <row r="515" spans="1:65" s="15" customFormat="1" ht="11.25">
      <c r="B515" s="216"/>
      <c r="C515" s="217"/>
      <c r="D515" s="196" t="s">
        <v>388</v>
      </c>
      <c r="E515" s="218" t="s">
        <v>19</v>
      </c>
      <c r="F515" s="219" t="s">
        <v>419</v>
      </c>
      <c r="G515" s="217"/>
      <c r="H515" s="220">
        <v>761.5</v>
      </c>
      <c r="I515" s="221"/>
      <c r="J515" s="217"/>
      <c r="K515" s="217"/>
      <c r="L515" s="222"/>
      <c r="M515" s="223"/>
      <c r="N515" s="224"/>
      <c r="O515" s="224"/>
      <c r="P515" s="224"/>
      <c r="Q515" s="224"/>
      <c r="R515" s="224"/>
      <c r="S515" s="224"/>
      <c r="T515" s="225"/>
      <c r="AT515" s="226" t="s">
        <v>388</v>
      </c>
      <c r="AU515" s="226" t="s">
        <v>82</v>
      </c>
      <c r="AV515" s="15" t="s">
        <v>386</v>
      </c>
      <c r="AW515" s="15" t="s">
        <v>33</v>
      </c>
      <c r="AX515" s="15" t="s">
        <v>79</v>
      </c>
      <c r="AY515" s="226" t="s">
        <v>380</v>
      </c>
    </row>
    <row r="516" spans="1:65" s="2" customFormat="1" ht="24.2" customHeight="1">
      <c r="A516" s="36"/>
      <c r="B516" s="37"/>
      <c r="C516" s="181" t="s">
        <v>841</v>
      </c>
      <c r="D516" s="181" t="s">
        <v>382</v>
      </c>
      <c r="E516" s="182" t="s">
        <v>842</v>
      </c>
      <c r="F516" s="183" t="s">
        <v>843</v>
      </c>
      <c r="G516" s="184" t="s">
        <v>398</v>
      </c>
      <c r="H516" s="185">
        <v>761.5</v>
      </c>
      <c r="I516" s="186"/>
      <c r="J516" s="187">
        <f>ROUND(I516*H516,2)</f>
        <v>0</v>
      </c>
      <c r="K516" s="183" t="s">
        <v>399</v>
      </c>
      <c r="L516" s="41"/>
      <c r="M516" s="188" t="s">
        <v>19</v>
      </c>
      <c r="N516" s="189" t="s">
        <v>43</v>
      </c>
      <c r="O516" s="66"/>
      <c r="P516" s="190">
        <f>O516*H516</f>
        <v>0</v>
      </c>
      <c r="Q516" s="190">
        <v>0</v>
      </c>
      <c r="R516" s="190">
        <f>Q516*H516</f>
        <v>0</v>
      </c>
      <c r="S516" s="190">
        <v>0</v>
      </c>
      <c r="T516" s="191">
        <f>S516*H516</f>
        <v>0</v>
      </c>
      <c r="U516" s="36"/>
      <c r="V516" s="36"/>
      <c r="W516" s="36"/>
      <c r="X516" s="36"/>
      <c r="Y516" s="36"/>
      <c r="Z516" s="36"/>
      <c r="AA516" s="36"/>
      <c r="AB516" s="36"/>
      <c r="AC516" s="36"/>
      <c r="AD516" s="36"/>
      <c r="AE516" s="36"/>
      <c r="AR516" s="192" t="s">
        <v>386</v>
      </c>
      <c r="AT516" s="192" t="s">
        <v>382</v>
      </c>
      <c r="AU516" s="192" t="s">
        <v>82</v>
      </c>
      <c r="AY516" s="19" t="s">
        <v>380</v>
      </c>
      <c r="BE516" s="193">
        <f>IF(N516="základní",J516,0)</f>
        <v>0</v>
      </c>
      <c r="BF516" s="193">
        <f>IF(N516="snížená",J516,0)</f>
        <v>0</v>
      </c>
      <c r="BG516" s="193">
        <f>IF(N516="zákl. přenesená",J516,0)</f>
        <v>0</v>
      </c>
      <c r="BH516" s="193">
        <f>IF(N516="sníž. přenesená",J516,0)</f>
        <v>0</v>
      </c>
      <c r="BI516" s="193">
        <f>IF(N516="nulová",J516,0)</f>
        <v>0</v>
      </c>
      <c r="BJ516" s="19" t="s">
        <v>79</v>
      </c>
      <c r="BK516" s="193">
        <f>ROUND(I516*H516,2)</f>
        <v>0</v>
      </c>
      <c r="BL516" s="19" t="s">
        <v>386</v>
      </c>
      <c r="BM516" s="192" t="s">
        <v>844</v>
      </c>
    </row>
    <row r="517" spans="1:65" s="2" customFormat="1" ht="21.75" customHeight="1">
      <c r="A517" s="36"/>
      <c r="B517" s="37"/>
      <c r="C517" s="181" t="s">
        <v>845</v>
      </c>
      <c r="D517" s="181" t="s">
        <v>382</v>
      </c>
      <c r="E517" s="182" t="s">
        <v>846</v>
      </c>
      <c r="F517" s="183" t="s">
        <v>847</v>
      </c>
      <c r="G517" s="184" t="s">
        <v>398</v>
      </c>
      <c r="H517" s="185">
        <v>568.65800000000002</v>
      </c>
      <c r="I517" s="186"/>
      <c r="J517" s="187">
        <f>ROUND(I517*H517,2)</f>
        <v>0</v>
      </c>
      <c r="K517" s="183" t="s">
        <v>19</v>
      </c>
      <c r="L517" s="41"/>
      <c r="M517" s="188" t="s">
        <v>19</v>
      </c>
      <c r="N517" s="189" t="s">
        <v>43</v>
      </c>
      <c r="O517" s="66"/>
      <c r="P517" s="190">
        <f>O517*H517</f>
        <v>0</v>
      </c>
      <c r="Q517" s="190">
        <v>1.0829999999999999E-2</v>
      </c>
      <c r="R517" s="190">
        <f>Q517*H517</f>
        <v>6.1585661399999996</v>
      </c>
      <c r="S517" s="190">
        <v>0</v>
      </c>
      <c r="T517" s="191">
        <f>S517*H517</f>
        <v>0</v>
      </c>
      <c r="U517" s="36"/>
      <c r="V517" s="36"/>
      <c r="W517" s="36"/>
      <c r="X517" s="36"/>
      <c r="Y517" s="36"/>
      <c r="Z517" s="36"/>
      <c r="AA517" s="36"/>
      <c r="AB517" s="36"/>
      <c r="AC517" s="36"/>
      <c r="AD517" s="36"/>
      <c r="AE517" s="36"/>
      <c r="AR517" s="192" t="s">
        <v>386</v>
      </c>
      <c r="AT517" s="192" t="s">
        <v>382</v>
      </c>
      <c r="AU517" s="192" t="s">
        <v>82</v>
      </c>
      <c r="AY517" s="19" t="s">
        <v>380</v>
      </c>
      <c r="BE517" s="193">
        <f>IF(N517="základní",J517,0)</f>
        <v>0</v>
      </c>
      <c r="BF517" s="193">
        <f>IF(N517="snížená",J517,0)</f>
        <v>0</v>
      </c>
      <c r="BG517" s="193">
        <f>IF(N517="zákl. přenesená",J517,0)</f>
        <v>0</v>
      </c>
      <c r="BH517" s="193">
        <f>IF(N517="sníž. přenesená",J517,0)</f>
        <v>0</v>
      </c>
      <c r="BI517" s="193">
        <f>IF(N517="nulová",J517,0)</f>
        <v>0</v>
      </c>
      <c r="BJ517" s="19" t="s">
        <v>79</v>
      </c>
      <c r="BK517" s="193">
        <f>ROUND(I517*H517,2)</f>
        <v>0</v>
      </c>
      <c r="BL517" s="19" t="s">
        <v>386</v>
      </c>
      <c r="BM517" s="192" t="s">
        <v>848</v>
      </c>
    </row>
    <row r="518" spans="1:65" s="13" customFormat="1" ht="11.25">
      <c r="B518" s="194"/>
      <c r="C518" s="195"/>
      <c r="D518" s="196" t="s">
        <v>388</v>
      </c>
      <c r="E518" s="197" t="s">
        <v>19</v>
      </c>
      <c r="F518" s="198" t="s">
        <v>849</v>
      </c>
      <c r="G518" s="195"/>
      <c r="H518" s="197" t="s">
        <v>19</v>
      </c>
      <c r="I518" s="199"/>
      <c r="J518" s="195"/>
      <c r="K518" s="195"/>
      <c r="L518" s="200"/>
      <c r="M518" s="201"/>
      <c r="N518" s="202"/>
      <c r="O518" s="202"/>
      <c r="P518" s="202"/>
      <c r="Q518" s="202"/>
      <c r="R518" s="202"/>
      <c r="S518" s="202"/>
      <c r="T518" s="203"/>
      <c r="AT518" s="204" t="s">
        <v>388</v>
      </c>
      <c r="AU518" s="204" t="s">
        <v>82</v>
      </c>
      <c r="AV518" s="13" t="s">
        <v>79</v>
      </c>
      <c r="AW518" s="13" t="s">
        <v>33</v>
      </c>
      <c r="AX518" s="13" t="s">
        <v>72</v>
      </c>
      <c r="AY518" s="204" t="s">
        <v>380</v>
      </c>
    </row>
    <row r="519" spans="1:65" s="14" customFormat="1" ht="11.25">
      <c r="B519" s="205"/>
      <c r="C519" s="206"/>
      <c r="D519" s="196" t="s">
        <v>388</v>
      </c>
      <c r="E519" s="207" t="s">
        <v>19</v>
      </c>
      <c r="F519" s="208" t="s">
        <v>850</v>
      </c>
      <c r="G519" s="206"/>
      <c r="H519" s="209">
        <v>568.65800000000002</v>
      </c>
      <c r="I519" s="210"/>
      <c r="J519" s="206"/>
      <c r="K519" s="206"/>
      <c r="L519" s="211"/>
      <c r="M519" s="212"/>
      <c r="N519" s="213"/>
      <c r="O519" s="213"/>
      <c r="P519" s="213"/>
      <c r="Q519" s="213"/>
      <c r="R519" s="213"/>
      <c r="S519" s="213"/>
      <c r="T519" s="214"/>
      <c r="AT519" s="215" t="s">
        <v>388</v>
      </c>
      <c r="AU519" s="215" t="s">
        <v>82</v>
      </c>
      <c r="AV519" s="14" t="s">
        <v>82</v>
      </c>
      <c r="AW519" s="14" t="s">
        <v>33</v>
      </c>
      <c r="AX519" s="14" t="s">
        <v>79</v>
      </c>
      <c r="AY519" s="215" t="s">
        <v>380</v>
      </c>
    </row>
    <row r="520" spans="1:65" s="2" customFormat="1" ht="24.2" customHeight="1">
      <c r="A520" s="36"/>
      <c r="B520" s="37"/>
      <c r="C520" s="181" t="s">
        <v>851</v>
      </c>
      <c r="D520" s="181" t="s">
        <v>382</v>
      </c>
      <c r="E520" s="182" t="s">
        <v>852</v>
      </c>
      <c r="F520" s="183" t="s">
        <v>853</v>
      </c>
      <c r="G520" s="184" t="s">
        <v>398</v>
      </c>
      <c r="H520" s="185">
        <v>2189.3330000000001</v>
      </c>
      <c r="I520" s="186"/>
      <c r="J520" s="187">
        <f>ROUND(I520*H520,2)</f>
        <v>0</v>
      </c>
      <c r="K520" s="183" t="s">
        <v>399</v>
      </c>
      <c r="L520" s="41"/>
      <c r="M520" s="188" t="s">
        <v>19</v>
      </c>
      <c r="N520" s="189" t="s">
        <v>43</v>
      </c>
      <c r="O520" s="66"/>
      <c r="P520" s="190">
        <f>O520*H520</f>
        <v>0</v>
      </c>
      <c r="Q520" s="190">
        <v>8.8228000000000004E-4</v>
      </c>
      <c r="R520" s="190">
        <f>Q520*H520</f>
        <v>1.9316047192400001</v>
      </c>
      <c r="S520" s="190">
        <v>0</v>
      </c>
      <c r="T520" s="191">
        <f>S520*H520</f>
        <v>0</v>
      </c>
      <c r="U520" s="36"/>
      <c r="V520" s="36"/>
      <c r="W520" s="36"/>
      <c r="X520" s="36"/>
      <c r="Y520" s="36"/>
      <c r="Z520" s="36"/>
      <c r="AA520" s="36"/>
      <c r="AB520" s="36"/>
      <c r="AC520" s="36"/>
      <c r="AD520" s="36"/>
      <c r="AE520" s="36"/>
      <c r="AR520" s="192" t="s">
        <v>386</v>
      </c>
      <c r="AT520" s="192" t="s">
        <v>382</v>
      </c>
      <c r="AU520" s="192" t="s">
        <v>82</v>
      </c>
      <c r="AY520" s="19" t="s">
        <v>380</v>
      </c>
      <c r="BE520" s="193">
        <f>IF(N520="základní",J520,0)</f>
        <v>0</v>
      </c>
      <c r="BF520" s="193">
        <f>IF(N520="snížená",J520,0)</f>
        <v>0</v>
      </c>
      <c r="BG520" s="193">
        <f>IF(N520="zákl. přenesená",J520,0)</f>
        <v>0</v>
      </c>
      <c r="BH520" s="193">
        <f>IF(N520="sníž. přenesená",J520,0)</f>
        <v>0</v>
      </c>
      <c r="BI520" s="193">
        <f>IF(N520="nulová",J520,0)</f>
        <v>0</v>
      </c>
      <c r="BJ520" s="19" t="s">
        <v>79</v>
      </c>
      <c r="BK520" s="193">
        <f>ROUND(I520*H520,2)</f>
        <v>0</v>
      </c>
      <c r="BL520" s="19" t="s">
        <v>386</v>
      </c>
      <c r="BM520" s="192" t="s">
        <v>854</v>
      </c>
    </row>
    <row r="521" spans="1:65" s="13" customFormat="1" ht="11.25">
      <c r="B521" s="194"/>
      <c r="C521" s="195"/>
      <c r="D521" s="196" t="s">
        <v>388</v>
      </c>
      <c r="E521" s="197" t="s">
        <v>19</v>
      </c>
      <c r="F521" s="198" t="s">
        <v>583</v>
      </c>
      <c r="G521" s="195"/>
      <c r="H521" s="197" t="s">
        <v>19</v>
      </c>
      <c r="I521" s="199"/>
      <c r="J521" s="195"/>
      <c r="K521" s="195"/>
      <c r="L521" s="200"/>
      <c r="M521" s="201"/>
      <c r="N521" s="202"/>
      <c r="O521" s="202"/>
      <c r="P521" s="202"/>
      <c r="Q521" s="202"/>
      <c r="R521" s="202"/>
      <c r="S521" s="202"/>
      <c r="T521" s="203"/>
      <c r="AT521" s="204" t="s">
        <v>388</v>
      </c>
      <c r="AU521" s="204" t="s">
        <v>82</v>
      </c>
      <c r="AV521" s="13" t="s">
        <v>79</v>
      </c>
      <c r="AW521" s="13" t="s">
        <v>33</v>
      </c>
      <c r="AX521" s="13" t="s">
        <v>72</v>
      </c>
      <c r="AY521" s="204" t="s">
        <v>380</v>
      </c>
    </row>
    <row r="522" spans="1:65" s="14" customFormat="1" ht="11.25">
      <c r="B522" s="205"/>
      <c r="C522" s="206"/>
      <c r="D522" s="196" t="s">
        <v>388</v>
      </c>
      <c r="E522" s="207" t="s">
        <v>19</v>
      </c>
      <c r="F522" s="208" t="s">
        <v>819</v>
      </c>
      <c r="G522" s="206"/>
      <c r="H522" s="209">
        <v>363.5</v>
      </c>
      <c r="I522" s="210"/>
      <c r="J522" s="206"/>
      <c r="K522" s="206"/>
      <c r="L522" s="211"/>
      <c r="M522" s="212"/>
      <c r="N522" s="213"/>
      <c r="O522" s="213"/>
      <c r="P522" s="213"/>
      <c r="Q522" s="213"/>
      <c r="R522" s="213"/>
      <c r="S522" s="213"/>
      <c r="T522" s="214"/>
      <c r="AT522" s="215" t="s">
        <v>388</v>
      </c>
      <c r="AU522" s="215" t="s">
        <v>82</v>
      </c>
      <c r="AV522" s="14" t="s">
        <v>82</v>
      </c>
      <c r="AW522" s="14" t="s">
        <v>33</v>
      </c>
      <c r="AX522" s="14" t="s">
        <v>72</v>
      </c>
      <c r="AY522" s="215" t="s">
        <v>380</v>
      </c>
    </row>
    <row r="523" spans="1:65" s="16" customFormat="1" ht="11.25">
      <c r="B523" s="237"/>
      <c r="C523" s="238"/>
      <c r="D523" s="196" t="s">
        <v>388</v>
      </c>
      <c r="E523" s="239" t="s">
        <v>19</v>
      </c>
      <c r="F523" s="240" t="s">
        <v>572</v>
      </c>
      <c r="G523" s="238"/>
      <c r="H523" s="241">
        <v>363.5</v>
      </c>
      <c r="I523" s="242"/>
      <c r="J523" s="238"/>
      <c r="K523" s="238"/>
      <c r="L523" s="243"/>
      <c r="M523" s="244"/>
      <c r="N523" s="245"/>
      <c r="O523" s="245"/>
      <c r="P523" s="245"/>
      <c r="Q523" s="245"/>
      <c r="R523" s="245"/>
      <c r="S523" s="245"/>
      <c r="T523" s="246"/>
      <c r="AT523" s="247" t="s">
        <v>388</v>
      </c>
      <c r="AU523" s="247" t="s">
        <v>82</v>
      </c>
      <c r="AV523" s="16" t="s">
        <v>99</v>
      </c>
      <c r="AW523" s="16" t="s">
        <v>33</v>
      </c>
      <c r="AX523" s="16" t="s">
        <v>72</v>
      </c>
      <c r="AY523" s="247" t="s">
        <v>380</v>
      </c>
    </row>
    <row r="524" spans="1:65" s="13" customFormat="1" ht="11.25">
      <c r="B524" s="194"/>
      <c r="C524" s="195"/>
      <c r="D524" s="196" t="s">
        <v>388</v>
      </c>
      <c r="E524" s="197" t="s">
        <v>19</v>
      </c>
      <c r="F524" s="198" t="s">
        <v>569</v>
      </c>
      <c r="G524" s="195"/>
      <c r="H524" s="197" t="s">
        <v>19</v>
      </c>
      <c r="I524" s="199"/>
      <c r="J524" s="195"/>
      <c r="K524" s="195"/>
      <c r="L524" s="200"/>
      <c r="M524" s="201"/>
      <c r="N524" s="202"/>
      <c r="O524" s="202"/>
      <c r="P524" s="202"/>
      <c r="Q524" s="202"/>
      <c r="R524" s="202"/>
      <c r="S524" s="202"/>
      <c r="T524" s="203"/>
      <c r="AT524" s="204" t="s">
        <v>388</v>
      </c>
      <c r="AU524" s="204" t="s">
        <v>82</v>
      </c>
      <c r="AV524" s="13" t="s">
        <v>79</v>
      </c>
      <c r="AW524" s="13" t="s">
        <v>33</v>
      </c>
      <c r="AX524" s="13" t="s">
        <v>72</v>
      </c>
      <c r="AY524" s="204" t="s">
        <v>380</v>
      </c>
    </row>
    <row r="525" spans="1:65" s="14" customFormat="1" ht="11.25">
      <c r="B525" s="205"/>
      <c r="C525" s="206"/>
      <c r="D525" s="196" t="s">
        <v>388</v>
      </c>
      <c r="E525" s="207" t="s">
        <v>19</v>
      </c>
      <c r="F525" s="208" t="s">
        <v>821</v>
      </c>
      <c r="G525" s="206"/>
      <c r="H525" s="209">
        <v>1019.4</v>
      </c>
      <c r="I525" s="210"/>
      <c r="J525" s="206"/>
      <c r="K525" s="206"/>
      <c r="L525" s="211"/>
      <c r="M525" s="212"/>
      <c r="N525" s="213"/>
      <c r="O525" s="213"/>
      <c r="P525" s="213"/>
      <c r="Q525" s="213"/>
      <c r="R525" s="213"/>
      <c r="S525" s="213"/>
      <c r="T525" s="214"/>
      <c r="AT525" s="215" t="s">
        <v>388</v>
      </c>
      <c r="AU525" s="215" t="s">
        <v>82</v>
      </c>
      <c r="AV525" s="14" t="s">
        <v>82</v>
      </c>
      <c r="AW525" s="14" t="s">
        <v>33</v>
      </c>
      <c r="AX525" s="14" t="s">
        <v>72</v>
      </c>
      <c r="AY525" s="215" t="s">
        <v>380</v>
      </c>
    </row>
    <row r="526" spans="1:65" s="14" customFormat="1" ht="11.25">
      <c r="B526" s="205"/>
      <c r="C526" s="206"/>
      <c r="D526" s="196" t="s">
        <v>388</v>
      </c>
      <c r="E526" s="207" t="s">
        <v>19</v>
      </c>
      <c r="F526" s="208" t="s">
        <v>822</v>
      </c>
      <c r="G526" s="206"/>
      <c r="H526" s="209">
        <v>20.440000000000001</v>
      </c>
      <c r="I526" s="210"/>
      <c r="J526" s="206"/>
      <c r="K526" s="206"/>
      <c r="L526" s="211"/>
      <c r="M526" s="212"/>
      <c r="N526" s="213"/>
      <c r="O526" s="213"/>
      <c r="P526" s="213"/>
      <c r="Q526" s="213"/>
      <c r="R526" s="213"/>
      <c r="S526" s="213"/>
      <c r="T526" s="214"/>
      <c r="AT526" s="215" t="s">
        <v>388</v>
      </c>
      <c r="AU526" s="215" t="s">
        <v>82</v>
      </c>
      <c r="AV526" s="14" t="s">
        <v>82</v>
      </c>
      <c r="AW526" s="14" t="s">
        <v>33</v>
      </c>
      <c r="AX526" s="14" t="s">
        <v>72</v>
      </c>
      <c r="AY526" s="215" t="s">
        <v>380</v>
      </c>
    </row>
    <row r="527" spans="1:65" s="16" customFormat="1" ht="11.25">
      <c r="B527" s="237"/>
      <c r="C527" s="238"/>
      <c r="D527" s="196" t="s">
        <v>388</v>
      </c>
      <c r="E527" s="239" t="s">
        <v>19</v>
      </c>
      <c r="F527" s="240" t="s">
        <v>572</v>
      </c>
      <c r="G527" s="238"/>
      <c r="H527" s="241">
        <v>1039.8399999999999</v>
      </c>
      <c r="I527" s="242"/>
      <c r="J527" s="238"/>
      <c r="K527" s="238"/>
      <c r="L527" s="243"/>
      <c r="M527" s="244"/>
      <c r="N527" s="245"/>
      <c r="O527" s="245"/>
      <c r="P527" s="245"/>
      <c r="Q527" s="245"/>
      <c r="R527" s="245"/>
      <c r="S527" s="245"/>
      <c r="T527" s="246"/>
      <c r="AT527" s="247" t="s">
        <v>388</v>
      </c>
      <c r="AU527" s="247" t="s">
        <v>82</v>
      </c>
      <c r="AV527" s="16" t="s">
        <v>99</v>
      </c>
      <c r="AW527" s="16" t="s">
        <v>33</v>
      </c>
      <c r="AX527" s="16" t="s">
        <v>72</v>
      </c>
      <c r="AY527" s="247" t="s">
        <v>380</v>
      </c>
    </row>
    <row r="528" spans="1:65" s="13" customFormat="1" ht="11.25">
      <c r="B528" s="194"/>
      <c r="C528" s="195"/>
      <c r="D528" s="196" t="s">
        <v>388</v>
      </c>
      <c r="E528" s="197" t="s">
        <v>19</v>
      </c>
      <c r="F528" s="198" t="s">
        <v>573</v>
      </c>
      <c r="G528" s="195"/>
      <c r="H528" s="197" t="s">
        <v>19</v>
      </c>
      <c r="I528" s="199"/>
      <c r="J528" s="195"/>
      <c r="K528" s="195"/>
      <c r="L528" s="200"/>
      <c r="M528" s="201"/>
      <c r="N528" s="202"/>
      <c r="O528" s="202"/>
      <c r="P528" s="202"/>
      <c r="Q528" s="202"/>
      <c r="R528" s="202"/>
      <c r="S528" s="202"/>
      <c r="T528" s="203"/>
      <c r="AT528" s="204" t="s">
        <v>388</v>
      </c>
      <c r="AU528" s="204" t="s">
        <v>82</v>
      </c>
      <c r="AV528" s="13" t="s">
        <v>79</v>
      </c>
      <c r="AW528" s="13" t="s">
        <v>33</v>
      </c>
      <c r="AX528" s="13" t="s">
        <v>72</v>
      </c>
      <c r="AY528" s="204" t="s">
        <v>380</v>
      </c>
    </row>
    <row r="529" spans="1:65" s="14" customFormat="1" ht="11.25">
      <c r="B529" s="205"/>
      <c r="C529" s="206"/>
      <c r="D529" s="196" t="s">
        <v>388</v>
      </c>
      <c r="E529" s="207" t="s">
        <v>19</v>
      </c>
      <c r="F529" s="208" t="s">
        <v>825</v>
      </c>
      <c r="G529" s="206"/>
      <c r="H529" s="209">
        <v>397.3</v>
      </c>
      <c r="I529" s="210"/>
      <c r="J529" s="206"/>
      <c r="K529" s="206"/>
      <c r="L529" s="211"/>
      <c r="M529" s="212"/>
      <c r="N529" s="213"/>
      <c r="O529" s="213"/>
      <c r="P529" s="213"/>
      <c r="Q529" s="213"/>
      <c r="R529" s="213"/>
      <c r="S529" s="213"/>
      <c r="T529" s="214"/>
      <c r="AT529" s="215" t="s">
        <v>388</v>
      </c>
      <c r="AU529" s="215" t="s">
        <v>82</v>
      </c>
      <c r="AV529" s="14" t="s">
        <v>82</v>
      </c>
      <c r="AW529" s="14" t="s">
        <v>33</v>
      </c>
      <c r="AX529" s="14" t="s">
        <v>72</v>
      </c>
      <c r="AY529" s="215" t="s">
        <v>380</v>
      </c>
    </row>
    <row r="530" spans="1:65" s="16" customFormat="1" ht="11.25">
      <c r="B530" s="237"/>
      <c r="C530" s="238"/>
      <c r="D530" s="196" t="s">
        <v>388</v>
      </c>
      <c r="E530" s="239" t="s">
        <v>19</v>
      </c>
      <c r="F530" s="240" t="s">
        <v>572</v>
      </c>
      <c r="G530" s="238"/>
      <c r="H530" s="241">
        <v>397.3</v>
      </c>
      <c r="I530" s="242"/>
      <c r="J530" s="238"/>
      <c r="K530" s="238"/>
      <c r="L530" s="243"/>
      <c r="M530" s="244"/>
      <c r="N530" s="245"/>
      <c r="O530" s="245"/>
      <c r="P530" s="245"/>
      <c r="Q530" s="245"/>
      <c r="R530" s="245"/>
      <c r="S530" s="245"/>
      <c r="T530" s="246"/>
      <c r="AT530" s="247" t="s">
        <v>388</v>
      </c>
      <c r="AU530" s="247" t="s">
        <v>82</v>
      </c>
      <c r="AV530" s="16" t="s">
        <v>99</v>
      </c>
      <c r="AW530" s="16" t="s">
        <v>33</v>
      </c>
      <c r="AX530" s="16" t="s">
        <v>72</v>
      </c>
      <c r="AY530" s="247" t="s">
        <v>380</v>
      </c>
    </row>
    <row r="531" spans="1:65" s="13" customFormat="1" ht="11.25">
      <c r="B531" s="194"/>
      <c r="C531" s="195"/>
      <c r="D531" s="196" t="s">
        <v>388</v>
      </c>
      <c r="E531" s="197" t="s">
        <v>19</v>
      </c>
      <c r="F531" s="198" t="s">
        <v>576</v>
      </c>
      <c r="G531" s="195"/>
      <c r="H531" s="197" t="s">
        <v>19</v>
      </c>
      <c r="I531" s="199"/>
      <c r="J531" s="195"/>
      <c r="K531" s="195"/>
      <c r="L531" s="200"/>
      <c r="M531" s="201"/>
      <c r="N531" s="202"/>
      <c r="O531" s="202"/>
      <c r="P531" s="202"/>
      <c r="Q531" s="202"/>
      <c r="R531" s="202"/>
      <c r="S531" s="202"/>
      <c r="T531" s="203"/>
      <c r="AT531" s="204" t="s">
        <v>388</v>
      </c>
      <c r="AU531" s="204" t="s">
        <v>82</v>
      </c>
      <c r="AV531" s="13" t="s">
        <v>79</v>
      </c>
      <c r="AW531" s="13" t="s">
        <v>33</v>
      </c>
      <c r="AX531" s="13" t="s">
        <v>72</v>
      </c>
      <c r="AY531" s="204" t="s">
        <v>380</v>
      </c>
    </row>
    <row r="532" spans="1:65" s="14" customFormat="1" ht="11.25">
      <c r="B532" s="205"/>
      <c r="C532" s="206"/>
      <c r="D532" s="196" t="s">
        <v>388</v>
      </c>
      <c r="E532" s="207" t="s">
        <v>19</v>
      </c>
      <c r="F532" s="208" t="s">
        <v>827</v>
      </c>
      <c r="G532" s="206"/>
      <c r="H532" s="209">
        <v>373.03300000000002</v>
      </c>
      <c r="I532" s="210"/>
      <c r="J532" s="206"/>
      <c r="K532" s="206"/>
      <c r="L532" s="211"/>
      <c r="M532" s="212"/>
      <c r="N532" s="213"/>
      <c r="O532" s="213"/>
      <c r="P532" s="213"/>
      <c r="Q532" s="213"/>
      <c r="R532" s="213"/>
      <c r="S532" s="213"/>
      <c r="T532" s="214"/>
      <c r="AT532" s="215" t="s">
        <v>388</v>
      </c>
      <c r="AU532" s="215" t="s">
        <v>82</v>
      </c>
      <c r="AV532" s="14" t="s">
        <v>82</v>
      </c>
      <c r="AW532" s="14" t="s">
        <v>33</v>
      </c>
      <c r="AX532" s="14" t="s">
        <v>72</v>
      </c>
      <c r="AY532" s="215" t="s">
        <v>380</v>
      </c>
    </row>
    <row r="533" spans="1:65" s="14" customFormat="1" ht="11.25">
      <c r="B533" s="205"/>
      <c r="C533" s="206"/>
      <c r="D533" s="196" t="s">
        <v>388</v>
      </c>
      <c r="E533" s="207" t="s">
        <v>19</v>
      </c>
      <c r="F533" s="208" t="s">
        <v>828</v>
      </c>
      <c r="G533" s="206"/>
      <c r="H533" s="209">
        <v>15.66</v>
      </c>
      <c r="I533" s="210"/>
      <c r="J533" s="206"/>
      <c r="K533" s="206"/>
      <c r="L533" s="211"/>
      <c r="M533" s="212"/>
      <c r="N533" s="213"/>
      <c r="O533" s="213"/>
      <c r="P533" s="213"/>
      <c r="Q533" s="213"/>
      <c r="R533" s="213"/>
      <c r="S533" s="213"/>
      <c r="T533" s="214"/>
      <c r="AT533" s="215" t="s">
        <v>388</v>
      </c>
      <c r="AU533" s="215" t="s">
        <v>82</v>
      </c>
      <c r="AV533" s="14" t="s">
        <v>82</v>
      </c>
      <c r="AW533" s="14" t="s">
        <v>33</v>
      </c>
      <c r="AX533" s="14" t="s">
        <v>72</v>
      </c>
      <c r="AY533" s="215" t="s">
        <v>380</v>
      </c>
    </row>
    <row r="534" spans="1:65" s="16" customFormat="1" ht="11.25">
      <c r="B534" s="237"/>
      <c r="C534" s="238"/>
      <c r="D534" s="196" t="s">
        <v>388</v>
      </c>
      <c r="E534" s="239" t="s">
        <v>19</v>
      </c>
      <c r="F534" s="240" t="s">
        <v>572</v>
      </c>
      <c r="G534" s="238"/>
      <c r="H534" s="241">
        <v>388.69299999999998</v>
      </c>
      <c r="I534" s="242"/>
      <c r="J534" s="238"/>
      <c r="K534" s="238"/>
      <c r="L534" s="243"/>
      <c r="M534" s="244"/>
      <c r="N534" s="245"/>
      <c r="O534" s="245"/>
      <c r="P534" s="245"/>
      <c r="Q534" s="245"/>
      <c r="R534" s="245"/>
      <c r="S534" s="245"/>
      <c r="T534" s="246"/>
      <c r="AT534" s="247" t="s">
        <v>388</v>
      </c>
      <c r="AU534" s="247" t="s">
        <v>82</v>
      </c>
      <c r="AV534" s="16" t="s">
        <v>99</v>
      </c>
      <c r="AW534" s="16" t="s">
        <v>33</v>
      </c>
      <c r="AX534" s="16" t="s">
        <v>72</v>
      </c>
      <c r="AY534" s="247" t="s">
        <v>380</v>
      </c>
    </row>
    <row r="535" spans="1:65" s="15" customFormat="1" ht="11.25">
      <c r="B535" s="216"/>
      <c r="C535" s="217"/>
      <c r="D535" s="196" t="s">
        <v>388</v>
      </c>
      <c r="E535" s="218" t="s">
        <v>19</v>
      </c>
      <c r="F535" s="219" t="s">
        <v>419</v>
      </c>
      <c r="G535" s="217"/>
      <c r="H535" s="220">
        <v>2189.3330000000001</v>
      </c>
      <c r="I535" s="221"/>
      <c r="J535" s="217"/>
      <c r="K535" s="217"/>
      <c r="L535" s="222"/>
      <c r="M535" s="223"/>
      <c r="N535" s="224"/>
      <c r="O535" s="224"/>
      <c r="P535" s="224"/>
      <c r="Q535" s="224"/>
      <c r="R535" s="224"/>
      <c r="S535" s="224"/>
      <c r="T535" s="225"/>
      <c r="AT535" s="226" t="s">
        <v>388</v>
      </c>
      <c r="AU535" s="226" t="s">
        <v>82</v>
      </c>
      <c r="AV535" s="15" t="s">
        <v>386</v>
      </c>
      <c r="AW535" s="15" t="s">
        <v>33</v>
      </c>
      <c r="AX535" s="15" t="s">
        <v>79</v>
      </c>
      <c r="AY535" s="226" t="s">
        <v>380</v>
      </c>
    </row>
    <row r="536" spans="1:65" s="2" customFormat="1" ht="24.2" customHeight="1">
      <c r="A536" s="36"/>
      <c r="B536" s="37"/>
      <c r="C536" s="181" t="s">
        <v>855</v>
      </c>
      <c r="D536" s="181" t="s">
        <v>382</v>
      </c>
      <c r="E536" s="182" t="s">
        <v>856</v>
      </c>
      <c r="F536" s="183" t="s">
        <v>857</v>
      </c>
      <c r="G536" s="184" t="s">
        <v>398</v>
      </c>
      <c r="H536" s="185">
        <v>2189.3330000000001</v>
      </c>
      <c r="I536" s="186"/>
      <c r="J536" s="187">
        <f>ROUND(I536*H536,2)</f>
        <v>0</v>
      </c>
      <c r="K536" s="183" t="s">
        <v>399</v>
      </c>
      <c r="L536" s="41"/>
      <c r="M536" s="188" t="s">
        <v>19</v>
      </c>
      <c r="N536" s="189" t="s">
        <v>43</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386</v>
      </c>
      <c r="AT536" s="192" t="s">
        <v>382</v>
      </c>
      <c r="AU536" s="192" t="s">
        <v>82</v>
      </c>
      <c r="AY536" s="19" t="s">
        <v>380</v>
      </c>
      <c r="BE536" s="193">
        <f>IF(N536="základní",J536,0)</f>
        <v>0</v>
      </c>
      <c r="BF536" s="193">
        <f>IF(N536="snížená",J536,0)</f>
        <v>0</v>
      </c>
      <c r="BG536" s="193">
        <f>IF(N536="zákl. přenesená",J536,0)</f>
        <v>0</v>
      </c>
      <c r="BH536" s="193">
        <f>IF(N536="sníž. přenesená",J536,0)</f>
        <v>0</v>
      </c>
      <c r="BI536" s="193">
        <f>IF(N536="nulová",J536,0)</f>
        <v>0</v>
      </c>
      <c r="BJ536" s="19" t="s">
        <v>79</v>
      </c>
      <c r="BK536" s="193">
        <f>ROUND(I536*H536,2)</f>
        <v>0</v>
      </c>
      <c r="BL536" s="19" t="s">
        <v>386</v>
      </c>
      <c r="BM536" s="192" t="s">
        <v>858</v>
      </c>
    </row>
    <row r="537" spans="1:65" s="2" customFormat="1" ht="24.2" customHeight="1">
      <c r="A537" s="36"/>
      <c r="B537" s="37"/>
      <c r="C537" s="181" t="s">
        <v>859</v>
      </c>
      <c r="D537" s="181" t="s">
        <v>382</v>
      </c>
      <c r="E537" s="182" t="s">
        <v>860</v>
      </c>
      <c r="F537" s="183" t="s">
        <v>861</v>
      </c>
      <c r="G537" s="184" t="s">
        <v>398</v>
      </c>
      <c r="H537" s="185">
        <v>727.78800000000001</v>
      </c>
      <c r="I537" s="186"/>
      <c r="J537" s="187">
        <f>ROUND(I537*H537,2)</f>
        <v>0</v>
      </c>
      <c r="K537" s="183" t="s">
        <v>399</v>
      </c>
      <c r="L537" s="41"/>
      <c r="M537" s="188" t="s">
        <v>19</v>
      </c>
      <c r="N537" s="189" t="s">
        <v>43</v>
      </c>
      <c r="O537" s="66"/>
      <c r="P537" s="190">
        <f>O537*H537</f>
        <v>0</v>
      </c>
      <c r="Q537" s="190">
        <v>9.9736000000000009E-4</v>
      </c>
      <c r="R537" s="190">
        <f>Q537*H537</f>
        <v>0.72586663968000009</v>
      </c>
      <c r="S537" s="190">
        <v>0</v>
      </c>
      <c r="T537" s="191">
        <f>S537*H537</f>
        <v>0</v>
      </c>
      <c r="U537" s="36"/>
      <c r="V537" s="36"/>
      <c r="W537" s="36"/>
      <c r="X537" s="36"/>
      <c r="Y537" s="36"/>
      <c r="Z537" s="36"/>
      <c r="AA537" s="36"/>
      <c r="AB537" s="36"/>
      <c r="AC537" s="36"/>
      <c r="AD537" s="36"/>
      <c r="AE537" s="36"/>
      <c r="AR537" s="192" t="s">
        <v>386</v>
      </c>
      <c r="AT537" s="192" t="s">
        <v>382</v>
      </c>
      <c r="AU537" s="192" t="s">
        <v>82</v>
      </c>
      <c r="AY537" s="19" t="s">
        <v>380</v>
      </c>
      <c r="BE537" s="193">
        <f>IF(N537="základní",J537,0)</f>
        <v>0</v>
      </c>
      <c r="BF537" s="193">
        <f>IF(N537="snížená",J537,0)</f>
        <v>0</v>
      </c>
      <c r="BG537" s="193">
        <f>IF(N537="zákl. přenesená",J537,0)</f>
        <v>0</v>
      </c>
      <c r="BH537" s="193">
        <f>IF(N537="sníž. přenesená",J537,0)</f>
        <v>0</v>
      </c>
      <c r="BI537" s="193">
        <f>IF(N537="nulová",J537,0)</f>
        <v>0</v>
      </c>
      <c r="BJ537" s="19" t="s">
        <v>79</v>
      </c>
      <c r="BK537" s="193">
        <f>ROUND(I537*H537,2)</f>
        <v>0</v>
      </c>
      <c r="BL537" s="19" t="s">
        <v>386</v>
      </c>
      <c r="BM537" s="192" t="s">
        <v>862</v>
      </c>
    </row>
    <row r="538" spans="1:65" s="13" customFormat="1" ht="11.25">
      <c r="B538" s="194"/>
      <c r="C538" s="195"/>
      <c r="D538" s="196" t="s">
        <v>388</v>
      </c>
      <c r="E538" s="197" t="s">
        <v>19</v>
      </c>
      <c r="F538" s="198" t="s">
        <v>583</v>
      </c>
      <c r="G538" s="195"/>
      <c r="H538" s="197" t="s">
        <v>19</v>
      </c>
      <c r="I538" s="199"/>
      <c r="J538" s="195"/>
      <c r="K538" s="195"/>
      <c r="L538" s="200"/>
      <c r="M538" s="201"/>
      <c r="N538" s="202"/>
      <c r="O538" s="202"/>
      <c r="P538" s="202"/>
      <c r="Q538" s="202"/>
      <c r="R538" s="202"/>
      <c r="S538" s="202"/>
      <c r="T538" s="203"/>
      <c r="AT538" s="204" t="s">
        <v>388</v>
      </c>
      <c r="AU538" s="204" t="s">
        <v>82</v>
      </c>
      <c r="AV538" s="13" t="s">
        <v>79</v>
      </c>
      <c r="AW538" s="13" t="s">
        <v>33</v>
      </c>
      <c r="AX538" s="13" t="s">
        <v>72</v>
      </c>
      <c r="AY538" s="204" t="s">
        <v>380</v>
      </c>
    </row>
    <row r="539" spans="1:65" s="14" customFormat="1" ht="11.25">
      <c r="B539" s="205"/>
      <c r="C539" s="206"/>
      <c r="D539" s="196" t="s">
        <v>388</v>
      </c>
      <c r="E539" s="207" t="s">
        <v>19</v>
      </c>
      <c r="F539" s="208" t="s">
        <v>839</v>
      </c>
      <c r="G539" s="206"/>
      <c r="H539" s="209">
        <v>727.78800000000001</v>
      </c>
      <c r="I539" s="210"/>
      <c r="J539" s="206"/>
      <c r="K539" s="206"/>
      <c r="L539" s="211"/>
      <c r="M539" s="212"/>
      <c r="N539" s="213"/>
      <c r="O539" s="213"/>
      <c r="P539" s="213"/>
      <c r="Q539" s="213"/>
      <c r="R539" s="213"/>
      <c r="S539" s="213"/>
      <c r="T539" s="214"/>
      <c r="AT539" s="215" t="s">
        <v>388</v>
      </c>
      <c r="AU539" s="215" t="s">
        <v>82</v>
      </c>
      <c r="AV539" s="14" t="s">
        <v>82</v>
      </c>
      <c r="AW539" s="14" t="s">
        <v>33</v>
      </c>
      <c r="AX539" s="14" t="s">
        <v>79</v>
      </c>
      <c r="AY539" s="215" t="s">
        <v>380</v>
      </c>
    </row>
    <row r="540" spans="1:65" s="2" customFormat="1" ht="24.2" customHeight="1">
      <c r="A540" s="36"/>
      <c r="B540" s="37"/>
      <c r="C540" s="181" t="s">
        <v>863</v>
      </c>
      <c r="D540" s="181" t="s">
        <v>382</v>
      </c>
      <c r="E540" s="182" t="s">
        <v>864</v>
      </c>
      <c r="F540" s="183" t="s">
        <v>865</v>
      </c>
      <c r="G540" s="184" t="s">
        <v>398</v>
      </c>
      <c r="H540" s="185">
        <v>727.78800000000001</v>
      </c>
      <c r="I540" s="186"/>
      <c r="J540" s="187">
        <f>ROUND(I540*H540,2)</f>
        <v>0</v>
      </c>
      <c r="K540" s="183" t="s">
        <v>399</v>
      </c>
      <c r="L540" s="41"/>
      <c r="M540" s="188" t="s">
        <v>19</v>
      </c>
      <c r="N540" s="189" t="s">
        <v>43</v>
      </c>
      <c r="O540" s="66"/>
      <c r="P540" s="190">
        <f>O540*H540</f>
        <v>0</v>
      </c>
      <c r="Q540" s="190">
        <v>0</v>
      </c>
      <c r="R540" s="190">
        <f>Q540*H540</f>
        <v>0</v>
      </c>
      <c r="S540" s="190">
        <v>0</v>
      </c>
      <c r="T540" s="191">
        <f>S540*H540</f>
        <v>0</v>
      </c>
      <c r="U540" s="36"/>
      <c r="V540" s="36"/>
      <c r="W540" s="36"/>
      <c r="X540" s="36"/>
      <c r="Y540" s="36"/>
      <c r="Z540" s="36"/>
      <c r="AA540" s="36"/>
      <c r="AB540" s="36"/>
      <c r="AC540" s="36"/>
      <c r="AD540" s="36"/>
      <c r="AE540" s="36"/>
      <c r="AR540" s="192" t="s">
        <v>386</v>
      </c>
      <c r="AT540" s="192" t="s">
        <v>382</v>
      </c>
      <c r="AU540" s="192" t="s">
        <v>82</v>
      </c>
      <c r="AY540" s="19" t="s">
        <v>380</v>
      </c>
      <c r="BE540" s="193">
        <f>IF(N540="základní",J540,0)</f>
        <v>0</v>
      </c>
      <c r="BF540" s="193">
        <f>IF(N540="snížená",J540,0)</f>
        <v>0</v>
      </c>
      <c r="BG540" s="193">
        <f>IF(N540="zákl. přenesená",J540,0)</f>
        <v>0</v>
      </c>
      <c r="BH540" s="193">
        <f>IF(N540="sníž. přenesená",J540,0)</f>
        <v>0</v>
      </c>
      <c r="BI540" s="193">
        <f>IF(N540="nulová",J540,0)</f>
        <v>0</v>
      </c>
      <c r="BJ540" s="19" t="s">
        <v>79</v>
      </c>
      <c r="BK540" s="193">
        <f>ROUND(I540*H540,2)</f>
        <v>0</v>
      </c>
      <c r="BL540" s="19" t="s">
        <v>386</v>
      </c>
      <c r="BM540" s="192" t="s">
        <v>866</v>
      </c>
    </row>
    <row r="541" spans="1:65" s="2" customFormat="1" ht="16.5" customHeight="1">
      <c r="A541" s="36"/>
      <c r="B541" s="37"/>
      <c r="C541" s="181" t="s">
        <v>867</v>
      </c>
      <c r="D541" s="181" t="s">
        <v>382</v>
      </c>
      <c r="E541" s="182" t="s">
        <v>868</v>
      </c>
      <c r="F541" s="183" t="s">
        <v>869</v>
      </c>
      <c r="G541" s="184" t="s">
        <v>398</v>
      </c>
      <c r="H541" s="185">
        <v>1369.6</v>
      </c>
      <c r="I541" s="186"/>
      <c r="J541" s="187">
        <f>ROUND(I541*H541,2)</f>
        <v>0</v>
      </c>
      <c r="K541" s="183" t="s">
        <v>399</v>
      </c>
      <c r="L541" s="41"/>
      <c r="M541" s="188" t="s">
        <v>19</v>
      </c>
      <c r="N541" s="189" t="s">
        <v>43</v>
      </c>
      <c r="O541" s="66"/>
      <c r="P541" s="190">
        <f>O541*H541</f>
        <v>0</v>
      </c>
      <c r="Q541" s="190">
        <v>3.2000000000000002E-3</v>
      </c>
      <c r="R541" s="190">
        <f>Q541*H541</f>
        <v>4.3827199999999999</v>
      </c>
      <c r="S541" s="190">
        <v>0</v>
      </c>
      <c r="T541" s="191">
        <f>S541*H541</f>
        <v>0</v>
      </c>
      <c r="U541" s="36"/>
      <c r="V541" s="36"/>
      <c r="W541" s="36"/>
      <c r="X541" s="36"/>
      <c r="Y541" s="36"/>
      <c r="Z541" s="36"/>
      <c r="AA541" s="36"/>
      <c r="AB541" s="36"/>
      <c r="AC541" s="36"/>
      <c r="AD541" s="36"/>
      <c r="AE541" s="36"/>
      <c r="AR541" s="192" t="s">
        <v>386</v>
      </c>
      <c r="AT541" s="192" t="s">
        <v>382</v>
      </c>
      <c r="AU541" s="192" t="s">
        <v>82</v>
      </c>
      <c r="AY541" s="19" t="s">
        <v>380</v>
      </c>
      <c r="BE541" s="193">
        <f>IF(N541="základní",J541,0)</f>
        <v>0</v>
      </c>
      <c r="BF541" s="193">
        <f>IF(N541="snížená",J541,0)</f>
        <v>0</v>
      </c>
      <c r="BG541" s="193">
        <f>IF(N541="zákl. přenesená",J541,0)</f>
        <v>0</v>
      </c>
      <c r="BH541" s="193">
        <f>IF(N541="sníž. přenesená",J541,0)</f>
        <v>0</v>
      </c>
      <c r="BI541" s="193">
        <f>IF(N541="nulová",J541,0)</f>
        <v>0</v>
      </c>
      <c r="BJ541" s="19" t="s">
        <v>79</v>
      </c>
      <c r="BK541" s="193">
        <f>ROUND(I541*H541,2)</f>
        <v>0</v>
      </c>
      <c r="BL541" s="19" t="s">
        <v>386</v>
      </c>
      <c r="BM541" s="192" t="s">
        <v>870</v>
      </c>
    </row>
    <row r="542" spans="1:65" s="13" customFormat="1" ht="11.25">
      <c r="B542" s="194"/>
      <c r="C542" s="195"/>
      <c r="D542" s="196" t="s">
        <v>388</v>
      </c>
      <c r="E542" s="197" t="s">
        <v>19</v>
      </c>
      <c r="F542" s="198" t="s">
        <v>627</v>
      </c>
      <c r="G542" s="195"/>
      <c r="H542" s="197" t="s">
        <v>19</v>
      </c>
      <c r="I542" s="199"/>
      <c r="J542" s="195"/>
      <c r="K542" s="195"/>
      <c r="L542" s="200"/>
      <c r="M542" s="201"/>
      <c r="N542" s="202"/>
      <c r="O542" s="202"/>
      <c r="P542" s="202"/>
      <c r="Q542" s="202"/>
      <c r="R542" s="202"/>
      <c r="S542" s="202"/>
      <c r="T542" s="203"/>
      <c r="AT542" s="204" t="s">
        <v>388</v>
      </c>
      <c r="AU542" s="204" t="s">
        <v>82</v>
      </c>
      <c r="AV542" s="13" t="s">
        <v>79</v>
      </c>
      <c r="AW542" s="13" t="s">
        <v>33</v>
      </c>
      <c r="AX542" s="13" t="s">
        <v>72</v>
      </c>
      <c r="AY542" s="204" t="s">
        <v>380</v>
      </c>
    </row>
    <row r="543" spans="1:65" s="14" customFormat="1" ht="11.25">
      <c r="B543" s="205"/>
      <c r="C543" s="206"/>
      <c r="D543" s="196" t="s">
        <v>388</v>
      </c>
      <c r="E543" s="207" t="s">
        <v>19</v>
      </c>
      <c r="F543" s="208" t="s">
        <v>871</v>
      </c>
      <c r="G543" s="206"/>
      <c r="H543" s="209">
        <v>684.8</v>
      </c>
      <c r="I543" s="210"/>
      <c r="J543" s="206"/>
      <c r="K543" s="206"/>
      <c r="L543" s="211"/>
      <c r="M543" s="212"/>
      <c r="N543" s="213"/>
      <c r="O543" s="213"/>
      <c r="P543" s="213"/>
      <c r="Q543" s="213"/>
      <c r="R543" s="213"/>
      <c r="S543" s="213"/>
      <c r="T543" s="214"/>
      <c r="AT543" s="215" t="s">
        <v>388</v>
      </c>
      <c r="AU543" s="215" t="s">
        <v>82</v>
      </c>
      <c r="AV543" s="14" t="s">
        <v>82</v>
      </c>
      <c r="AW543" s="14" t="s">
        <v>33</v>
      </c>
      <c r="AX543" s="14" t="s">
        <v>72</v>
      </c>
      <c r="AY543" s="215" t="s">
        <v>380</v>
      </c>
    </row>
    <row r="544" spans="1:65" s="13" customFormat="1" ht="11.25">
      <c r="B544" s="194"/>
      <c r="C544" s="195"/>
      <c r="D544" s="196" t="s">
        <v>388</v>
      </c>
      <c r="E544" s="197" t="s">
        <v>19</v>
      </c>
      <c r="F544" s="198" t="s">
        <v>872</v>
      </c>
      <c r="G544" s="195"/>
      <c r="H544" s="197" t="s">
        <v>19</v>
      </c>
      <c r="I544" s="199"/>
      <c r="J544" s="195"/>
      <c r="K544" s="195"/>
      <c r="L544" s="200"/>
      <c r="M544" s="201"/>
      <c r="N544" s="202"/>
      <c r="O544" s="202"/>
      <c r="P544" s="202"/>
      <c r="Q544" s="202"/>
      <c r="R544" s="202"/>
      <c r="S544" s="202"/>
      <c r="T544" s="203"/>
      <c r="AT544" s="204" t="s">
        <v>388</v>
      </c>
      <c r="AU544" s="204" t="s">
        <v>82</v>
      </c>
      <c r="AV544" s="13" t="s">
        <v>79</v>
      </c>
      <c r="AW544" s="13" t="s">
        <v>33</v>
      </c>
      <c r="AX544" s="13" t="s">
        <v>72</v>
      </c>
      <c r="AY544" s="204" t="s">
        <v>380</v>
      </c>
    </row>
    <row r="545" spans="1:65" s="14" customFormat="1" ht="11.25">
      <c r="B545" s="205"/>
      <c r="C545" s="206"/>
      <c r="D545" s="196" t="s">
        <v>388</v>
      </c>
      <c r="E545" s="207" t="s">
        <v>19</v>
      </c>
      <c r="F545" s="208" t="s">
        <v>871</v>
      </c>
      <c r="G545" s="206"/>
      <c r="H545" s="209">
        <v>684.8</v>
      </c>
      <c r="I545" s="210"/>
      <c r="J545" s="206"/>
      <c r="K545" s="206"/>
      <c r="L545" s="211"/>
      <c r="M545" s="212"/>
      <c r="N545" s="213"/>
      <c r="O545" s="213"/>
      <c r="P545" s="213"/>
      <c r="Q545" s="213"/>
      <c r="R545" s="213"/>
      <c r="S545" s="213"/>
      <c r="T545" s="214"/>
      <c r="AT545" s="215" t="s">
        <v>388</v>
      </c>
      <c r="AU545" s="215" t="s">
        <v>82</v>
      </c>
      <c r="AV545" s="14" t="s">
        <v>82</v>
      </c>
      <c r="AW545" s="14" t="s">
        <v>33</v>
      </c>
      <c r="AX545" s="14" t="s">
        <v>72</v>
      </c>
      <c r="AY545" s="215" t="s">
        <v>380</v>
      </c>
    </row>
    <row r="546" spans="1:65" s="15" customFormat="1" ht="11.25">
      <c r="B546" s="216"/>
      <c r="C546" s="217"/>
      <c r="D546" s="196" t="s">
        <v>388</v>
      </c>
      <c r="E546" s="218" t="s">
        <v>19</v>
      </c>
      <c r="F546" s="219" t="s">
        <v>419</v>
      </c>
      <c r="G546" s="217"/>
      <c r="H546" s="220">
        <v>1369.6</v>
      </c>
      <c r="I546" s="221"/>
      <c r="J546" s="217"/>
      <c r="K546" s="217"/>
      <c r="L546" s="222"/>
      <c r="M546" s="223"/>
      <c r="N546" s="224"/>
      <c r="O546" s="224"/>
      <c r="P546" s="224"/>
      <c r="Q546" s="224"/>
      <c r="R546" s="224"/>
      <c r="S546" s="224"/>
      <c r="T546" s="225"/>
      <c r="AT546" s="226" t="s">
        <v>388</v>
      </c>
      <c r="AU546" s="226" t="s">
        <v>82</v>
      </c>
      <c r="AV546" s="15" t="s">
        <v>386</v>
      </c>
      <c r="AW546" s="15" t="s">
        <v>33</v>
      </c>
      <c r="AX546" s="15" t="s">
        <v>79</v>
      </c>
      <c r="AY546" s="226" t="s">
        <v>380</v>
      </c>
    </row>
    <row r="547" spans="1:65" s="2" customFormat="1" ht="44.25" customHeight="1">
      <c r="A547" s="36"/>
      <c r="B547" s="37"/>
      <c r="C547" s="181" t="s">
        <v>873</v>
      </c>
      <c r="D547" s="181" t="s">
        <v>382</v>
      </c>
      <c r="E547" s="182" t="s">
        <v>874</v>
      </c>
      <c r="F547" s="183" t="s">
        <v>875</v>
      </c>
      <c r="G547" s="184" t="s">
        <v>437</v>
      </c>
      <c r="H547" s="185">
        <v>110.148</v>
      </c>
      <c r="I547" s="186"/>
      <c r="J547" s="187">
        <f>ROUND(I547*H547,2)</f>
        <v>0</v>
      </c>
      <c r="K547" s="183" t="s">
        <v>399</v>
      </c>
      <c r="L547" s="41"/>
      <c r="M547" s="188" t="s">
        <v>19</v>
      </c>
      <c r="N547" s="189" t="s">
        <v>43</v>
      </c>
      <c r="O547" s="66"/>
      <c r="P547" s="190">
        <f>O547*H547</f>
        <v>0</v>
      </c>
      <c r="Q547" s="190">
        <v>1.05515684</v>
      </c>
      <c r="R547" s="190">
        <f>Q547*H547</f>
        <v>116.22341561232</v>
      </c>
      <c r="S547" s="190">
        <v>0</v>
      </c>
      <c r="T547" s="191">
        <f>S547*H547</f>
        <v>0</v>
      </c>
      <c r="U547" s="36"/>
      <c r="V547" s="36"/>
      <c r="W547" s="36"/>
      <c r="X547" s="36"/>
      <c r="Y547" s="36"/>
      <c r="Z547" s="36"/>
      <c r="AA547" s="36"/>
      <c r="AB547" s="36"/>
      <c r="AC547" s="36"/>
      <c r="AD547" s="36"/>
      <c r="AE547" s="36"/>
      <c r="AR547" s="192" t="s">
        <v>386</v>
      </c>
      <c r="AT547" s="192" t="s">
        <v>382</v>
      </c>
      <c r="AU547" s="192" t="s">
        <v>82</v>
      </c>
      <c r="AY547" s="19" t="s">
        <v>380</v>
      </c>
      <c r="BE547" s="193">
        <f>IF(N547="základní",J547,0)</f>
        <v>0</v>
      </c>
      <c r="BF547" s="193">
        <f>IF(N547="snížená",J547,0)</f>
        <v>0</v>
      </c>
      <c r="BG547" s="193">
        <f>IF(N547="zákl. přenesená",J547,0)</f>
        <v>0</v>
      </c>
      <c r="BH547" s="193">
        <f>IF(N547="sníž. přenesená",J547,0)</f>
        <v>0</v>
      </c>
      <c r="BI547" s="193">
        <f>IF(N547="nulová",J547,0)</f>
        <v>0</v>
      </c>
      <c r="BJ547" s="19" t="s">
        <v>79</v>
      </c>
      <c r="BK547" s="193">
        <f>ROUND(I547*H547,2)</f>
        <v>0</v>
      </c>
      <c r="BL547" s="19" t="s">
        <v>386</v>
      </c>
      <c r="BM547" s="192" t="s">
        <v>876</v>
      </c>
    </row>
    <row r="548" spans="1:65" s="13" customFormat="1" ht="11.25">
      <c r="B548" s="194"/>
      <c r="C548" s="195"/>
      <c r="D548" s="196" t="s">
        <v>388</v>
      </c>
      <c r="E548" s="197" t="s">
        <v>19</v>
      </c>
      <c r="F548" s="198" t="s">
        <v>493</v>
      </c>
      <c r="G548" s="195"/>
      <c r="H548" s="197" t="s">
        <v>19</v>
      </c>
      <c r="I548" s="199"/>
      <c r="J548" s="195"/>
      <c r="K548" s="195"/>
      <c r="L548" s="200"/>
      <c r="M548" s="201"/>
      <c r="N548" s="202"/>
      <c r="O548" s="202"/>
      <c r="P548" s="202"/>
      <c r="Q548" s="202"/>
      <c r="R548" s="202"/>
      <c r="S548" s="202"/>
      <c r="T548" s="203"/>
      <c r="AT548" s="204" t="s">
        <v>388</v>
      </c>
      <c r="AU548" s="204" t="s">
        <v>82</v>
      </c>
      <c r="AV548" s="13" t="s">
        <v>79</v>
      </c>
      <c r="AW548" s="13" t="s">
        <v>33</v>
      </c>
      <c r="AX548" s="13" t="s">
        <v>72</v>
      </c>
      <c r="AY548" s="204" t="s">
        <v>380</v>
      </c>
    </row>
    <row r="549" spans="1:65" s="13" customFormat="1" ht="11.25">
      <c r="B549" s="194"/>
      <c r="C549" s="195"/>
      <c r="D549" s="196" t="s">
        <v>388</v>
      </c>
      <c r="E549" s="197" t="s">
        <v>19</v>
      </c>
      <c r="F549" s="198" t="s">
        <v>583</v>
      </c>
      <c r="G549" s="195"/>
      <c r="H549" s="197" t="s">
        <v>19</v>
      </c>
      <c r="I549" s="199"/>
      <c r="J549" s="195"/>
      <c r="K549" s="195"/>
      <c r="L549" s="200"/>
      <c r="M549" s="201"/>
      <c r="N549" s="202"/>
      <c r="O549" s="202"/>
      <c r="P549" s="202"/>
      <c r="Q549" s="202"/>
      <c r="R549" s="202"/>
      <c r="S549" s="202"/>
      <c r="T549" s="203"/>
      <c r="AT549" s="204" t="s">
        <v>388</v>
      </c>
      <c r="AU549" s="204" t="s">
        <v>82</v>
      </c>
      <c r="AV549" s="13" t="s">
        <v>79</v>
      </c>
      <c r="AW549" s="13" t="s">
        <v>33</v>
      </c>
      <c r="AX549" s="13" t="s">
        <v>72</v>
      </c>
      <c r="AY549" s="204" t="s">
        <v>380</v>
      </c>
    </row>
    <row r="550" spans="1:65" s="14" customFormat="1" ht="11.25">
      <c r="B550" s="205"/>
      <c r="C550" s="206"/>
      <c r="D550" s="196" t="s">
        <v>388</v>
      </c>
      <c r="E550" s="207" t="s">
        <v>19</v>
      </c>
      <c r="F550" s="208" t="s">
        <v>877</v>
      </c>
      <c r="G550" s="206"/>
      <c r="H550" s="209">
        <v>13.631</v>
      </c>
      <c r="I550" s="210"/>
      <c r="J550" s="206"/>
      <c r="K550" s="206"/>
      <c r="L550" s="211"/>
      <c r="M550" s="212"/>
      <c r="N550" s="213"/>
      <c r="O550" s="213"/>
      <c r="P550" s="213"/>
      <c r="Q550" s="213"/>
      <c r="R550" s="213"/>
      <c r="S550" s="213"/>
      <c r="T550" s="214"/>
      <c r="AT550" s="215" t="s">
        <v>388</v>
      </c>
      <c r="AU550" s="215" t="s">
        <v>82</v>
      </c>
      <c r="AV550" s="14" t="s">
        <v>82</v>
      </c>
      <c r="AW550" s="14" t="s">
        <v>33</v>
      </c>
      <c r="AX550" s="14" t="s">
        <v>72</v>
      </c>
      <c r="AY550" s="215" t="s">
        <v>380</v>
      </c>
    </row>
    <row r="551" spans="1:65" s="14" customFormat="1" ht="11.25">
      <c r="B551" s="205"/>
      <c r="C551" s="206"/>
      <c r="D551" s="196" t="s">
        <v>388</v>
      </c>
      <c r="E551" s="207" t="s">
        <v>19</v>
      </c>
      <c r="F551" s="208" t="s">
        <v>878</v>
      </c>
      <c r="G551" s="206"/>
      <c r="H551" s="209">
        <v>30.567</v>
      </c>
      <c r="I551" s="210"/>
      <c r="J551" s="206"/>
      <c r="K551" s="206"/>
      <c r="L551" s="211"/>
      <c r="M551" s="212"/>
      <c r="N551" s="213"/>
      <c r="O551" s="213"/>
      <c r="P551" s="213"/>
      <c r="Q551" s="213"/>
      <c r="R551" s="213"/>
      <c r="S551" s="213"/>
      <c r="T551" s="214"/>
      <c r="AT551" s="215" t="s">
        <v>388</v>
      </c>
      <c r="AU551" s="215" t="s">
        <v>82</v>
      </c>
      <c r="AV551" s="14" t="s">
        <v>82</v>
      </c>
      <c r="AW551" s="14" t="s">
        <v>33</v>
      </c>
      <c r="AX551" s="14" t="s">
        <v>72</v>
      </c>
      <c r="AY551" s="215" t="s">
        <v>380</v>
      </c>
    </row>
    <row r="552" spans="1:65" s="16" customFormat="1" ht="11.25">
      <c r="B552" s="237"/>
      <c r="C552" s="238"/>
      <c r="D552" s="196" t="s">
        <v>388</v>
      </c>
      <c r="E552" s="239" t="s">
        <v>19</v>
      </c>
      <c r="F552" s="240" t="s">
        <v>572</v>
      </c>
      <c r="G552" s="238"/>
      <c r="H552" s="241">
        <v>44.198</v>
      </c>
      <c r="I552" s="242"/>
      <c r="J552" s="238"/>
      <c r="K552" s="238"/>
      <c r="L552" s="243"/>
      <c r="M552" s="244"/>
      <c r="N552" s="245"/>
      <c r="O552" s="245"/>
      <c r="P552" s="245"/>
      <c r="Q552" s="245"/>
      <c r="R552" s="245"/>
      <c r="S552" s="245"/>
      <c r="T552" s="246"/>
      <c r="AT552" s="247" t="s">
        <v>388</v>
      </c>
      <c r="AU552" s="247" t="s">
        <v>82</v>
      </c>
      <c r="AV552" s="16" t="s">
        <v>99</v>
      </c>
      <c r="AW552" s="16" t="s">
        <v>33</v>
      </c>
      <c r="AX552" s="16" t="s">
        <v>72</v>
      </c>
      <c r="AY552" s="247" t="s">
        <v>380</v>
      </c>
    </row>
    <row r="553" spans="1:65" s="13" customFormat="1" ht="11.25">
      <c r="B553" s="194"/>
      <c r="C553" s="195"/>
      <c r="D553" s="196" t="s">
        <v>388</v>
      </c>
      <c r="E553" s="197" t="s">
        <v>19</v>
      </c>
      <c r="F553" s="198" t="s">
        <v>569</v>
      </c>
      <c r="G553" s="195"/>
      <c r="H553" s="197" t="s">
        <v>19</v>
      </c>
      <c r="I553" s="199"/>
      <c r="J553" s="195"/>
      <c r="K553" s="195"/>
      <c r="L553" s="200"/>
      <c r="M553" s="201"/>
      <c r="N553" s="202"/>
      <c r="O553" s="202"/>
      <c r="P553" s="202"/>
      <c r="Q553" s="202"/>
      <c r="R553" s="202"/>
      <c r="S553" s="202"/>
      <c r="T553" s="203"/>
      <c r="AT553" s="204" t="s">
        <v>388</v>
      </c>
      <c r="AU553" s="204" t="s">
        <v>82</v>
      </c>
      <c r="AV553" s="13" t="s">
        <v>79</v>
      </c>
      <c r="AW553" s="13" t="s">
        <v>33</v>
      </c>
      <c r="AX553" s="13" t="s">
        <v>72</v>
      </c>
      <c r="AY553" s="204" t="s">
        <v>380</v>
      </c>
    </row>
    <row r="554" spans="1:65" s="14" customFormat="1" ht="11.25">
      <c r="B554" s="205"/>
      <c r="C554" s="206"/>
      <c r="D554" s="196" t="s">
        <v>388</v>
      </c>
      <c r="E554" s="207" t="s">
        <v>19</v>
      </c>
      <c r="F554" s="208" t="s">
        <v>879</v>
      </c>
      <c r="G554" s="206"/>
      <c r="H554" s="209">
        <v>38.228000000000002</v>
      </c>
      <c r="I554" s="210"/>
      <c r="J554" s="206"/>
      <c r="K554" s="206"/>
      <c r="L554" s="211"/>
      <c r="M554" s="212"/>
      <c r="N554" s="213"/>
      <c r="O554" s="213"/>
      <c r="P554" s="213"/>
      <c r="Q554" s="213"/>
      <c r="R554" s="213"/>
      <c r="S554" s="213"/>
      <c r="T554" s="214"/>
      <c r="AT554" s="215" t="s">
        <v>388</v>
      </c>
      <c r="AU554" s="215" t="s">
        <v>82</v>
      </c>
      <c r="AV554" s="14" t="s">
        <v>82</v>
      </c>
      <c r="AW554" s="14" t="s">
        <v>33</v>
      </c>
      <c r="AX554" s="14" t="s">
        <v>72</v>
      </c>
      <c r="AY554" s="215" t="s">
        <v>380</v>
      </c>
    </row>
    <row r="555" spans="1:65" s="14" customFormat="1" ht="11.25">
      <c r="B555" s="205"/>
      <c r="C555" s="206"/>
      <c r="D555" s="196" t="s">
        <v>388</v>
      </c>
      <c r="E555" s="207" t="s">
        <v>19</v>
      </c>
      <c r="F555" s="208" t="s">
        <v>880</v>
      </c>
      <c r="G555" s="206"/>
      <c r="H555" s="209">
        <v>0.61299999999999999</v>
      </c>
      <c r="I555" s="210"/>
      <c r="J555" s="206"/>
      <c r="K555" s="206"/>
      <c r="L555" s="211"/>
      <c r="M555" s="212"/>
      <c r="N555" s="213"/>
      <c r="O555" s="213"/>
      <c r="P555" s="213"/>
      <c r="Q555" s="213"/>
      <c r="R555" s="213"/>
      <c r="S555" s="213"/>
      <c r="T555" s="214"/>
      <c r="AT555" s="215" t="s">
        <v>388</v>
      </c>
      <c r="AU555" s="215" t="s">
        <v>82</v>
      </c>
      <c r="AV555" s="14" t="s">
        <v>82</v>
      </c>
      <c r="AW555" s="14" t="s">
        <v>33</v>
      </c>
      <c r="AX555" s="14" t="s">
        <v>72</v>
      </c>
      <c r="AY555" s="215" t="s">
        <v>380</v>
      </c>
    </row>
    <row r="556" spans="1:65" s="16" customFormat="1" ht="11.25">
      <c r="B556" s="237"/>
      <c r="C556" s="238"/>
      <c r="D556" s="196" t="s">
        <v>388</v>
      </c>
      <c r="E556" s="239" t="s">
        <v>19</v>
      </c>
      <c r="F556" s="240" t="s">
        <v>572</v>
      </c>
      <c r="G556" s="238"/>
      <c r="H556" s="241">
        <v>38.841000000000001</v>
      </c>
      <c r="I556" s="242"/>
      <c r="J556" s="238"/>
      <c r="K556" s="238"/>
      <c r="L556" s="243"/>
      <c r="M556" s="244"/>
      <c r="N556" s="245"/>
      <c r="O556" s="245"/>
      <c r="P556" s="245"/>
      <c r="Q556" s="245"/>
      <c r="R556" s="245"/>
      <c r="S556" s="245"/>
      <c r="T556" s="246"/>
      <c r="AT556" s="247" t="s">
        <v>388</v>
      </c>
      <c r="AU556" s="247" t="s">
        <v>82</v>
      </c>
      <c r="AV556" s="16" t="s">
        <v>99</v>
      </c>
      <c r="AW556" s="16" t="s">
        <v>33</v>
      </c>
      <c r="AX556" s="16" t="s">
        <v>72</v>
      </c>
      <c r="AY556" s="247" t="s">
        <v>380</v>
      </c>
    </row>
    <row r="557" spans="1:65" s="13" customFormat="1" ht="11.25">
      <c r="B557" s="194"/>
      <c r="C557" s="195"/>
      <c r="D557" s="196" t="s">
        <v>388</v>
      </c>
      <c r="E557" s="197" t="s">
        <v>19</v>
      </c>
      <c r="F557" s="198" t="s">
        <v>573</v>
      </c>
      <c r="G557" s="195"/>
      <c r="H557" s="197" t="s">
        <v>19</v>
      </c>
      <c r="I557" s="199"/>
      <c r="J557" s="195"/>
      <c r="K557" s="195"/>
      <c r="L557" s="200"/>
      <c r="M557" s="201"/>
      <c r="N557" s="202"/>
      <c r="O557" s="202"/>
      <c r="P557" s="202"/>
      <c r="Q557" s="202"/>
      <c r="R557" s="202"/>
      <c r="S557" s="202"/>
      <c r="T557" s="203"/>
      <c r="AT557" s="204" t="s">
        <v>388</v>
      </c>
      <c r="AU557" s="204" t="s">
        <v>82</v>
      </c>
      <c r="AV557" s="13" t="s">
        <v>79</v>
      </c>
      <c r="AW557" s="13" t="s">
        <v>33</v>
      </c>
      <c r="AX557" s="13" t="s">
        <v>72</v>
      </c>
      <c r="AY557" s="204" t="s">
        <v>380</v>
      </c>
    </row>
    <row r="558" spans="1:65" s="14" customFormat="1" ht="11.25">
      <c r="B558" s="205"/>
      <c r="C558" s="206"/>
      <c r="D558" s="196" t="s">
        <v>388</v>
      </c>
      <c r="E558" s="207" t="s">
        <v>19</v>
      </c>
      <c r="F558" s="208" t="s">
        <v>881</v>
      </c>
      <c r="G558" s="206"/>
      <c r="H558" s="209">
        <v>16.885000000000002</v>
      </c>
      <c r="I558" s="210"/>
      <c r="J558" s="206"/>
      <c r="K558" s="206"/>
      <c r="L558" s="211"/>
      <c r="M558" s="212"/>
      <c r="N558" s="213"/>
      <c r="O558" s="213"/>
      <c r="P558" s="213"/>
      <c r="Q558" s="213"/>
      <c r="R558" s="213"/>
      <c r="S558" s="213"/>
      <c r="T558" s="214"/>
      <c r="AT558" s="215" t="s">
        <v>388</v>
      </c>
      <c r="AU558" s="215" t="s">
        <v>82</v>
      </c>
      <c r="AV558" s="14" t="s">
        <v>82</v>
      </c>
      <c r="AW558" s="14" t="s">
        <v>33</v>
      </c>
      <c r="AX558" s="14" t="s">
        <v>72</v>
      </c>
      <c r="AY558" s="215" t="s">
        <v>380</v>
      </c>
    </row>
    <row r="559" spans="1:65" s="16" customFormat="1" ht="11.25">
      <c r="B559" s="237"/>
      <c r="C559" s="238"/>
      <c r="D559" s="196" t="s">
        <v>388</v>
      </c>
      <c r="E559" s="239" t="s">
        <v>19</v>
      </c>
      <c r="F559" s="240" t="s">
        <v>572</v>
      </c>
      <c r="G559" s="238"/>
      <c r="H559" s="241">
        <v>16.885000000000002</v>
      </c>
      <c r="I559" s="242"/>
      <c r="J559" s="238"/>
      <c r="K559" s="238"/>
      <c r="L559" s="243"/>
      <c r="M559" s="244"/>
      <c r="N559" s="245"/>
      <c r="O559" s="245"/>
      <c r="P559" s="245"/>
      <c r="Q559" s="245"/>
      <c r="R559" s="245"/>
      <c r="S559" s="245"/>
      <c r="T559" s="246"/>
      <c r="AT559" s="247" t="s">
        <v>388</v>
      </c>
      <c r="AU559" s="247" t="s">
        <v>82</v>
      </c>
      <c r="AV559" s="16" t="s">
        <v>99</v>
      </c>
      <c r="AW559" s="16" t="s">
        <v>33</v>
      </c>
      <c r="AX559" s="16" t="s">
        <v>72</v>
      </c>
      <c r="AY559" s="247" t="s">
        <v>380</v>
      </c>
    </row>
    <row r="560" spans="1:65" s="13" customFormat="1" ht="11.25">
      <c r="B560" s="194"/>
      <c r="C560" s="195"/>
      <c r="D560" s="196" t="s">
        <v>388</v>
      </c>
      <c r="E560" s="197" t="s">
        <v>19</v>
      </c>
      <c r="F560" s="198" t="s">
        <v>576</v>
      </c>
      <c r="G560" s="195"/>
      <c r="H560" s="197" t="s">
        <v>19</v>
      </c>
      <c r="I560" s="199"/>
      <c r="J560" s="195"/>
      <c r="K560" s="195"/>
      <c r="L560" s="200"/>
      <c r="M560" s="201"/>
      <c r="N560" s="202"/>
      <c r="O560" s="202"/>
      <c r="P560" s="202"/>
      <c r="Q560" s="202"/>
      <c r="R560" s="202"/>
      <c r="S560" s="202"/>
      <c r="T560" s="203"/>
      <c r="AT560" s="204" t="s">
        <v>388</v>
      </c>
      <c r="AU560" s="204" t="s">
        <v>82</v>
      </c>
      <c r="AV560" s="13" t="s">
        <v>79</v>
      </c>
      <c r="AW560" s="13" t="s">
        <v>33</v>
      </c>
      <c r="AX560" s="13" t="s">
        <v>72</v>
      </c>
      <c r="AY560" s="204" t="s">
        <v>380</v>
      </c>
    </row>
    <row r="561" spans="1:65" s="14" customFormat="1" ht="11.25">
      <c r="B561" s="205"/>
      <c r="C561" s="206"/>
      <c r="D561" s="196" t="s">
        <v>388</v>
      </c>
      <c r="E561" s="207" t="s">
        <v>19</v>
      </c>
      <c r="F561" s="208" t="s">
        <v>882</v>
      </c>
      <c r="G561" s="206"/>
      <c r="H561" s="209">
        <v>9.8480000000000008</v>
      </c>
      <c r="I561" s="210"/>
      <c r="J561" s="206"/>
      <c r="K561" s="206"/>
      <c r="L561" s="211"/>
      <c r="M561" s="212"/>
      <c r="N561" s="213"/>
      <c r="O561" s="213"/>
      <c r="P561" s="213"/>
      <c r="Q561" s="213"/>
      <c r="R561" s="213"/>
      <c r="S561" s="213"/>
      <c r="T561" s="214"/>
      <c r="AT561" s="215" t="s">
        <v>388</v>
      </c>
      <c r="AU561" s="215" t="s">
        <v>82</v>
      </c>
      <c r="AV561" s="14" t="s">
        <v>82</v>
      </c>
      <c r="AW561" s="14" t="s">
        <v>33</v>
      </c>
      <c r="AX561" s="14" t="s">
        <v>72</v>
      </c>
      <c r="AY561" s="215" t="s">
        <v>380</v>
      </c>
    </row>
    <row r="562" spans="1:65" s="14" customFormat="1" ht="11.25">
      <c r="B562" s="205"/>
      <c r="C562" s="206"/>
      <c r="D562" s="196" t="s">
        <v>388</v>
      </c>
      <c r="E562" s="207" t="s">
        <v>19</v>
      </c>
      <c r="F562" s="208" t="s">
        <v>883</v>
      </c>
      <c r="G562" s="206"/>
      <c r="H562" s="209">
        <v>0.376</v>
      </c>
      <c r="I562" s="210"/>
      <c r="J562" s="206"/>
      <c r="K562" s="206"/>
      <c r="L562" s="211"/>
      <c r="M562" s="212"/>
      <c r="N562" s="213"/>
      <c r="O562" s="213"/>
      <c r="P562" s="213"/>
      <c r="Q562" s="213"/>
      <c r="R562" s="213"/>
      <c r="S562" s="213"/>
      <c r="T562" s="214"/>
      <c r="AT562" s="215" t="s">
        <v>388</v>
      </c>
      <c r="AU562" s="215" t="s">
        <v>82</v>
      </c>
      <c r="AV562" s="14" t="s">
        <v>82</v>
      </c>
      <c r="AW562" s="14" t="s">
        <v>33</v>
      </c>
      <c r="AX562" s="14" t="s">
        <v>72</v>
      </c>
      <c r="AY562" s="215" t="s">
        <v>380</v>
      </c>
    </row>
    <row r="563" spans="1:65" s="16" customFormat="1" ht="11.25">
      <c r="B563" s="237"/>
      <c r="C563" s="238"/>
      <c r="D563" s="196" t="s">
        <v>388</v>
      </c>
      <c r="E563" s="239" t="s">
        <v>19</v>
      </c>
      <c r="F563" s="240" t="s">
        <v>572</v>
      </c>
      <c r="G563" s="238"/>
      <c r="H563" s="241">
        <v>10.224</v>
      </c>
      <c r="I563" s="242"/>
      <c r="J563" s="238"/>
      <c r="K563" s="238"/>
      <c r="L563" s="243"/>
      <c r="M563" s="244"/>
      <c r="N563" s="245"/>
      <c r="O563" s="245"/>
      <c r="P563" s="245"/>
      <c r="Q563" s="245"/>
      <c r="R563" s="245"/>
      <c r="S563" s="245"/>
      <c r="T563" s="246"/>
      <c r="AT563" s="247" t="s">
        <v>388</v>
      </c>
      <c r="AU563" s="247" t="s">
        <v>82</v>
      </c>
      <c r="AV563" s="16" t="s">
        <v>99</v>
      </c>
      <c r="AW563" s="16" t="s">
        <v>33</v>
      </c>
      <c r="AX563" s="16" t="s">
        <v>72</v>
      </c>
      <c r="AY563" s="247" t="s">
        <v>380</v>
      </c>
    </row>
    <row r="564" spans="1:65" s="15" customFormat="1" ht="11.25">
      <c r="B564" s="216"/>
      <c r="C564" s="217"/>
      <c r="D564" s="196" t="s">
        <v>388</v>
      </c>
      <c r="E564" s="218" t="s">
        <v>19</v>
      </c>
      <c r="F564" s="219" t="s">
        <v>419</v>
      </c>
      <c r="G564" s="217"/>
      <c r="H564" s="220">
        <v>110.148</v>
      </c>
      <c r="I564" s="221"/>
      <c r="J564" s="217"/>
      <c r="K564" s="217"/>
      <c r="L564" s="222"/>
      <c r="M564" s="223"/>
      <c r="N564" s="224"/>
      <c r="O564" s="224"/>
      <c r="P564" s="224"/>
      <c r="Q564" s="224"/>
      <c r="R564" s="224"/>
      <c r="S564" s="224"/>
      <c r="T564" s="225"/>
      <c r="AT564" s="226" t="s">
        <v>388</v>
      </c>
      <c r="AU564" s="226" t="s">
        <v>82</v>
      </c>
      <c r="AV564" s="15" t="s">
        <v>386</v>
      </c>
      <c r="AW564" s="15" t="s">
        <v>33</v>
      </c>
      <c r="AX564" s="15" t="s">
        <v>79</v>
      </c>
      <c r="AY564" s="226" t="s">
        <v>380</v>
      </c>
    </row>
    <row r="565" spans="1:65" s="2" customFormat="1" ht="24.2" customHeight="1">
      <c r="A565" s="36"/>
      <c r="B565" s="37"/>
      <c r="C565" s="181" t="s">
        <v>884</v>
      </c>
      <c r="D565" s="181" t="s">
        <v>382</v>
      </c>
      <c r="E565" s="182" t="s">
        <v>885</v>
      </c>
      <c r="F565" s="183" t="s">
        <v>886</v>
      </c>
      <c r="G565" s="184" t="s">
        <v>385</v>
      </c>
      <c r="H565" s="185">
        <v>18.640999999999998</v>
      </c>
      <c r="I565" s="186"/>
      <c r="J565" s="187">
        <f>ROUND(I565*H565,2)</f>
        <v>0</v>
      </c>
      <c r="K565" s="183" t="s">
        <v>399</v>
      </c>
      <c r="L565" s="41"/>
      <c r="M565" s="188" t="s">
        <v>19</v>
      </c>
      <c r="N565" s="189" t="s">
        <v>43</v>
      </c>
      <c r="O565" s="66"/>
      <c r="P565" s="190">
        <f>O565*H565</f>
        <v>0</v>
      </c>
      <c r="Q565" s="190">
        <v>2.45336</v>
      </c>
      <c r="R565" s="190">
        <f>Q565*H565</f>
        <v>45.733083759999992</v>
      </c>
      <c r="S565" s="190">
        <v>0</v>
      </c>
      <c r="T565" s="191">
        <f>S565*H565</f>
        <v>0</v>
      </c>
      <c r="U565" s="36"/>
      <c r="V565" s="36"/>
      <c r="W565" s="36"/>
      <c r="X565" s="36"/>
      <c r="Y565" s="36"/>
      <c r="Z565" s="36"/>
      <c r="AA565" s="36"/>
      <c r="AB565" s="36"/>
      <c r="AC565" s="36"/>
      <c r="AD565" s="36"/>
      <c r="AE565" s="36"/>
      <c r="AR565" s="192" t="s">
        <v>386</v>
      </c>
      <c r="AT565" s="192" t="s">
        <v>382</v>
      </c>
      <c r="AU565" s="192" t="s">
        <v>82</v>
      </c>
      <c r="AY565" s="19" t="s">
        <v>380</v>
      </c>
      <c r="BE565" s="193">
        <f>IF(N565="základní",J565,0)</f>
        <v>0</v>
      </c>
      <c r="BF565" s="193">
        <f>IF(N565="snížená",J565,0)</f>
        <v>0</v>
      </c>
      <c r="BG565" s="193">
        <f>IF(N565="zákl. přenesená",J565,0)</f>
        <v>0</v>
      </c>
      <c r="BH565" s="193">
        <f>IF(N565="sníž. přenesená",J565,0)</f>
        <v>0</v>
      </c>
      <c r="BI565" s="193">
        <f>IF(N565="nulová",J565,0)</f>
        <v>0</v>
      </c>
      <c r="BJ565" s="19" t="s">
        <v>79</v>
      </c>
      <c r="BK565" s="193">
        <f>ROUND(I565*H565,2)</f>
        <v>0</v>
      </c>
      <c r="BL565" s="19" t="s">
        <v>386</v>
      </c>
      <c r="BM565" s="192" t="s">
        <v>887</v>
      </c>
    </row>
    <row r="566" spans="1:65" s="13" customFormat="1" ht="11.25">
      <c r="B566" s="194"/>
      <c r="C566" s="195"/>
      <c r="D566" s="196" t="s">
        <v>388</v>
      </c>
      <c r="E566" s="197" t="s">
        <v>19</v>
      </c>
      <c r="F566" s="198" t="s">
        <v>569</v>
      </c>
      <c r="G566" s="195"/>
      <c r="H566" s="197" t="s">
        <v>19</v>
      </c>
      <c r="I566" s="199"/>
      <c r="J566" s="195"/>
      <c r="K566" s="195"/>
      <c r="L566" s="200"/>
      <c r="M566" s="201"/>
      <c r="N566" s="202"/>
      <c r="O566" s="202"/>
      <c r="P566" s="202"/>
      <c r="Q566" s="202"/>
      <c r="R566" s="202"/>
      <c r="S566" s="202"/>
      <c r="T566" s="203"/>
      <c r="AT566" s="204" t="s">
        <v>388</v>
      </c>
      <c r="AU566" s="204" t="s">
        <v>82</v>
      </c>
      <c r="AV566" s="13" t="s">
        <v>79</v>
      </c>
      <c r="AW566" s="13" t="s">
        <v>33</v>
      </c>
      <c r="AX566" s="13" t="s">
        <v>72</v>
      </c>
      <c r="AY566" s="204" t="s">
        <v>380</v>
      </c>
    </row>
    <row r="567" spans="1:65" s="14" customFormat="1" ht="11.25">
      <c r="B567" s="205"/>
      <c r="C567" s="206"/>
      <c r="D567" s="196" t="s">
        <v>388</v>
      </c>
      <c r="E567" s="207" t="s">
        <v>19</v>
      </c>
      <c r="F567" s="208" t="s">
        <v>888</v>
      </c>
      <c r="G567" s="206"/>
      <c r="H567" s="209">
        <v>0.122</v>
      </c>
      <c r="I567" s="210"/>
      <c r="J567" s="206"/>
      <c r="K567" s="206"/>
      <c r="L567" s="211"/>
      <c r="M567" s="212"/>
      <c r="N567" s="213"/>
      <c r="O567" s="213"/>
      <c r="P567" s="213"/>
      <c r="Q567" s="213"/>
      <c r="R567" s="213"/>
      <c r="S567" s="213"/>
      <c r="T567" s="214"/>
      <c r="AT567" s="215" t="s">
        <v>388</v>
      </c>
      <c r="AU567" s="215" t="s">
        <v>82</v>
      </c>
      <c r="AV567" s="14" t="s">
        <v>82</v>
      </c>
      <c r="AW567" s="14" t="s">
        <v>33</v>
      </c>
      <c r="AX567" s="14" t="s">
        <v>72</v>
      </c>
      <c r="AY567" s="215" t="s">
        <v>380</v>
      </c>
    </row>
    <row r="568" spans="1:65" s="14" customFormat="1" ht="11.25">
      <c r="B568" s="205"/>
      <c r="C568" s="206"/>
      <c r="D568" s="196" t="s">
        <v>388</v>
      </c>
      <c r="E568" s="207" t="s">
        <v>19</v>
      </c>
      <c r="F568" s="208" t="s">
        <v>889</v>
      </c>
      <c r="G568" s="206"/>
      <c r="H568" s="209">
        <v>3.355</v>
      </c>
      <c r="I568" s="210"/>
      <c r="J568" s="206"/>
      <c r="K568" s="206"/>
      <c r="L568" s="211"/>
      <c r="M568" s="212"/>
      <c r="N568" s="213"/>
      <c r="O568" s="213"/>
      <c r="P568" s="213"/>
      <c r="Q568" s="213"/>
      <c r="R568" s="213"/>
      <c r="S568" s="213"/>
      <c r="T568" s="214"/>
      <c r="AT568" s="215" t="s">
        <v>388</v>
      </c>
      <c r="AU568" s="215" t="s">
        <v>82</v>
      </c>
      <c r="AV568" s="14" t="s">
        <v>82</v>
      </c>
      <c r="AW568" s="14" t="s">
        <v>33</v>
      </c>
      <c r="AX568" s="14" t="s">
        <v>72</v>
      </c>
      <c r="AY568" s="215" t="s">
        <v>380</v>
      </c>
    </row>
    <row r="569" spans="1:65" s="14" customFormat="1" ht="11.25">
      <c r="B569" s="205"/>
      <c r="C569" s="206"/>
      <c r="D569" s="196" t="s">
        <v>388</v>
      </c>
      <c r="E569" s="207" t="s">
        <v>19</v>
      </c>
      <c r="F569" s="208" t="s">
        <v>890</v>
      </c>
      <c r="G569" s="206"/>
      <c r="H569" s="209">
        <v>0.39100000000000001</v>
      </c>
      <c r="I569" s="210"/>
      <c r="J569" s="206"/>
      <c r="K569" s="206"/>
      <c r="L569" s="211"/>
      <c r="M569" s="212"/>
      <c r="N569" s="213"/>
      <c r="O569" s="213"/>
      <c r="P569" s="213"/>
      <c r="Q569" s="213"/>
      <c r="R569" s="213"/>
      <c r="S569" s="213"/>
      <c r="T569" s="214"/>
      <c r="AT569" s="215" t="s">
        <v>388</v>
      </c>
      <c r="AU569" s="215" t="s">
        <v>82</v>
      </c>
      <c r="AV569" s="14" t="s">
        <v>82</v>
      </c>
      <c r="AW569" s="14" t="s">
        <v>33</v>
      </c>
      <c r="AX569" s="14" t="s">
        <v>72</v>
      </c>
      <c r="AY569" s="215" t="s">
        <v>380</v>
      </c>
    </row>
    <row r="570" spans="1:65" s="16" customFormat="1" ht="11.25">
      <c r="B570" s="237"/>
      <c r="C570" s="238"/>
      <c r="D570" s="196" t="s">
        <v>388</v>
      </c>
      <c r="E570" s="239" t="s">
        <v>19</v>
      </c>
      <c r="F570" s="240" t="s">
        <v>572</v>
      </c>
      <c r="G570" s="238"/>
      <c r="H570" s="241">
        <v>3.8679999999999999</v>
      </c>
      <c r="I570" s="242"/>
      <c r="J570" s="238"/>
      <c r="K570" s="238"/>
      <c r="L570" s="243"/>
      <c r="M570" s="244"/>
      <c r="N570" s="245"/>
      <c r="O570" s="245"/>
      <c r="P570" s="245"/>
      <c r="Q570" s="245"/>
      <c r="R570" s="245"/>
      <c r="S570" s="245"/>
      <c r="T570" s="246"/>
      <c r="AT570" s="247" t="s">
        <v>388</v>
      </c>
      <c r="AU570" s="247" t="s">
        <v>82</v>
      </c>
      <c r="AV570" s="16" t="s">
        <v>99</v>
      </c>
      <c r="AW570" s="16" t="s">
        <v>33</v>
      </c>
      <c r="AX570" s="16" t="s">
        <v>72</v>
      </c>
      <c r="AY570" s="247" t="s">
        <v>380</v>
      </c>
    </row>
    <row r="571" spans="1:65" s="13" customFormat="1" ht="11.25">
      <c r="B571" s="194"/>
      <c r="C571" s="195"/>
      <c r="D571" s="196" t="s">
        <v>388</v>
      </c>
      <c r="E571" s="197" t="s">
        <v>19</v>
      </c>
      <c r="F571" s="198" t="s">
        <v>573</v>
      </c>
      <c r="G571" s="195"/>
      <c r="H571" s="197" t="s">
        <v>19</v>
      </c>
      <c r="I571" s="199"/>
      <c r="J571" s="195"/>
      <c r="K571" s="195"/>
      <c r="L571" s="200"/>
      <c r="M571" s="201"/>
      <c r="N571" s="202"/>
      <c r="O571" s="202"/>
      <c r="P571" s="202"/>
      <c r="Q571" s="202"/>
      <c r="R571" s="202"/>
      <c r="S571" s="202"/>
      <c r="T571" s="203"/>
      <c r="AT571" s="204" t="s">
        <v>388</v>
      </c>
      <c r="AU571" s="204" t="s">
        <v>82</v>
      </c>
      <c r="AV571" s="13" t="s">
        <v>79</v>
      </c>
      <c r="AW571" s="13" t="s">
        <v>33</v>
      </c>
      <c r="AX571" s="13" t="s">
        <v>72</v>
      </c>
      <c r="AY571" s="204" t="s">
        <v>380</v>
      </c>
    </row>
    <row r="572" spans="1:65" s="14" customFormat="1" ht="11.25">
      <c r="B572" s="205"/>
      <c r="C572" s="206"/>
      <c r="D572" s="196" t="s">
        <v>388</v>
      </c>
      <c r="E572" s="207" t="s">
        <v>19</v>
      </c>
      <c r="F572" s="208" t="s">
        <v>888</v>
      </c>
      <c r="G572" s="206"/>
      <c r="H572" s="209">
        <v>0.122</v>
      </c>
      <c r="I572" s="210"/>
      <c r="J572" s="206"/>
      <c r="K572" s="206"/>
      <c r="L572" s="211"/>
      <c r="M572" s="212"/>
      <c r="N572" s="213"/>
      <c r="O572" s="213"/>
      <c r="P572" s="213"/>
      <c r="Q572" s="213"/>
      <c r="R572" s="213"/>
      <c r="S572" s="213"/>
      <c r="T572" s="214"/>
      <c r="AT572" s="215" t="s">
        <v>388</v>
      </c>
      <c r="AU572" s="215" t="s">
        <v>82</v>
      </c>
      <c r="AV572" s="14" t="s">
        <v>82</v>
      </c>
      <c r="AW572" s="14" t="s">
        <v>33</v>
      </c>
      <c r="AX572" s="14" t="s">
        <v>72</v>
      </c>
      <c r="AY572" s="215" t="s">
        <v>380</v>
      </c>
    </row>
    <row r="573" spans="1:65" s="14" customFormat="1" ht="11.25">
      <c r="B573" s="205"/>
      <c r="C573" s="206"/>
      <c r="D573" s="196" t="s">
        <v>388</v>
      </c>
      <c r="E573" s="207" t="s">
        <v>19</v>
      </c>
      <c r="F573" s="208" t="s">
        <v>891</v>
      </c>
      <c r="G573" s="206"/>
      <c r="H573" s="209">
        <v>5.7039999999999997</v>
      </c>
      <c r="I573" s="210"/>
      <c r="J573" s="206"/>
      <c r="K573" s="206"/>
      <c r="L573" s="211"/>
      <c r="M573" s="212"/>
      <c r="N573" s="213"/>
      <c r="O573" s="213"/>
      <c r="P573" s="213"/>
      <c r="Q573" s="213"/>
      <c r="R573" s="213"/>
      <c r="S573" s="213"/>
      <c r="T573" s="214"/>
      <c r="AT573" s="215" t="s">
        <v>388</v>
      </c>
      <c r="AU573" s="215" t="s">
        <v>82</v>
      </c>
      <c r="AV573" s="14" t="s">
        <v>82</v>
      </c>
      <c r="AW573" s="14" t="s">
        <v>33</v>
      </c>
      <c r="AX573" s="14" t="s">
        <v>72</v>
      </c>
      <c r="AY573" s="215" t="s">
        <v>380</v>
      </c>
    </row>
    <row r="574" spans="1:65" s="14" customFormat="1" ht="11.25">
      <c r="B574" s="205"/>
      <c r="C574" s="206"/>
      <c r="D574" s="196" t="s">
        <v>388</v>
      </c>
      <c r="E574" s="207" t="s">
        <v>19</v>
      </c>
      <c r="F574" s="208" t="s">
        <v>892</v>
      </c>
      <c r="G574" s="206"/>
      <c r="H574" s="209">
        <v>0.435</v>
      </c>
      <c r="I574" s="210"/>
      <c r="J574" s="206"/>
      <c r="K574" s="206"/>
      <c r="L574" s="211"/>
      <c r="M574" s="212"/>
      <c r="N574" s="213"/>
      <c r="O574" s="213"/>
      <c r="P574" s="213"/>
      <c r="Q574" s="213"/>
      <c r="R574" s="213"/>
      <c r="S574" s="213"/>
      <c r="T574" s="214"/>
      <c r="AT574" s="215" t="s">
        <v>388</v>
      </c>
      <c r="AU574" s="215" t="s">
        <v>82</v>
      </c>
      <c r="AV574" s="14" t="s">
        <v>82</v>
      </c>
      <c r="AW574" s="14" t="s">
        <v>33</v>
      </c>
      <c r="AX574" s="14" t="s">
        <v>72</v>
      </c>
      <c r="AY574" s="215" t="s">
        <v>380</v>
      </c>
    </row>
    <row r="575" spans="1:65" s="14" customFormat="1" ht="11.25">
      <c r="B575" s="205"/>
      <c r="C575" s="206"/>
      <c r="D575" s="196" t="s">
        <v>388</v>
      </c>
      <c r="E575" s="207" t="s">
        <v>19</v>
      </c>
      <c r="F575" s="208" t="s">
        <v>893</v>
      </c>
      <c r="G575" s="206"/>
      <c r="H575" s="209">
        <v>2.294</v>
      </c>
      <c r="I575" s="210"/>
      <c r="J575" s="206"/>
      <c r="K575" s="206"/>
      <c r="L575" s="211"/>
      <c r="M575" s="212"/>
      <c r="N575" s="213"/>
      <c r="O575" s="213"/>
      <c r="P575" s="213"/>
      <c r="Q575" s="213"/>
      <c r="R575" s="213"/>
      <c r="S575" s="213"/>
      <c r="T575" s="214"/>
      <c r="AT575" s="215" t="s">
        <v>388</v>
      </c>
      <c r="AU575" s="215" t="s">
        <v>82</v>
      </c>
      <c r="AV575" s="14" t="s">
        <v>82</v>
      </c>
      <c r="AW575" s="14" t="s">
        <v>33</v>
      </c>
      <c r="AX575" s="14" t="s">
        <v>72</v>
      </c>
      <c r="AY575" s="215" t="s">
        <v>380</v>
      </c>
    </row>
    <row r="576" spans="1:65" s="14" customFormat="1" ht="11.25">
      <c r="B576" s="205"/>
      <c r="C576" s="206"/>
      <c r="D576" s="196" t="s">
        <v>388</v>
      </c>
      <c r="E576" s="207" t="s">
        <v>19</v>
      </c>
      <c r="F576" s="208" t="s">
        <v>894</v>
      </c>
      <c r="G576" s="206"/>
      <c r="H576" s="209">
        <v>2.641</v>
      </c>
      <c r="I576" s="210"/>
      <c r="J576" s="206"/>
      <c r="K576" s="206"/>
      <c r="L576" s="211"/>
      <c r="M576" s="212"/>
      <c r="N576" s="213"/>
      <c r="O576" s="213"/>
      <c r="P576" s="213"/>
      <c r="Q576" s="213"/>
      <c r="R576" s="213"/>
      <c r="S576" s="213"/>
      <c r="T576" s="214"/>
      <c r="AT576" s="215" t="s">
        <v>388</v>
      </c>
      <c r="AU576" s="215" t="s">
        <v>82</v>
      </c>
      <c r="AV576" s="14" t="s">
        <v>82</v>
      </c>
      <c r="AW576" s="14" t="s">
        <v>33</v>
      </c>
      <c r="AX576" s="14" t="s">
        <v>72</v>
      </c>
      <c r="AY576" s="215" t="s">
        <v>380</v>
      </c>
    </row>
    <row r="577" spans="1:65" s="14" customFormat="1" ht="11.25">
      <c r="B577" s="205"/>
      <c r="C577" s="206"/>
      <c r="D577" s="196" t="s">
        <v>388</v>
      </c>
      <c r="E577" s="207" t="s">
        <v>19</v>
      </c>
      <c r="F577" s="208" t="s">
        <v>895</v>
      </c>
      <c r="G577" s="206"/>
      <c r="H577" s="209">
        <v>3.3050000000000002</v>
      </c>
      <c r="I577" s="210"/>
      <c r="J577" s="206"/>
      <c r="K577" s="206"/>
      <c r="L577" s="211"/>
      <c r="M577" s="212"/>
      <c r="N577" s="213"/>
      <c r="O577" s="213"/>
      <c r="P577" s="213"/>
      <c r="Q577" s="213"/>
      <c r="R577" s="213"/>
      <c r="S577" s="213"/>
      <c r="T577" s="214"/>
      <c r="AT577" s="215" t="s">
        <v>388</v>
      </c>
      <c r="AU577" s="215" t="s">
        <v>82</v>
      </c>
      <c r="AV577" s="14" t="s">
        <v>82</v>
      </c>
      <c r="AW577" s="14" t="s">
        <v>33</v>
      </c>
      <c r="AX577" s="14" t="s">
        <v>72</v>
      </c>
      <c r="AY577" s="215" t="s">
        <v>380</v>
      </c>
    </row>
    <row r="578" spans="1:65" s="16" customFormat="1" ht="11.25">
      <c r="B578" s="237"/>
      <c r="C578" s="238"/>
      <c r="D578" s="196" t="s">
        <v>388</v>
      </c>
      <c r="E578" s="239" t="s">
        <v>19</v>
      </c>
      <c r="F578" s="240" t="s">
        <v>572</v>
      </c>
      <c r="G578" s="238"/>
      <c r="H578" s="241">
        <v>14.500999999999999</v>
      </c>
      <c r="I578" s="242"/>
      <c r="J578" s="238"/>
      <c r="K578" s="238"/>
      <c r="L578" s="243"/>
      <c r="M578" s="244"/>
      <c r="N578" s="245"/>
      <c r="O578" s="245"/>
      <c r="P578" s="245"/>
      <c r="Q578" s="245"/>
      <c r="R578" s="245"/>
      <c r="S578" s="245"/>
      <c r="T578" s="246"/>
      <c r="AT578" s="247" t="s">
        <v>388</v>
      </c>
      <c r="AU578" s="247" t="s">
        <v>82</v>
      </c>
      <c r="AV578" s="16" t="s">
        <v>99</v>
      </c>
      <c r="AW578" s="16" t="s">
        <v>33</v>
      </c>
      <c r="AX578" s="16" t="s">
        <v>72</v>
      </c>
      <c r="AY578" s="247" t="s">
        <v>380</v>
      </c>
    </row>
    <row r="579" spans="1:65" s="13" customFormat="1" ht="11.25">
      <c r="B579" s="194"/>
      <c r="C579" s="195"/>
      <c r="D579" s="196" t="s">
        <v>388</v>
      </c>
      <c r="E579" s="197" t="s">
        <v>19</v>
      </c>
      <c r="F579" s="198" t="s">
        <v>576</v>
      </c>
      <c r="G579" s="195"/>
      <c r="H579" s="197" t="s">
        <v>19</v>
      </c>
      <c r="I579" s="199"/>
      <c r="J579" s="195"/>
      <c r="K579" s="195"/>
      <c r="L579" s="200"/>
      <c r="M579" s="201"/>
      <c r="N579" s="202"/>
      <c r="O579" s="202"/>
      <c r="P579" s="202"/>
      <c r="Q579" s="202"/>
      <c r="R579" s="202"/>
      <c r="S579" s="202"/>
      <c r="T579" s="203"/>
      <c r="AT579" s="204" t="s">
        <v>388</v>
      </c>
      <c r="AU579" s="204" t="s">
        <v>82</v>
      </c>
      <c r="AV579" s="13" t="s">
        <v>79</v>
      </c>
      <c r="AW579" s="13" t="s">
        <v>33</v>
      </c>
      <c r="AX579" s="13" t="s">
        <v>72</v>
      </c>
      <c r="AY579" s="204" t="s">
        <v>380</v>
      </c>
    </row>
    <row r="580" spans="1:65" s="14" customFormat="1" ht="11.25">
      <c r="B580" s="205"/>
      <c r="C580" s="206"/>
      <c r="D580" s="196" t="s">
        <v>388</v>
      </c>
      <c r="E580" s="207" t="s">
        <v>19</v>
      </c>
      <c r="F580" s="208" t="s">
        <v>888</v>
      </c>
      <c r="G580" s="206"/>
      <c r="H580" s="209">
        <v>0.122</v>
      </c>
      <c r="I580" s="210"/>
      <c r="J580" s="206"/>
      <c r="K580" s="206"/>
      <c r="L580" s="211"/>
      <c r="M580" s="212"/>
      <c r="N580" s="213"/>
      <c r="O580" s="213"/>
      <c r="P580" s="213"/>
      <c r="Q580" s="213"/>
      <c r="R580" s="213"/>
      <c r="S580" s="213"/>
      <c r="T580" s="214"/>
      <c r="AT580" s="215" t="s">
        <v>388</v>
      </c>
      <c r="AU580" s="215" t="s">
        <v>82</v>
      </c>
      <c r="AV580" s="14" t="s">
        <v>82</v>
      </c>
      <c r="AW580" s="14" t="s">
        <v>33</v>
      </c>
      <c r="AX580" s="14" t="s">
        <v>72</v>
      </c>
      <c r="AY580" s="215" t="s">
        <v>380</v>
      </c>
    </row>
    <row r="581" spans="1:65" s="14" customFormat="1" ht="11.25">
      <c r="B581" s="205"/>
      <c r="C581" s="206"/>
      <c r="D581" s="196" t="s">
        <v>388</v>
      </c>
      <c r="E581" s="207" t="s">
        <v>19</v>
      </c>
      <c r="F581" s="208" t="s">
        <v>896</v>
      </c>
      <c r="G581" s="206"/>
      <c r="H581" s="209">
        <v>0.15</v>
      </c>
      <c r="I581" s="210"/>
      <c r="J581" s="206"/>
      <c r="K581" s="206"/>
      <c r="L581" s="211"/>
      <c r="M581" s="212"/>
      <c r="N581" s="213"/>
      <c r="O581" s="213"/>
      <c r="P581" s="213"/>
      <c r="Q581" s="213"/>
      <c r="R581" s="213"/>
      <c r="S581" s="213"/>
      <c r="T581" s="214"/>
      <c r="AT581" s="215" t="s">
        <v>388</v>
      </c>
      <c r="AU581" s="215" t="s">
        <v>82</v>
      </c>
      <c r="AV581" s="14" t="s">
        <v>82</v>
      </c>
      <c r="AW581" s="14" t="s">
        <v>33</v>
      </c>
      <c r="AX581" s="14" t="s">
        <v>72</v>
      </c>
      <c r="AY581" s="215" t="s">
        <v>380</v>
      </c>
    </row>
    <row r="582" spans="1:65" s="16" customFormat="1" ht="11.25">
      <c r="B582" s="237"/>
      <c r="C582" s="238"/>
      <c r="D582" s="196" t="s">
        <v>388</v>
      </c>
      <c r="E582" s="239" t="s">
        <v>19</v>
      </c>
      <c r="F582" s="240" t="s">
        <v>572</v>
      </c>
      <c r="G582" s="238"/>
      <c r="H582" s="241">
        <v>0.27200000000000002</v>
      </c>
      <c r="I582" s="242"/>
      <c r="J582" s="238"/>
      <c r="K582" s="238"/>
      <c r="L582" s="243"/>
      <c r="M582" s="244"/>
      <c r="N582" s="245"/>
      <c r="O582" s="245"/>
      <c r="P582" s="245"/>
      <c r="Q582" s="245"/>
      <c r="R582" s="245"/>
      <c r="S582" s="245"/>
      <c r="T582" s="246"/>
      <c r="AT582" s="247" t="s">
        <v>388</v>
      </c>
      <c r="AU582" s="247" t="s">
        <v>82</v>
      </c>
      <c r="AV582" s="16" t="s">
        <v>99</v>
      </c>
      <c r="AW582" s="16" t="s">
        <v>33</v>
      </c>
      <c r="AX582" s="16" t="s">
        <v>72</v>
      </c>
      <c r="AY582" s="247" t="s">
        <v>380</v>
      </c>
    </row>
    <row r="583" spans="1:65" s="15" customFormat="1" ht="11.25">
      <c r="B583" s="216"/>
      <c r="C583" s="217"/>
      <c r="D583" s="196" t="s">
        <v>388</v>
      </c>
      <c r="E583" s="218" t="s">
        <v>19</v>
      </c>
      <c r="F583" s="219" t="s">
        <v>419</v>
      </c>
      <c r="G583" s="217"/>
      <c r="H583" s="220">
        <v>18.640999999999998</v>
      </c>
      <c r="I583" s="221"/>
      <c r="J583" s="217"/>
      <c r="K583" s="217"/>
      <c r="L583" s="222"/>
      <c r="M583" s="223"/>
      <c r="N583" s="224"/>
      <c r="O583" s="224"/>
      <c r="P583" s="224"/>
      <c r="Q583" s="224"/>
      <c r="R583" s="224"/>
      <c r="S583" s="224"/>
      <c r="T583" s="225"/>
      <c r="AT583" s="226" t="s">
        <v>388</v>
      </c>
      <c r="AU583" s="226" t="s">
        <v>82</v>
      </c>
      <c r="AV583" s="15" t="s">
        <v>386</v>
      </c>
      <c r="AW583" s="15" t="s">
        <v>33</v>
      </c>
      <c r="AX583" s="15" t="s">
        <v>79</v>
      </c>
      <c r="AY583" s="226" t="s">
        <v>380</v>
      </c>
    </row>
    <row r="584" spans="1:65" s="2" customFormat="1" ht="24.2" customHeight="1">
      <c r="A584" s="36"/>
      <c r="B584" s="37"/>
      <c r="C584" s="181" t="s">
        <v>897</v>
      </c>
      <c r="D584" s="181" t="s">
        <v>382</v>
      </c>
      <c r="E584" s="182" t="s">
        <v>898</v>
      </c>
      <c r="F584" s="183" t="s">
        <v>899</v>
      </c>
      <c r="G584" s="184" t="s">
        <v>398</v>
      </c>
      <c r="H584" s="185">
        <v>133.13200000000001</v>
      </c>
      <c r="I584" s="186"/>
      <c r="J584" s="187">
        <f>ROUND(I584*H584,2)</f>
        <v>0</v>
      </c>
      <c r="K584" s="183" t="s">
        <v>399</v>
      </c>
      <c r="L584" s="41"/>
      <c r="M584" s="188" t="s">
        <v>19</v>
      </c>
      <c r="N584" s="189" t="s">
        <v>43</v>
      </c>
      <c r="O584" s="66"/>
      <c r="P584" s="190">
        <f>O584*H584</f>
        <v>0</v>
      </c>
      <c r="Q584" s="190">
        <v>4.6537200000000001E-3</v>
      </c>
      <c r="R584" s="190">
        <f>Q584*H584</f>
        <v>0.61955905104000009</v>
      </c>
      <c r="S584" s="190">
        <v>0</v>
      </c>
      <c r="T584" s="191">
        <f>S584*H584</f>
        <v>0</v>
      </c>
      <c r="U584" s="36"/>
      <c r="V584" s="36"/>
      <c r="W584" s="36"/>
      <c r="X584" s="36"/>
      <c r="Y584" s="36"/>
      <c r="Z584" s="36"/>
      <c r="AA584" s="36"/>
      <c r="AB584" s="36"/>
      <c r="AC584" s="36"/>
      <c r="AD584" s="36"/>
      <c r="AE584" s="36"/>
      <c r="AR584" s="192" t="s">
        <v>386</v>
      </c>
      <c r="AT584" s="192" t="s">
        <v>382</v>
      </c>
      <c r="AU584" s="192" t="s">
        <v>82</v>
      </c>
      <c r="AY584" s="19" t="s">
        <v>380</v>
      </c>
      <c r="BE584" s="193">
        <f>IF(N584="základní",J584,0)</f>
        <v>0</v>
      </c>
      <c r="BF584" s="193">
        <f>IF(N584="snížená",J584,0)</f>
        <v>0</v>
      </c>
      <c r="BG584" s="193">
        <f>IF(N584="zákl. přenesená",J584,0)</f>
        <v>0</v>
      </c>
      <c r="BH584" s="193">
        <f>IF(N584="sníž. přenesená",J584,0)</f>
        <v>0</v>
      </c>
      <c r="BI584" s="193">
        <f>IF(N584="nulová",J584,0)</f>
        <v>0</v>
      </c>
      <c r="BJ584" s="19" t="s">
        <v>79</v>
      </c>
      <c r="BK584" s="193">
        <f>ROUND(I584*H584,2)</f>
        <v>0</v>
      </c>
      <c r="BL584" s="19" t="s">
        <v>386</v>
      </c>
      <c r="BM584" s="192" t="s">
        <v>900</v>
      </c>
    </row>
    <row r="585" spans="1:65" s="13" customFormat="1" ht="11.25">
      <c r="B585" s="194"/>
      <c r="C585" s="195"/>
      <c r="D585" s="196" t="s">
        <v>388</v>
      </c>
      <c r="E585" s="197" t="s">
        <v>19</v>
      </c>
      <c r="F585" s="198" t="s">
        <v>569</v>
      </c>
      <c r="G585" s="195"/>
      <c r="H585" s="197" t="s">
        <v>19</v>
      </c>
      <c r="I585" s="199"/>
      <c r="J585" s="195"/>
      <c r="K585" s="195"/>
      <c r="L585" s="200"/>
      <c r="M585" s="201"/>
      <c r="N585" s="202"/>
      <c r="O585" s="202"/>
      <c r="P585" s="202"/>
      <c r="Q585" s="202"/>
      <c r="R585" s="202"/>
      <c r="S585" s="202"/>
      <c r="T585" s="203"/>
      <c r="AT585" s="204" t="s">
        <v>388</v>
      </c>
      <c r="AU585" s="204" t="s">
        <v>82</v>
      </c>
      <c r="AV585" s="13" t="s">
        <v>79</v>
      </c>
      <c r="AW585" s="13" t="s">
        <v>33</v>
      </c>
      <c r="AX585" s="13" t="s">
        <v>72</v>
      </c>
      <c r="AY585" s="204" t="s">
        <v>380</v>
      </c>
    </row>
    <row r="586" spans="1:65" s="14" customFormat="1" ht="11.25">
      <c r="B586" s="205"/>
      <c r="C586" s="206"/>
      <c r="D586" s="196" t="s">
        <v>388</v>
      </c>
      <c r="E586" s="207" t="s">
        <v>19</v>
      </c>
      <c r="F586" s="208" t="s">
        <v>901</v>
      </c>
      <c r="G586" s="206"/>
      <c r="H586" s="209">
        <v>1.35</v>
      </c>
      <c r="I586" s="210"/>
      <c r="J586" s="206"/>
      <c r="K586" s="206"/>
      <c r="L586" s="211"/>
      <c r="M586" s="212"/>
      <c r="N586" s="213"/>
      <c r="O586" s="213"/>
      <c r="P586" s="213"/>
      <c r="Q586" s="213"/>
      <c r="R586" s="213"/>
      <c r="S586" s="213"/>
      <c r="T586" s="214"/>
      <c r="AT586" s="215" t="s">
        <v>388</v>
      </c>
      <c r="AU586" s="215" t="s">
        <v>82</v>
      </c>
      <c r="AV586" s="14" t="s">
        <v>82</v>
      </c>
      <c r="AW586" s="14" t="s">
        <v>33</v>
      </c>
      <c r="AX586" s="14" t="s">
        <v>72</v>
      </c>
      <c r="AY586" s="215" t="s">
        <v>380</v>
      </c>
    </row>
    <row r="587" spans="1:65" s="14" customFormat="1" ht="11.25">
      <c r="B587" s="205"/>
      <c r="C587" s="206"/>
      <c r="D587" s="196" t="s">
        <v>388</v>
      </c>
      <c r="E587" s="207" t="s">
        <v>19</v>
      </c>
      <c r="F587" s="208" t="s">
        <v>902</v>
      </c>
      <c r="G587" s="206"/>
      <c r="H587" s="209">
        <v>26.84</v>
      </c>
      <c r="I587" s="210"/>
      <c r="J587" s="206"/>
      <c r="K587" s="206"/>
      <c r="L587" s="211"/>
      <c r="M587" s="212"/>
      <c r="N587" s="213"/>
      <c r="O587" s="213"/>
      <c r="P587" s="213"/>
      <c r="Q587" s="213"/>
      <c r="R587" s="213"/>
      <c r="S587" s="213"/>
      <c r="T587" s="214"/>
      <c r="AT587" s="215" t="s">
        <v>388</v>
      </c>
      <c r="AU587" s="215" t="s">
        <v>82</v>
      </c>
      <c r="AV587" s="14" t="s">
        <v>82</v>
      </c>
      <c r="AW587" s="14" t="s">
        <v>33</v>
      </c>
      <c r="AX587" s="14" t="s">
        <v>72</v>
      </c>
      <c r="AY587" s="215" t="s">
        <v>380</v>
      </c>
    </row>
    <row r="588" spans="1:65" s="14" customFormat="1" ht="11.25">
      <c r="B588" s="205"/>
      <c r="C588" s="206"/>
      <c r="D588" s="196" t="s">
        <v>388</v>
      </c>
      <c r="E588" s="207" t="s">
        <v>19</v>
      </c>
      <c r="F588" s="208" t="s">
        <v>903</v>
      </c>
      <c r="G588" s="206"/>
      <c r="H588" s="209">
        <v>3.1280000000000001</v>
      </c>
      <c r="I588" s="210"/>
      <c r="J588" s="206"/>
      <c r="K588" s="206"/>
      <c r="L588" s="211"/>
      <c r="M588" s="212"/>
      <c r="N588" s="213"/>
      <c r="O588" s="213"/>
      <c r="P588" s="213"/>
      <c r="Q588" s="213"/>
      <c r="R588" s="213"/>
      <c r="S588" s="213"/>
      <c r="T588" s="214"/>
      <c r="AT588" s="215" t="s">
        <v>388</v>
      </c>
      <c r="AU588" s="215" t="s">
        <v>82</v>
      </c>
      <c r="AV588" s="14" t="s">
        <v>82</v>
      </c>
      <c r="AW588" s="14" t="s">
        <v>33</v>
      </c>
      <c r="AX588" s="14" t="s">
        <v>72</v>
      </c>
      <c r="AY588" s="215" t="s">
        <v>380</v>
      </c>
    </row>
    <row r="589" spans="1:65" s="16" customFormat="1" ht="11.25">
      <c r="B589" s="237"/>
      <c r="C589" s="238"/>
      <c r="D589" s="196" t="s">
        <v>388</v>
      </c>
      <c r="E589" s="239" t="s">
        <v>19</v>
      </c>
      <c r="F589" s="240" t="s">
        <v>572</v>
      </c>
      <c r="G589" s="238"/>
      <c r="H589" s="241">
        <v>31.318000000000001</v>
      </c>
      <c r="I589" s="242"/>
      <c r="J589" s="238"/>
      <c r="K589" s="238"/>
      <c r="L589" s="243"/>
      <c r="M589" s="244"/>
      <c r="N589" s="245"/>
      <c r="O589" s="245"/>
      <c r="P589" s="245"/>
      <c r="Q589" s="245"/>
      <c r="R589" s="245"/>
      <c r="S589" s="245"/>
      <c r="T589" s="246"/>
      <c r="AT589" s="247" t="s">
        <v>388</v>
      </c>
      <c r="AU589" s="247" t="s">
        <v>82</v>
      </c>
      <c r="AV589" s="16" t="s">
        <v>99</v>
      </c>
      <c r="AW589" s="16" t="s">
        <v>33</v>
      </c>
      <c r="AX589" s="16" t="s">
        <v>72</v>
      </c>
      <c r="AY589" s="247" t="s">
        <v>380</v>
      </c>
    </row>
    <row r="590" spans="1:65" s="13" customFormat="1" ht="11.25">
      <c r="B590" s="194"/>
      <c r="C590" s="195"/>
      <c r="D590" s="196" t="s">
        <v>388</v>
      </c>
      <c r="E590" s="197" t="s">
        <v>19</v>
      </c>
      <c r="F590" s="198" t="s">
        <v>573</v>
      </c>
      <c r="G590" s="195"/>
      <c r="H590" s="197" t="s">
        <v>19</v>
      </c>
      <c r="I590" s="199"/>
      <c r="J590" s="195"/>
      <c r="K590" s="195"/>
      <c r="L590" s="200"/>
      <c r="M590" s="201"/>
      <c r="N590" s="202"/>
      <c r="O590" s="202"/>
      <c r="P590" s="202"/>
      <c r="Q590" s="202"/>
      <c r="R590" s="202"/>
      <c r="S590" s="202"/>
      <c r="T590" s="203"/>
      <c r="AT590" s="204" t="s">
        <v>388</v>
      </c>
      <c r="AU590" s="204" t="s">
        <v>82</v>
      </c>
      <c r="AV590" s="13" t="s">
        <v>79</v>
      </c>
      <c r="AW590" s="13" t="s">
        <v>33</v>
      </c>
      <c r="AX590" s="13" t="s">
        <v>72</v>
      </c>
      <c r="AY590" s="204" t="s">
        <v>380</v>
      </c>
    </row>
    <row r="591" spans="1:65" s="14" customFormat="1" ht="11.25">
      <c r="B591" s="205"/>
      <c r="C591" s="206"/>
      <c r="D591" s="196" t="s">
        <v>388</v>
      </c>
      <c r="E591" s="207" t="s">
        <v>19</v>
      </c>
      <c r="F591" s="208" t="s">
        <v>901</v>
      </c>
      <c r="G591" s="206"/>
      <c r="H591" s="209">
        <v>1.35</v>
      </c>
      <c r="I591" s="210"/>
      <c r="J591" s="206"/>
      <c r="K591" s="206"/>
      <c r="L591" s="211"/>
      <c r="M591" s="212"/>
      <c r="N591" s="213"/>
      <c r="O591" s="213"/>
      <c r="P591" s="213"/>
      <c r="Q591" s="213"/>
      <c r="R591" s="213"/>
      <c r="S591" s="213"/>
      <c r="T591" s="214"/>
      <c r="AT591" s="215" t="s">
        <v>388</v>
      </c>
      <c r="AU591" s="215" t="s">
        <v>82</v>
      </c>
      <c r="AV591" s="14" t="s">
        <v>82</v>
      </c>
      <c r="AW591" s="14" t="s">
        <v>33</v>
      </c>
      <c r="AX591" s="14" t="s">
        <v>72</v>
      </c>
      <c r="AY591" s="215" t="s">
        <v>380</v>
      </c>
    </row>
    <row r="592" spans="1:65" s="14" customFormat="1" ht="11.25">
      <c r="B592" s="205"/>
      <c r="C592" s="206"/>
      <c r="D592" s="196" t="s">
        <v>388</v>
      </c>
      <c r="E592" s="207" t="s">
        <v>19</v>
      </c>
      <c r="F592" s="208" t="s">
        <v>904</v>
      </c>
      <c r="G592" s="206"/>
      <c r="H592" s="209">
        <v>28.52</v>
      </c>
      <c r="I592" s="210"/>
      <c r="J592" s="206"/>
      <c r="K592" s="206"/>
      <c r="L592" s="211"/>
      <c r="M592" s="212"/>
      <c r="N592" s="213"/>
      <c r="O592" s="213"/>
      <c r="P592" s="213"/>
      <c r="Q592" s="213"/>
      <c r="R592" s="213"/>
      <c r="S592" s="213"/>
      <c r="T592" s="214"/>
      <c r="AT592" s="215" t="s">
        <v>388</v>
      </c>
      <c r="AU592" s="215" t="s">
        <v>82</v>
      </c>
      <c r="AV592" s="14" t="s">
        <v>82</v>
      </c>
      <c r="AW592" s="14" t="s">
        <v>33</v>
      </c>
      <c r="AX592" s="14" t="s">
        <v>72</v>
      </c>
      <c r="AY592" s="215" t="s">
        <v>380</v>
      </c>
    </row>
    <row r="593" spans="1:65" s="14" customFormat="1" ht="11.25">
      <c r="B593" s="205"/>
      <c r="C593" s="206"/>
      <c r="D593" s="196" t="s">
        <v>388</v>
      </c>
      <c r="E593" s="207" t="s">
        <v>19</v>
      </c>
      <c r="F593" s="208" t="s">
        <v>905</v>
      </c>
      <c r="G593" s="206"/>
      <c r="H593" s="209">
        <v>3.48</v>
      </c>
      <c r="I593" s="210"/>
      <c r="J593" s="206"/>
      <c r="K593" s="206"/>
      <c r="L593" s="211"/>
      <c r="M593" s="212"/>
      <c r="N593" s="213"/>
      <c r="O593" s="213"/>
      <c r="P593" s="213"/>
      <c r="Q593" s="213"/>
      <c r="R593" s="213"/>
      <c r="S593" s="213"/>
      <c r="T593" s="214"/>
      <c r="AT593" s="215" t="s">
        <v>388</v>
      </c>
      <c r="AU593" s="215" t="s">
        <v>82</v>
      </c>
      <c r="AV593" s="14" t="s">
        <v>82</v>
      </c>
      <c r="AW593" s="14" t="s">
        <v>33</v>
      </c>
      <c r="AX593" s="14" t="s">
        <v>72</v>
      </c>
      <c r="AY593" s="215" t="s">
        <v>380</v>
      </c>
    </row>
    <row r="594" spans="1:65" s="14" customFormat="1" ht="11.25">
      <c r="B594" s="205"/>
      <c r="C594" s="206"/>
      <c r="D594" s="196" t="s">
        <v>388</v>
      </c>
      <c r="E594" s="207" t="s">
        <v>19</v>
      </c>
      <c r="F594" s="208" t="s">
        <v>906</v>
      </c>
      <c r="G594" s="206"/>
      <c r="H594" s="209">
        <v>18.349</v>
      </c>
      <c r="I594" s="210"/>
      <c r="J594" s="206"/>
      <c r="K594" s="206"/>
      <c r="L594" s="211"/>
      <c r="M594" s="212"/>
      <c r="N594" s="213"/>
      <c r="O594" s="213"/>
      <c r="P594" s="213"/>
      <c r="Q594" s="213"/>
      <c r="R594" s="213"/>
      <c r="S594" s="213"/>
      <c r="T594" s="214"/>
      <c r="AT594" s="215" t="s">
        <v>388</v>
      </c>
      <c r="AU594" s="215" t="s">
        <v>82</v>
      </c>
      <c r="AV594" s="14" t="s">
        <v>82</v>
      </c>
      <c r="AW594" s="14" t="s">
        <v>33</v>
      </c>
      <c r="AX594" s="14" t="s">
        <v>72</v>
      </c>
      <c r="AY594" s="215" t="s">
        <v>380</v>
      </c>
    </row>
    <row r="595" spans="1:65" s="14" customFormat="1" ht="11.25">
      <c r="B595" s="205"/>
      <c r="C595" s="206"/>
      <c r="D595" s="196" t="s">
        <v>388</v>
      </c>
      <c r="E595" s="207" t="s">
        <v>19</v>
      </c>
      <c r="F595" s="208" t="s">
        <v>907</v>
      </c>
      <c r="G595" s="206"/>
      <c r="H595" s="209">
        <v>21.125</v>
      </c>
      <c r="I595" s="210"/>
      <c r="J595" s="206"/>
      <c r="K595" s="206"/>
      <c r="L595" s="211"/>
      <c r="M595" s="212"/>
      <c r="N595" s="213"/>
      <c r="O595" s="213"/>
      <c r="P595" s="213"/>
      <c r="Q595" s="213"/>
      <c r="R595" s="213"/>
      <c r="S595" s="213"/>
      <c r="T595" s="214"/>
      <c r="AT595" s="215" t="s">
        <v>388</v>
      </c>
      <c r="AU595" s="215" t="s">
        <v>82</v>
      </c>
      <c r="AV595" s="14" t="s">
        <v>82</v>
      </c>
      <c r="AW595" s="14" t="s">
        <v>33</v>
      </c>
      <c r="AX595" s="14" t="s">
        <v>72</v>
      </c>
      <c r="AY595" s="215" t="s">
        <v>380</v>
      </c>
    </row>
    <row r="596" spans="1:65" s="14" customFormat="1" ht="11.25">
      <c r="B596" s="205"/>
      <c r="C596" s="206"/>
      <c r="D596" s="196" t="s">
        <v>388</v>
      </c>
      <c r="E596" s="207" t="s">
        <v>19</v>
      </c>
      <c r="F596" s="208" t="s">
        <v>908</v>
      </c>
      <c r="G596" s="206"/>
      <c r="H596" s="209">
        <v>26.44</v>
      </c>
      <c r="I596" s="210"/>
      <c r="J596" s="206"/>
      <c r="K596" s="206"/>
      <c r="L596" s="211"/>
      <c r="M596" s="212"/>
      <c r="N596" s="213"/>
      <c r="O596" s="213"/>
      <c r="P596" s="213"/>
      <c r="Q596" s="213"/>
      <c r="R596" s="213"/>
      <c r="S596" s="213"/>
      <c r="T596" s="214"/>
      <c r="AT596" s="215" t="s">
        <v>388</v>
      </c>
      <c r="AU596" s="215" t="s">
        <v>82</v>
      </c>
      <c r="AV596" s="14" t="s">
        <v>82</v>
      </c>
      <c r="AW596" s="14" t="s">
        <v>33</v>
      </c>
      <c r="AX596" s="14" t="s">
        <v>72</v>
      </c>
      <c r="AY596" s="215" t="s">
        <v>380</v>
      </c>
    </row>
    <row r="597" spans="1:65" s="16" customFormat="1" ht="11.25">
      <c r="B597" s="237"/>
      <c r="C597" s="238"/>
      <c r="D597" s="196" t="s">
        <v>388</v>
      </c>
      <c r="E597" s="239" t="s">
        <v>19</v>
      </c>
      <c r="F597" s="240" t="s">
        <v>572</v>
      </c>
      <c r="G597" s="238"/>
      <c r="H597" s="241">
        <v>99.263999999999996</v>
      </c>
      <c r="I597" s="242"/>
      <c r="J597" s="238"/>
      <c r="K597" s="238"/>
      <c r="L597" s="243"/>
      <c r="M597" s="244"/>
      <c r="N597" s="245"/>
      <c r="O597" s="245"/>
      <c r="P597" s="245"/>
      <c r="Q597" s="245"/>
      <c r="R597" s="245"/>
      <c r="S597" s="245"/>
      <c r="T597" s="246"/>
      <c r="AT597" s="247" t="s">
        <v>388</v>
      </c>
      <c r="AU597" s="247" t="s">
        <v>82</v>
      </c>
      <c r="AV597" s="16" t="s">
        <v>99</v>
      </c>
      <c r="AW597" s="16" t="s">
        <v>33</v>
      </c>
      <c r="AX597" s="16" t="s">
        <v>72</v>
      </c>
      <c r="AY597" s="247" t="s">
        <v>380</v>
      </c>
    </row>
    <row r="598" spans="1:65" s="13" customFormat="1" ht="11.25">
      <c r="B598" s="194"/>
      <c r="C598" s="195"/>
      <c r="D598" s="196" t="s">
        <v>388</v>
      </c>
      <c r="E598" s="197" t="s">
        <v>19</v>
      </c>
      <c r="F598" s="198" t="s">
        <v>576</v>
      </c>
      <c r="G598" s="195"/>
      <c r="H598" s="197" t="s">
        <v>19</v>
      </c>
      <c r="I598" s="199"/>
      <c r="J598" s="195"/>
      <c r="K598" s="195"/>
      <c r="L598" s="200"/>
      <c r="M598" s="201"/>
      <c r="N598" s="202"/>
      <c r="O598" s="202"/>
      <c r="P598" s="202"/>
      <c r="Q598" s="202"/>
      <c r="R598" s="202"/>
      <c r="S598" s="202"/>
      <c r="T598" s="203"/>
      <c r="AT598" s="204" t="s">
        <v>388</v>
      </c>
      <c r="AU598" s="204" t="s">
        <v>82</v>
      </c>
      <c r="AV598" s="13" t="s">
        <v>79</v>
      </c>
      <c r="AW598" s="13" t="s">
        <v>33</v>
      </c>
      <c r="AX598" s="13" t="s">
        <v>72</v>
      </c>
      <c r="AY598" s="204" t="s">
        <v>380</v>
      </c>
    </row>
    <row r="599" spans="1:65" s="14" customFormat="1" ht="11.25">
      <c r="B599" s="205"/>
      <c r="C599" s="206"/>
      <c r="D599" s="196" t="s">
        <v>388</v>
      </c>
      <c r="E599" s="207" t="s">
        <v>19</v>
      </c>
      <c r="F599" s="208" t="s">
        <v>901</v>
      </c>
      <c r="G599" s="206"/>
      <c r="H599" s="209">
        <v>1.35</v>
      </c>
      <c r="I599" s="210"/>
      <c r="J599" s="206"/>
      <c r="K599" s="206"/>
      <c r="L599" s="211"/>
      <c r="M599" s="212"/>
      <c r="N599" s="213"/>
      <c r="O599" s="213"/>
      <c r="P599" s="213"/>
      <c r="Q599" s="213"/>
      <c r="R599" s="213"/>
      <c r="S599" s="213"/>
      <c r="T599" s="214"/>
      <c r="AT599" s="215" t="s">
        <v>388</v>
      </c>
      <c r="AU599" s="215" t="s">
        <v>82</v>
      </c>
      <c r="AV599" s="14" t="s">
        <v>82</v>
      </c>
      <c r="AW599" s="14" t="s">
        <v>33</v>
      </c>
      <c r="AX599" s="14" t="s">
        <v>72</v>
      </c>
      <c r="AY599" s="215" t="s">
        <v>380</v>
      </c>
    </row>
    <row r="600" spans="1:65" s="14" customFormat="1" ht="11.25">
      <c r="B600" s="205"/>
      <c r="C600" s="206"/>
      <c r="D600" s="196" t="s">
        <v>388</v>
      </c>
      <c r="E600" s="207" t="s">
        <v>19</v>
      </c>
      <c r="F600" s="208" t="s">
        <v>909</v>
      </c>
      <c r="G600" s="206"/>
      <c r="H600" s="209">
        <v>1.2</v>
      </c>
      <c r="I600" s="210"/>
      <c r="J600" s="206"/>
      <c r="K600" s="206"/>
      <c r="L600" s="211"/>
      <c r="M600" s="212"/>
      <c r="N600" s="213"/>
      <c r="O600" s="213"/>
      <c r="P600" s="213"/>
      <c r="Q600" s="213"/>
      <c r="R600" s="213"/>
      <c r="S600" s="213"/>
      <c r="T600" s="214"/>
      <c r="AT600" s="215" t="s">
        <v>388</v>
      </c>
      <c r="AU600" s="215" t="s">
        <v>82</v>
      </c>
      <c r="AV600" s="14" t="s">
        <v>82</v>
      </c>
      <c r="AW600" s="14" t="s">
        <v>33</v>
      </c>
      <c r="AX600" s="14" t="s">
        <v>72</v>
      </c>
      <c r="AY600" s="215" t="s">
        <v>380</v>
      </c>
    </row>
    <row r="601" spans="1:65" s="16" customFormat="1" ht="11.25">
      <c r="B601" s="237"/>
      <c r="C601" s="238"/>
      <c r="D601" s="196" t="s">
        <v>388</v>
      </c>
      <c r="E601" s="239" t="s">
        <v>19</v>
      </c>
      <c r="F601" s="240" t="s">
        <v>572</v>
      </c>
      <c r="G601" s="238"/>
      <c r="H601" s="241">
        <v>2.5499999999999998</v>
      </c>
      <c r="I601" s="242"/>
      <c r="J601" s="238"/>
      <c r="K601" s="238"/>
      <c r="L601" s="243"/>
      <c r="M601" s="244"/>
      <c r="N601" s="245"/>
      <c r="O601" s="245"/>
      <c r="P601" s="245"/>
      <c r="Q601" s="245"/>
      <c r="R601" s="245"/>
      <c r="S601" s="245"/>
      <c r="T601" s="246"/>
      <c r="AT601" s="247" t="s">
        <v>388</v>
      </c>
      <c r="AU601" s="247" t="s">
        <v>82</v>
      </c>
      <c r="AV601" s="16" t="s">
        <v>99</v>
      </c>
      <c r="AW601" s="16" t="s">
        <v>33</v>
      </c>
      <c r="AX601" s="16" t="s">
        <v>72</v>
      </c>
      <c r="AY601" s="247" t="s">
        <v>380</v>
      </c>
    </row>
    <row r="602" spans="1:65" s="15" customFormat="1" ht="11.25">
      <c r="B602" s="216"/>
      <c r="C602" s="217"/>
      <c r="D602" s="196" t="s">
        <v>388</v>
      </c>
      <c r="E602" s="218" t="s">
        <v>19</v>
      </c>
      <c r="F602" s="219" t="s">
        <v>419</v>
      </c>
      <c r="G602" s="217"/>
      <c r="H602" s="220">
        <v>133.13200000000001</v>
      </c>
      <c r="I602" s="221"/>
      <c r="J602" s="217"/>
      <c r="K602" s="217"/>
      <c r="L602" s="222"/>
      <c r="M602" s="223"/>
      <c r="N602" s="224"/>
      <c r="O602" s="224"/>
      <c r="P602" s="224"/>
      <c r="Q602" s="224"/>
      <c r="R602" s="224"/>
      <c r="S602" s="224"/>
      <c r="T602" s="225"/>
      <c r="AT602" s="226" t="s">
        <v>388</v>
      </c>
      <c r="AU602" s="226" t="s">
        <v>82</v>
      </c>
      <c r="AV602" s="15" t="s">
        <v>386</v>
      </c>
      <c r="AW602" s="15" t="s">
        <v>33</v>
      </c>
      <c r="AX602" s="15" t="s">
        <v>79</v>
      </c>
      <c r="AY602" s="226" t="s">
        <v>380</v>
      </c>
    </row>
    <row r="603" spans="1:65" s="2" customFormat="1" ht="24.2" customHeight="1">
      <c r="A603" s="36"/>
      <c r="B603" s="37"/>
      <c r="C603" s="181" t="s">
        <v>910</v>
      </c>
      <c r="D603" s="181" t="s">
        <v>382</v>
      </c>
      <c r="E603" s="182" t="s">
        <v>911</v>
      </c>
      <c r="F603" s="183" t="s">
        <v>912</v>
      </c>
      <c r="G603" s="184" t="s">
        <v>398</v>
      </c>
      <c r="H603" s="185">
        <v>133.13200000000001</v>
      </c>
      <c r="I603" s="186"/>
      <c r="J603" s="187">
        <f>ROUND(I603*H603,2)</f>
        <v>0</v>
      </c>
      <c r="K603" s="183" t="s">
        <v>399</v>
      </c>
      <c r="L603" s="41"/>
      <c r="M603" s="188" t="s">
        <v>19</v>
      </c>
      <c r="N603" s="189" t="s">
        <v>43</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386</v>
      </c>
      <c r="AT603" s="192" t="s">
        <v>382</v>
      </c>
      <c r="AU603" s="192" t="s">
        <v>82</v>
      </c>
      <c r="AY603" s="19" t="s">
        <v>380</v>
      </c>
      <c r="BE603" s="193">
        <f>IF(N603="základní",J603,0)</f>
        <v>0</v>
      </c>
      <c r="BF603" s="193">
        <f>IF(N603="snížená",J603,0)</f>
        <v>0</v>
      </c>
      <c r="BG603" s="193">
        <f>IF(N603="zákl. přenesená",J603,0)</f>
        <v>0</v>
      </c>
      <c r="BH603" s="193">
        <f>IF(N603="sníž. přenesená",J603,0)</f>
        <v>0</v>
      </c>
      <c r="BI603" s="193">
        <f>IF(N603="nulová",J603,0)</f>
        <v>0</v>
      </c>
      <c r="BJ603" s="19" t="s">
        <v>79</v>
      </c>
      <c r="BK603" s="193">
        <f>ROUND(I603*H603,2)</f>
        <v>0</v>
      </c>
      <c r="BL603" s="19" t="s">
        <v>386</v>
      </c>
      <c r="BM603" s="192" t="s">
        <v>913</v>
      </c>
    </row>
    <row r="604" spans="1:65" s="2" customFormat="1" ht="24.2" customHeight="1">
      <c r="A604" s="36"/>
      <c r="B604" s="37"/>
      <c r="C604" s="181" t="s">
        <v>914</v>
      </c>
      <c r="D604" s="181" t="s">
        <v>382</v>
      </c>
      <c r="E604" s="182" t="s">
        <v>915</v>
      </c>
      <c r="F604" s="183" t="s">
        <v>916</v>
      </c>
      <c r="G604" s="184" t="s">
        <v>398</v>
      </c>
      <c r="H604" s="185">
        <v>40.97</v>
      </c>
      <c r="I604" s="186"/>
      <c r="J604" s="187">
        <f>ROUND(I604*H604,2)</f>
        <v>0</v>
      </c>
      <c r="K604" s="183" t="s">
        <v>399</v>
      </c>
      <c r="L604" s="41"/>
      <c r="M604" s="188" t="s">
        <v>19</v>
      </c>
      <c r="N604" s="189" t="s">
        <v>43</v>
      </c>
      <c r="O604" s="66"/>
      <c r="P604" s="190">
        <f>O604*H604</f>
        <v>0</v>
      </c>
      <c r="Q604" s="190">
        <v>1.61112E-3</v>
      </c>
      <c r="R604" s="190">
        <f>Q604*H604</f>
        <v>6.6007586399999998E-2</v>
      </c>
      <c r="S604" s="190">
        <v>0</v>
      </c>
      <c r="T604" s="191">
        <f>S604*H604</f>
        <v>0</v>
      </c>
      <c r="U604" s="36"/>
      <c r="V604" s="36"/>
      <c r="W604" s="36"/>
      <c r="X604" s="36"/>
      <c r="Y604" s="36"/>
      <c r="Z604" s="36"/>
      <c r="AA604" s="36"/>
      <c r="AB604" s="36"/>
      <c r="AC604" s="36"/>
      <c r="AD604" s="36"/>
      <c r="AE604" s="36"/>
      <c r="AR604" s="192" t="s">
        <v>386</v>
      </c>
      <c r="AT604" s="192" t="s">
        <v>382</v>
      </c>
      <c r="AU604" s="192" t="s">
        <v>82</v>
      </c>
      <c r="AY604" s="19" t="s">
        <v>380</v>
      </c>
      <c r="BE604" s="193">
        <f>IF(N604="základní",J604,0)</f>
        <v>0</v>
      </c>
      <c r="BF604" s="193">
        <f>IF(N604="snížená",J604,0)</f>
        <v>0</v>
      </c>
      <c r="BG604" s="193">
        <f>IF(N604="zákl. přenesená",J604,0)</f>
        <v>0</v>
      </c>
      <c r="BH604" s="193">
        <f>IF(N604="sníž. přenesená",J604,0)</f>
        <v>0</v>
      </c>
      <c r="BI604" s="193">
        <f>IF(N604="nulová",J604,0)</f>
        <v>0</v>
      </c>
      <c r="BJ604" s="19" t="s">
        <v>79</v>
      </c>
      <c r="BK604" s="193">
        <f>ROUND(I604*H604,2)</f>
        <v>0</v>
      </c>
      <c r="BL604" s="19" t="s">
        <v>386</v>
      </c>
      <c r="BM604" s="192" t="s">
        <v>917</v>
      </c>
    </row>
    <row r="605" spans="1:65" s="13" customFormat="1" ht="11.25">
      <c r="B605" s="194"/>
      <c r="C605" s="195"/>
      <c r="D605" s="196" t="s">
        <v>388</v>
      </c>
      <c r="E605" s="197" t="s">
        <v>19</v>
      </c>
      <c r="F605" s="198" t="s">
        <v>569</v>
      </c>
      <c r="G605" s="195"/>
      <c r="H605" s="197" t="s">
        <v>19</v>
      </c>
      <c r="I605" s="199"/>
      <c r="J605" s="195"/>
      <c r="K605" s="195"/>
      <c r="L605" s="200"/>
      <c r="M605" s="201"/>
      <c r="N605" s="202"/>
      <c r="O605" s="202"/>
      <c r="P605" s="202"/>
      <c r="Q605" s="202"/>
      <c r="R605" s="202"/>
      <c r="S605" s="202"/>
      <c r="T605" s="203"/>
      <c r="AT605" s="204" t="s">
        <v>388</v>
      </c>
      <c r="AU605" s="204" t="s">
        <v>82</v>
      </c>
      <c r="AV605" s="13" t="s">
        <v>79</v>
      </c>
      <c r="AW605" s="13" t="s">
        <v>33</v>
      </c>
      <c r="AX605" s="13" t="s">
        <v>72</v>
      </c>
      <c r="AY605" s="204" t="s">
        <v>380</v>
      </c>
    </row>
    <row r="606" spans="1:65" s="14" customFormat="1" ht="11.25">
      <c r="B606" s="205"/>
      <c r="C606" s="206"/>
      <c r="D606" s="196" t="s">
        <v>388</v>
      </c>
      <c r="E606" s="207" t="s">
        <v>19</v>
      </c>
      <c r="F606" s="208" t="s">
        <v>918</v>
      </c>
      <c r="G606" s="206"/>
      <c r="H606" s="209">
        <v>0.48599999999999999</v>
      </c>
      <c r="I606" s="210"/>
      <c r="J606" s="206"/>
      <c r="K606" s="206"/>
      <c r="L606" s="211"/>
      <c r="M606" s="212"/>
      <c r="N606" s="213"/>
      <c r="O606" s="213"/>
      <c r="P606" s="213"/>
      <c r="Q606" s="213"/>
      <c r="R606" s="213"/>
      <c r="S606" s="213"/>
      <c r="T606" s="214"/>
      <c r="AT606" s="215" t="s">
        <v>388</v>
      </c>
      <c r="AU606" s="215" t="s">
        <v>82</v>
      </c>
      <c r="AV606" s="14" t="s">
        <v>82</v>
      </c>
      <c r="AW606" s="14" t="s">
        <v>33</v>
      </c>
      <c r="AX606" s="14" t="s">
        <v>72</v>
      </c>
      <c r="AY606" s="215" t="s">
        <v>380</v>
      </c>
    </row>
    <row r="607" spans="1:65" s="14" customFormat="1" ht="11.25">
      <c r="B607" s="205"/>
      <c r="C607" s="206"/>
      <c r="D607" s="196" t="s">
        <v>388</v>
      </c>
      <c r="E607" s="207" t="s">
        <v>19</v>
      </c>
      <c r="F607" s="208" t="s">
        <v>919</v>
      </c>
      <c r="G607" s="206"/>
      <c r="H607" s="209">
        <v>8.3879999999999999</v>
      </c>
      <c r="I607" s="210"/>
      <c r="J607" s="206"/>
      <c r="K607" s="206"/>
      <c r="L607" s="211"/>
      <c r="M607" s="212"/>
      <c r="N607" s="213"/>
      <c r="O607" s="213"/>
      <c r="P607" s="213"/>
      <c r="Q607" s="213"/>
      <c r="R607" s="213"/>
      <c r="S607" s="213"/>
      <c r="T607" s="214"/>
      <c r="AT607" s="215" t="s">
        <v>388</v>
      </c>
      <c r="AU607" s="215" t="s">
        <v>82</v>
      </c>
      <c r="AV607" s="14" t="s">
        <v>82</v>
      </c>
      <c r="AW607" s="14" t="s">
        <v>33</v>
      </c>
      <c r="AX607" s="14" t="s">
        <v>72</v>
      </c>
      <c r="AY607" s="215" t="s">
        <v>380</v>
      </c>
    </row>
    <row r="608" spans="1:65" s="14" customFormat="1" ht="11.25">
      <c r="B608" s="205"/>
      <c r="C608" s="206"/>
      <c r="D608" s="196" t="s">
        <v>388</v>
      </c>
      <c r="E608" s="207" t="s">
        <v>19</v>
      </c>
      <c r="F608" s="208" t="s">
        <v>920</v>
      </c>
      <c r="G608" s="206"/>
      <c r="H608" s="209">
        <v>0.85</v>
      </c>
      <c r="I608" s="210"/>
      <c r="J608" s="206"/>
      <c r="K608" s="206"/>
      <c r="L608" s="211"/>
      <c r="M608" s="212"/>
      <c r="N608" s="213"/>
      <c r="O608" s="213"/>
      <c r="P608" s="213"/>
      <c r="Q608" s="213"/>
      <c r="R608" s="213"/>
      <c r="S608" s="213"/>
      <c r="T608" s="214"/>
      <c r="AT608" s="215" t="s">
        <v>388</v>
      </c>
      <c r="AU608" s="215" t="s">
        <v>82</v>
      </c>
      <c r="AV608" s="14" t="s">
        <v>82</v>
      </c>
      <c r="AW608" s="14" t="s">
        <v>33</v>
      </c>
      <c r="AX608" s="14" t="s">
        <v>72</v>
      </c>
      <c r="AY608" s="215" t="s">
        <v>380</v>
      </c>
    </row>
    <row r="609" spans="1:65" s="16" customFormat="1" ht="11.25">
      <c r="B609" s="237"/>
      <c r="C609" s="238"/>
      <c r="D609" s="196" t="s">
        <v>388</v>
      </c>
      <c r="E609" s="239" t="s">
        <v>19</v>
      </c>
      <c r="F609" s="240" t="s">
        <v>572</v>
      </c>
      <c r="G609" s="238"/>
      <c r="H609" s="241">
        <v>9.7240000000000002</v>
      </c>
      <c r="I609" s="242"/>
      <c r="J609" s="238"/>
      <c r="K609" s="238"/>
      <c r="L609" s="243"/>
      <c r="M609" s="244"/>
      <c r="N609" s="245"/>
      <c r="O609" s="245"/>
      <c r="P609" s="245"/>
      <c r="Q609" s="245"/>
      <c r="R609" s="245"/>
      <c r="S609" s="245"/>
      <c r="T609" s="246"/>
      <c r="AT609" s="247" t="s">
        <v>388</v>
      </c>
      <c r="AU609" s="247" t="s">
        <v>82</v>
      </c>
      <c r="AV609" s="16" t="s">
        <v>99</v>
      </c>
      <c r="AW609" s="16" t="s">
        <v>33</v>
      </c>
      <c r="AX609" s="16" t="s">
        <v>72</v>
      </c>
      <c r="AY609" s="247" t="s">
        <v>380</v>
      </c>
    </row>
    <row r="610" spans="1:65" s="13" customFormat="1" ht="11.25">
      <c r="B610" s="194"/>
      <c r="C610" s="195"/>
      <c r="D610" s="196" t="s">
        <v>388</v>
      </c>
      <c r="E610" s="197" t="s">
        <v>19</v>
      </c>
      <c r="F610" s="198" t="s">
        <v>573</v>
      </c>
      <c r="G610" s="195"/>
      <c r="H610" s="197" t="s">
        <v>19</v>
      </c>
      <c r="I610" s="199"/>
      <c r="J610" s="195"/>
      <c r="K610" s="195"/>
      <c r="L610" s="200"/>
      <c r="M610" s="201"/>
      <c r="N610" s="202"/>
      <c r="O610" s="202"/>
      <c r="P610" s="202"/>
      <c r="Q610" s="202"/>
      <c r="R610" s="202"/>
      <c r="S610" s="202"/>
      <c r="T610" s="203"/>
      <c r="AT610" s="204" t="s">
        <v>388</v>
      </c>
      <c r="AU610" s="204" t="s">
        <v>82</v>
      </c>
      <c r="AV610" s="13" t="s">
        <v>79</v>
      </c>
      <c r="AW610" s="13" t="s">
        <v>33</v>
      </c>
      <c r="AX610" s="13" t="s">
        <v>72</v>
      </c>
      <c r="AY610" s="204" t="s">
        <v>380</v>
      </c>
    </row>
    <row r="611" spans="1:65" s="14" customFormat="1" ht="11.25">
      <c r="B611" s="205"/>
      <c r="C611" s="206"/>
      <c r="D611" s="196" t="s">
        <v>388</v>
      </c>
      <c r="E611" s="207" t="s">
        <v>19</v>
      </c>
      <c r="F611" s="208" t="s">
        <v>918</v>
      </c>
      <c r="G611" s="206"/>
      <c r="H611" s="209">
        <v>0.48599999999999999</v>
      </c>
      <c r="I611" s="210"/>
      <c r="J611" s="206"/>
      <c r="K611" s="206"/>
      <c r="L611" s="211"/>
      <c r="M611" s="212"/>
      <c r="N611" s="213"/>
      <c r="O611" s="213"/>
      <c r="P611" s="213"/>
      <c r="Q611" s="213"/>
      <c r="R611" s="213"/>
      <c r="S611" s="213"/>
      <c r="T611" s="214"/>
      <c r="AT611" s="215" t="s">
        <v>388</v>
      </c>
      <c r="AU611" s="215" t="s">
        <v>82</v>
      </c>
      <c r="AV611" s="14" t="s">
        <v>82</v>
      </c>
      <c r="AW611" s="14" t="s">
        <v>33</v>
      </c>
      <c r="AX611" s="14" t="s">
        <v>72</v>
      </c>
      <c r="AY611" s="215" t="s">
        <v>380</v>
      </c>
    </row>
    <row r="612" spans="1:65" s="14" customFormat="1" ht="11.25">
      <c r="B612" s="205"/>
      <c r="C612" s="206"/>
      <c r="D612" s="196" t="s">
        <v>388</v>
      </c>
      <c r="E612" s="207" t="s">
        <v>19</v>
      </c>
      <c r="F612" s="208" t="s">
        <v>921</v>
      </c>
      <c r="G612" s="206"/>
      <c r="H612" s="209">
        <v>14.26</v>
      </c>
      <c r="I612" s="210"/>
      <c r="J612" s="206"/>
      <c r="K612" s="206"/>
      <c r="L612" s="211"/>
      <c r="M612" s="212"/>
      <c r="N612" s="213"/>
      <c r="O612" s="213"/>
      <c r="P612" s="213"/>
      <c r="Q612" s="213"/>
      <c r="R612" s="213"/>
      <c r="S612" s="213"/>
      <c r="T612" s="214"/>
      <c r="AT612" s="215" t="s">
        <v>388</v>
      </c>
      <c r="AU612" s="215" t="s">
        <v>82</v>
      </c>
      <c r="AV612" s="14" t="s">
        <v>82</v>
      </c>
      <c r="AW612" s="14" t="s">
        <v>33</v>
      </c>
      <c r="AX612" s="14" t="s">
        <v>72</v>
      </c>
      <c r="AY612" s="215" t="s">
        <v>380</v>
      </c>
    </row>
    <row r="613" spans="1:65" s="14" customFormat="1" ht="11.25">
      <c r="B613" s="205"/>
      <c r="C613" s="206"/>
      <c r="D613" s="196" t="s">
        <v>388</v>
      </c>
      <c r="E613" s="207" t="s">
        <v>19</v>
      </c>
      <c r="F613" s="208" t="s">
        <v>922</v>
      </c>
      <c r="G613" s="206"/>
      <c r="H613" s="209">
        <v>1.45</v>
      </c>
      <c r="I613" s="210"/>
      <c r="J613" s="206"/>
      <c r="K613" s="206"/>
      <c r="L613" s="211"/>
      <c r="M613" s="212"/>
      <c r="N613" s="213"/>
      <c r="O613" s="213"/>
      <c r="P613" s="213"/>
      <c r="Q613" s="213"/>
      <c r="R613" s="213"/>
      <c r="S613" s="213"/>
      <c r="T613" s="214"/>
      <c r="AT613" s="215" t="s">
        <v>388</v>
      </c>
      <c r="AU613" s="215" t="s">
        <v>82</v>
      </c>
      <c r="AV613" s="14" t="s">
        <v>82</v>
      </c>
      <c r="AW613" s="14" t="s">
        <v>33</v>
      </c>
      <c r="AX613" s="14" t="s">
        <v>72</v>
      </c>
      <c r="AY613" s="215" t="s">
        <v>380</v>
      </c>
    </row>
    <row r="614" spans="1:65" s="14" customFormat="1" ht="11.25">
      <c r="B614" s="205"/>
      <c r="C614" s="206"/>
      <c r="D614" s="196" t="s">
        <v>388</v>
      </c>
      <c r="E614" s="207" t="s">
        <v>19</v>
      </c>
      <c r="F614" s="208" t="s">
        <v>923</v>
      </c>
      <c r="G614" s="206"/>
      <c r="H614" s="209">
        <v>3.8879999999999999</v>
      </c>
      <c r="I614" s="210"/>
      <c r="J614" s="206"/>
      <c r="K614" s="206"/>
      <c r="L614" s="211"/>
      <c r="M614" s="212"/>
      <c r="N614" s="213"/>
      <c r="O614" s="213"/>
      <c r="P614" s="213"/>
      <c r="Q614" s="213"/>
      <c r="R614" s="213"/>
      <c r="S614" s="213"/>
      <c r="T614" s="214"/>
      <c r="AT614" s="215" t="s">
        <v>388</v>
      </c>
      <c r="AU614" s="215" t="s">
        <v>82</v>
      </c>
      <c r="AV614" s="14" t="s">
        <v>82</v>
      </c>
      <c r="AW614" s="14" t="s">
        <v>33</v>
      </c>
      <c r="AX614" s="14" t="s">
        <v>72</v>
      </c>
      <c r="AY614" s="215" t="s">
        <v>380</v>
      </c>
    </row>
    <row r="615" spans="1:65" s="14" customFormat="1" ht="11.25">
      <c r="B615" s="205"/>
      <c r="C615" s="206"/>
      <c r="D615" s="196" t="s">
        <v>388</v>
      </c>
      <c r="E615" s="207" t="s">
        <v>19</v>
      </c>
      <c r="F615" s="208" t="s">
        <v>924</v>
      </c>
      <c r="G615" s="206"/>
      <c r="H615" s="209">
        <v>2.113</v>
      </c>
      <c r="I615" s="210"/>
      <c r="J615" s="206"/>
      <c r="K615" s="206"/>
      <c r="L615" s="211"/>
      <c r="M615" s="212"/>
      <c r="N615" s="213"/>
      <c r="O615" s="213"/>
      <c r="P615" s="213"/>
      <c r="Q615" s="213"/>
      <c r="R615" s="213"/>
      <c r="S615" s="213"/>
      <c r="T615" s="214"/>
      <c r="AT615" s="215" t="s">
        <v>388</v>
      </c>
      <c r="AU615" s="215" t="s">
        <v>82</v>
      </c>
      <c r="AV615" s="14" t="s">
        <v>82</v>
      </c>
      <c r="AW615" s="14" t="s">
        <v>33</v>
      </c>
      <c r="AX615" s="14" t="s">
        <v>72</v>
      </c>
      <c r="AY615" s="215" t="s">
        <v>380</v>
      </c>
    </row>
    <row r="616" spans="1:65" s="14" customFormat="1" ht="11.25">
      <c r="B616" s="205"/>
      <c r="C616" s="206"/>
      <c r="D616" s="196" t="s">
        <v>388</v>
      </c>
      <c r="E616" s="207" t="s">
        <v>19</v>
      </c>
      <c r="F616" s="208" t="s">
        <v>925</v>
      </c>
      <c r="G616" s="206"/>
      <c r="H616" s="209">
        <v>8.2629999999999999</v>
      </c>
      <c r="I616" s="210"/>
      <c r="J616" s="206"/>
      <c r="K616" s="206"/>
      <c r="L616" s="211"/>
      <c r="M616" s="212"/>
      <c r="N616" s="213"/>
      <c r="O616" s="213"/>
      <c r="P616" s="213"/>
      <c r="Q616" s="213"/>
      <c r="R616" s="213"/>
      <c r="S616" s="213"/>
      <c r="T616" s="214"/>
      <c r="AT616" s="215" t="s">
        <v>388</v>
      </c>
      <c r="AU616" s="215" t="s">
        <v>82</v>
      </c>
      <c r="AV616" s="14" t="s">
        <v>82</v>
      </c>
      <c r="AW616" s="14" t="s">
        <v>33</v>
      </c>
      <c r="AX616" s="14" t="s">
        <v>72</v>
      </c>
      <c r="AY616" s="215" t="s">
        <v>380</v>
      </c>
    </row>
    <row r="617" spans="1:65" s="16" customFormat="1" ht="11.25">
      <c r="B617" s="237"/>
      <c r="C617" s="238"/>
      <c r="D617" s="196" t="s">
        <v>388</v>
      </c>
      <c r="E617" s="239" t="s">
        <v>19</v>
      </c>
      <c r="F617" s="240" t="s">
        <v>572</v>
      </c>
      <c r="G617" s="238"/>
      <c r="H617" s="241">
        <v>30.46</v>
      </c>
      <c r="I617" s="242"/>
      <c r="J617" s="238"/>
      <c r="K617" s="238"/>
      <c r="L617" s="243"/>
      <c r="M617" s="244"/>
      <c r="N617" s="245"/>
      <c r="O617" s="245"/>
      <c r="P617" s="245"/>
      <c r="Q617" s="245"/>
      <c r="R617" s="245"/>
      <c r="S617" s="245"/>
      <c r="T617" s="246"/>
      <c r="AT617" s="247" t="s">
        <v>388</v>
      </c>
      <c r="AU617" s="247" t="s">
        <v>82</v>
      </c>
      <c r="AV617" s="16" t="s">
        <v>99</v>
      </c>
      <c r="AW617" s="16" t="s">
        <v>33</v>
      </c>
      <c r="AX617" s="16" t="s">
        <v>72</v>
      </c>
      <c r="AY617" s="247" t="s">
        <v>380</v>
      </c>
    </row>
    <row r="618" spans="1:65" s="13" customFormat="1" ht="11.25">
      <c r="B618" s="194"/>
      <c r="C618" s="195"/>
      <c r="D618" s="196" t="s">
        <v>388</v>
      </c>
      <c r="E618" s="197" t="s">
        <v>19</v>
      </c>
      <c r="F618" s="198" t="s">
        <v>576</v>
      </c>
      <c r="G618" s="195"/>
      <c r="H618" s="197" t="s">
        <v>19</v>
      </c>
      <c r="I618" s="199"/>
      <c r="J618" s="195"/>
      <c r="K618" s="195"/>
      <c r="L618" s="200"/>
      <c r="M618" s="201"/>
      <c r="N618" s="202"/>
      <c r="O618" s="202"/>
      <c r="P618" s="202"/>
      <c r="Q618" s="202"/>
      <c r="R618" s="202"/>
      <c r="S618" s="202"/>
      <c r="T618" s="203"/>
      <c r="AT618" s="204" t="s">
        <v>388</v>
      </c>
      <c r="AU618" s="204" t="s">
        <v>82</v>
      </c>
      <c r="AV618" s="13" t="s">
        <v>79</v>
      </c>
      <c r="AW618" s="13" t="s">
        <v>33</v>
      </c>
      <c r="AX618" s="13" t="s">
        <v>72</v>
      </c>
      <c r="AY618" s="204" t="s">
        <v>380</v>
      </c>
    </row>
    <row r="619" spans="1:65" s="14" customFormat="1" ht="11.25">
      <c r="B619" s="205"/>
      <c r="C619" s="206"/>
      <c r="D619" s="196" t="s">
        <v>388</v>
      </c>
      <c r="E619" s="207" t="s">
        <v>19</v>
      </c>
      <c r="F619" s="208" t="s">
        <v>918</v>
      </c>
      <c r="G619" s="206"/>
      <c r="H619" s="209">
        <v>0.48599999999999999</v>
      </c>
      <c r="I619" s="210"/>
      <c r="J619" s="206"/>
      <c r="K619" s="206"/>
      <c r="L619" s="211"/>
      <c r="M619" s="212"/>
      <c r="N619" s="213"/>
      <c r="O619" s="213"/>
      <c r="P619" s="213"/>
      <c r="Q619" s="213"/>
      <c r="R619" s="213"/>
      <c r="S619" s="213"/>
      <c r="T619" s="214"/>
      <c r="AT619" s="215" t="s">
        <v>388</v>
      </c>
      <c r="AU619" s="215" t="s">
        <v>82</v>
      </c>
      <c r="AV619" s="14" t="s">
        <v>82</v>
      </c>
      <c r="AW619" s="14" t="s">
        <v>33</v>
      </c>
      <c r="AX619" s="14" t="s">
        <v>72</v>
      </c>
      <c r="AY619" s="215" t="s">
        <v>380</v>
      </c>
    </row>
    <row r="620" spans="1:65" s="14" customFormat="1" ht="11.25">
      <c r="B620" s="205"/>
      <c r="C620" s="206"/>
      <c r="D620" s="196" t="s">
        <v>388</v>
      </c>
      <c r="E620" s="207" t="s">
        <v>19</v>
      </c>
      <c r="F620" s="208" t="s">
        <v>926</v>
      </c>
      <c r="G620" s="206"/>
      <c r="H620" s="209">
        <v>0.3</v>
      </c>
      <c r="I620" s="210"/>
      <c r="J620" s="206"/>
      <c r="K620" s="206"/>
      <c r="L620" s="211"/>
      <c r="M620" s="212"/>
      <c r="N620" s="213"/>
      <c r="O620" s="213"/>
      <c r="P620" s="213"/>
      <c r="Q620" s="213"/>
      <c r="R620" s="213"/>
      <c r="S620" s="213"/>
      <c r="T620" s="214"/>
      <c r="AT620" s="215" t="s">
        <v>388</v>
      </c>
      <c r="AU620" s="215" t="s">
        <v>82</v>
      </c>
      <c r="AV620" s="14" t="s">
        <v>82</v>
      </c>
      <c r="AW620" s="14" t="s">
        <v>33</v>
      </c>
      <c r="AX620" s="14" t="s">
        <v>72</v>
      </c>
      <c r="AY620" s="215" t="s">
        <v>380</v>
      </c>
    </row>
    <row r="621" spans="1:65" s="16" customFormat="1" ht="11.25">
      <c r="B621" s="237"/>
      <c r="C621" s="238"/>
      <c r="D621" s="196" t="s">
        <v>388</v>
      </c>
      <c r="E621" s="239" t="s">
        <v>19</v>
      </c>
      <c r="F621" s="240" t="s">
        <v>572</v>
      </c>
      <c r="G621" s="238"/>
      <c r="H621" s="241">
        <v>0.78600000000000003</v>
      </c>
      <c r="I621" s="242"/>
      <c r="J621" s="238"/>
      <c r="K621" s="238"/>
      <c r="L621" s="243"/>
      <c r="M621" s="244"/>
      <c r="N621" s="245"/>
      <c r="O621" s="245"/>
      <c r="P621" s="245"/>
      <c r="Q621" s="245"/>
      <c r="R621" s="245"/>
      <c r="S621" s="245"/>
      <c r="T621" s="246"/>
      <c r="AT621" s="247" t="s">
        <v>388</v>
      </c>
      <c r="AU621" s="247" t="s">
        <v>82</v>
      </c>
      <c r="AV621" s="16" t="s">
        <v>99</v>
      </c>
      <c r="AW621" s="16" t="s">
        <v>33</v>
      </c>
      <c r="AX621" s="16" t="s">
        <v>72</v>
      </c>
      <c r="AY621" s="247" t="s">
        <v>380</v>
      </c>
    </row>
    <row r="622" spans="1:65" s="15" customFormat="1" ht="11.25">
      <c r="B622" s="216"/>
      <c r="C622" s="217"/>
      <c r="D622" s="196" t="s">
        <v>388</v>
      </c>
      <c r="E622" s="218" t="s">
        <v>19</v>
      </c>
      <c r="F622" s="219" t="s">
        <v>419</v>
      </c>
      <c r="G622" s="217"/>
      <c r="H622" s="220">
        <v>40.97</v>
      </c>
      <c r="I622" s="221"/>
      <c r="J622" s="217"/>
      <c r="K622" s="217"/>
      <c r="L622" s="222"/>
      <c r="M622" s="223"/>
      <c r="N622" s="224"/>
      <c r="O622" s="224"/>
      <c r="P622" s="224"/>
      <c r="Q622" s="224"/>
      <c r="R622" s="224"/>
      <c r="S622" s="224"/>
      <c r="T622" s="225"/>
      <c r="AT622" s="226" t="s">
        <v>388</v>
      </c>
      <c r="AU622" s="226" t="s">
        <v>82</v>
      </c>
      <c r="AV622" s="15" t="s">
        <v>386</v>
      </c>
      <c r="AW622" s="15" t="s">
        <v>33</v>
      </c>
      <c r="AX622" s="15" t="s">
        <v>79</v>
      </c>
      <c r="AY622" s="226" t="s">
        <v>380</v>
      </c>
    </row>
    <row r="623" spans="1:65" s="2" customFormat="1" ht="24.2" customHeight="1">
      <c r="A623" s="36"/>
      <c r="B623" s="37"/>
      <c r="C623" s="181" t="s">
        <v>927</v>
      </c>
      <c r="D623" s="181" t="s">
        <v>382</v>
      </c>
      <c r="E623" s="182" t="s">
        <v>928</v>
      </c>
      <c r="F623" s="183" t="s">
        <v>929</v>
      </c>
      <c r="G623" s="184" t="s">
        <v>398</v>
      </c>
      <c r="H623" s="185">
        <v>40.97</v>
      </c>
      <c r="I623" s="186"/>
      <c r="J623" s="187">
        <f>ROUND(I623*H623,2)</f>
        <v>0</v>
      </c>
      <c r="K623" s="183" t="s">
        <v>399</v>
      </c>
      <c r="L623" s="41"/>
      <c r="M623" s="188" t="s">
        <v>19</v>
      </c>
      <c r="N623" s="189" t="s">
        <v>43</v>
      </c>
      <c r="O623" s="66"/>
      <c r="P623" s="190">
        <f>O623*H623</f>
        <v>0</v>
      </c>
      <c r="Q623" s="190">
        <v>0</v>
      </c>
      <c r="R623" s="190">
        <f>Q623*H623</f>
        <v>0</v>
      </c>
      <c r="S623" s="190">
        <v>0</v>
      </c>
      <c r="T623" s="191">
        <f>S623*H623</f>
        <v>0</v>
      </c>
      <c r="U623" s="36"/>
      <c r="V623" s="36"/>
      <c r="W623" s="36"/>
      <c r="X623" s="36"/>
      <c r="Y623" s="36"/>
      <c r="Z623" s="36"/>
      <c r="AA623" s="36"/>
      <c r="AB623" s="36"/>
      <c r="AC623" s="36"/>
      <c r="AD623" s="36"/>
      <c r="AE623" s="36"/>
      <c r="AR623" s="192" t="s">
        <v>386</v>
      </c>
      <c r="AT623" s="192" t="s">
        <v>382</v>
      </c>
      <c r="AU623" s="192" t="s">
        <v>82</v>
      </c>
      <c r="AY623" s="19" t="s">
        <v>380</v>
      </c>
      <c r="BE623" s="193">
        <f>IF(N623="základní",J623,0)</f>
        <v>0</v>
      </c>
      <c r="BF623" s="193">
        <f>IF(N623="snížená",J623,0)</f>
        <v>0</v>
      </c>
      <c r="BG623" s="193">
        <f>IF(N623="zákl. přenesená",J623,0)</f>
        <v>0</v>
      </c>
      <c r="BH623" s="193">
        <f>IF(N623="sníž. přenesená",J623,0)</f>
        <v>0</v>
      </c>
      <c r="BI623" s="193">
        <f>IF(N623="nulová",J623,0)</f>
        <v>0</v>
      </c>
      <c r="BJ623" s="19" t="s">
        <v>79</v>
      </c>
      <c r="BK623" s="193">
        <f>ROUND(I623*H623,2)</f>
        <v>0</v>
      </c>
      <c r="BL623" s="19" t="s">
        <v>386</v>
      </c>
      <c r="BM623" s="192" t="s">
        <v>930</v>
      </c>
    </row>
    <row r="624" spans="1:65" s="2" customFormat="1" ht="37.9" customHeight="1">
      <c r="A624" s="36"/>
      <c r="B624" s="37"/>
      <c r="C624" s="181" t="s">
        <v>931</v>
      </c>
      <c r="D624" s="181" t="s">
        <v>382</v>
      </c>
      <c r="E624" s="182" t="s">
        <v>932</v>
      </c>
      <c r="F624" s="183" t="s">
        <v>933</v>
      </c>
      <c r="G624" s="184" t="s">
        <v>437</v>
      </c>
      <c r="H624" s="185">
        <v>4.8470000000000004</v>
      </c>
      <c r="I624" s="186"/>
      <c r="J624" s="187">
        <f>ROUND(I624*H624,2)</f>
        <v>0</v>
      </c>
      <c r="K624" s="183" t="s">
        <v>399</v>
      </c>
      <c r="L624" s="41"/>
      <c r="M624" s="188" t="s">
        <v>19</v>
      </c>
      <c r="N624" s="189" t="s">
        <v>43</v>
      </c>
      <c r="O624" s="66"/>
      <c r="P624" s="190">
        <f>O624*H624</f>
        <v>0</v>
      </c>
      <c r="Q624" s="190">
        <v>1.05463738</v>
      </c>
      <c r="R624" s="190">
        <f>Q624*H624</f>
        <v>5.1118273808600003</v>
      </c>
      <c r="S624" s="190">
        <v>0</v>
      </c>
      <c r="T624" s="191">
        <f>S624*H624</f>
        <v>0</v>
      </c>
      <c r="U624" s="36"/>
      <c r="V624" s="36"/>
      <c r="W624" s="36"/>
      <c r="X624" s="36"/>
      <c r="Y624" s="36"/>
      <c r="Z624" s="36"/>
      <c r="AA624" s="36"/>
      <c r="AB624" s="36"/>
      <c r="AC624" s="36"/>
      <c r="AD624" s="36"/>
      <c r="AE624" s="36"/>
      <c r="AR624" s="192" t="s">
        <v>386</v>
      </c>
      <c r="AT624" s="192" t="s">
        <v>382</v>
      </c>
      <c r="AU624" s="192" t="s">
        <v>82</v>
      </c>
      <c r="AY624" s="19" t="s">
        <v>380</v>
      </c>
      <c r="BE624" s="193">
        <f>IF(N624="základní",J624,0)</f>
        <v>0</v>
      </c>
      <c r="BF624" s="193">
        <f>IF(N624="snížená",J624,0)</f>
        <v>0</v>
      </c>
      <c r="BG624" s="193">
        <f>IF(N624="zákl. přenesená",J624,0)</f>
        <v>0</v>
      </c>
      <c r="BH624" s="193">
        <f>IF(N624="sníž. přenesená",J624,0)</f>
        <v>0</v>
      </c>
      <c r="BI624" s="193">
        <f>IF(N624="nulová",J624,0)</f>
        <v>0</v>
      </c>
      <c r="BJ624" s="19" t="s">
        <v>79</v>
      </c>
      <c r="BK624" s="193">
        <f>ROUND(I624*H624,2)</f>
        <v>0</v>
      </c>
      <c r="BL624" s="19" t="s">
        <v>386</v>
      </c>
      <c r="BM624" s="192" t="s">
        <v>934</v>
      </c>
    </row>
    <row r="625" spans="1:65" s="13" customFormat="1" ht="11.25">
      <c r="B625" s="194"/>
      <c r="C625" s="195"/>
      <c r="D625" s="196" t="s">
        <v>388</v>
      </c>
      <c r="E625" s="197" t="s">
        <v>19</v>
      </c>
      <c r="F625" s="198" t="s">
        <v>493</v>
      </c>
      <c r="G625" s="195"/>
      <c r="H625" s="197" t="s">
        <v>19</v>
      </c>
      <c r="I625" s="199"/>
      <c r="J625" s="195"/>
      <c r="K625" s="195"/>
      <c r="L625" s="200"/>
      <c r="M625" s="201"/>
      <c r="N625" s="202"/>
      <c r="O625" s="202"/>
      <c r="P625" s="202"/>
      <c r="Q625" s="202"/>
      <c r="R625" s="202"/>
      <c r="S625" s="202"/>
      <c r="T625" s="203"/>
      <c r="AT625" s="204" t="s">
        <v>388</v>
      </c>
      <c r="AU625" s="204" t="s">
        <v>82</v>
      </c>
      <c r="AV625" s="13" t="s">
        <v>79</v>
      </c>
      <c r="AW625" s="13" t="s">
        <v>33</v>
      </c>
      <c r="AX625" s="13" t="s">
        <v>72</v>
      </c>
      <c r="AY625" s="204" t="s">
        <v>380</v>
      </c>
    </row>
    <row r="626" spans="1:65" s="14" customFormat="1" ht="11.25">
      <c r="B626" s="205"/>
      <c r="C626" s="206"/>
      <c r="D626" s="196" t="s">
        <v>388</v>
      </c>
      <c r="E626" s="207" t="s">
        <v>19</v>
      </c>
      <c r="F626" s="208" t="s">
        <v>935</v>
      </c>
      <c r="G626" s="206"/>
      <c r="H626" s="209">
        <v>4.8470000000000004</v>
      </c>
      <c r="I626" s="210"/>
      <c r="J626" s="206"/>
      <c r="K626" s="206"/>
      <c r="L626" s="211"/>
      <c r="M626" s="212"/>
      <c r="N626" s="213"/>
      <c r="O626" s="213"/>
      <c r="P626" s="213"/>
      <c r="Q626" s="213"/>
      <c r="R626" s="213"/>
      <c r="S626" s="213"/>
      <c r="T626" s="214"/>
      <c r="AT626" s="215" t="s">
        <v>388</v>
      </c>
      <c r="AU626" s="215" t="s">
        <v>82</v>
      </c>
      <c r="AV626" s="14" t="s">
        <v>82</v>
      </c>
      <c r="AW626" s="14" t="s">
        <v>33</v>
      </c>
      <c r="AX626" s="14" t="s">
        <v>79</v>
      </c>
      <c r="AY626" s="215" t="s">
        <v>380</v>
      </c>
    </row>
    <row r="627" spans="1:65" s="2" customFormat="1" ht="16.5" customHeight="1">
      <c r="A627" s="36"/>
      <c r="B627" s="37"/>
      <c r="C627" s="181" t="s">
        <v>936</v>
      </c>
      <c r="D627" s="181" t="s">
        <v>382</v>
      </c>
      <c r="E627" s="182" t="s">
        <v>937</v>
      </c>
      <c r="F627" s="183" t="s">
        <v>938</v>
      </c>
      <c r="G627" s="184" t="s">
        <v>385</v>
      </c>
      <c r="H627" s="185">
        <v>4.194</v>
      </c>
      <c r="I627" s="186"/>
      <c r="J627" s="187">
        <f>ROUND(I627*H627,2)</f>
        <v>0</v>
      </c>
      <c r="K627" s="183" t="s">
        <v>399</v>
      </c>
      <c r="L627" s="41"/>
      <c r="M627" s="188" t="s">
        <v>19</v>
      </c>
      <c r="N627" s="189" t="s">
        <v>43</v>
      </c>
      <c r="O627" s="66"/>
      <c r="P627" s="190">
        <f>O627*H627</f>
        <v>0</v>
      </c>
      <c r="Q627" s="190">
        <v>2.453395</v>
      </c>
      <c r="R627" s="190">
        <f>Q627*H627</f>
        <v>10.289538629999999</v>
      </c>
      <c r="S627" s="190">
        <v>0</v>
      </c>
      <c r="T627" s="191">
        <f>S627*H627</f>
        <v>0</v>
      </c>
      <c r="U627" s="36"/>
      <c r="V627" s="36"/>
      <c r="W627" s="36"/>
      <c r="X627" s="36"/>
      <c r="Y627" s="36"/>
      <c r="Z627" s="36"/>
      <c r="AA627" s="36"/>
      <c r="AB627" s="36"/>
      <c r="AC627" s="36"/>
      <c r="AD627" s="36"/>
      <c r="AE627" s="36"/>
      <c r="AR627" s="192" t="s">
        <v>386</v>
      </c>
      <c r="AT627" s="192" t="s">
        <v>382</v>
      </c>
      <c r="AU627" s="192" t="s">
        <v>82</v>
      </c>
      <c r="AY627" s="19" t="s">
        <v>380</v>
      </c>
      <c r="BE627" s="193">
        <f>IF(N627="základní",J627,0)</f>
        <v>0</v>
      </c>
      <c r="BF627" s="193">
        <f>IF(N627="snížená",J627,0)</f>
        <v>0</v>
      </c>
      <c r="BG627" s="193">
        <f>IF(N627="zákl. přenesená",J627,0)</f>
        <v>0</v>
      </c>
      <c r="BH627" s="193">
        <f>IF(N627="sníž. přenesená",J627,0)</f>
        <v>0</v>
      </c>
      <c r="BI627" s="193">
        <f>IF(N627="nulová",J627,0)</f>
        <v>0</v>
      </c>
      <c r="BJ627" s="19" t="s">
        <v>79</v>
      </c>
      <c r="BK627" s="193">
        <f>ROUND(I627*H627,2)</f>
        <v>0</v>
      </c>
      <c r="BL627" s="19" t="s">
        <v>386</v>
      </c>
      <c r="BM627" s="192" t="s">
        <v>939</v>
      </c>
    </row>
    <row r="628" spans="1:65" s="13" customFormat="1" ht="11.25">
      <c r="B628" s="194"/>
      <c r="C628" s="195"/>
      <c r="D628" s="196" t="s">
        <v>388</v>
      </c>
      <c r="E628" s="197" t="s">
        <v>19</v>
      </c>
      <c r="F628" s="198" t="s">
        <v>569</v>
      </c>
      <c r="G628" s="195"/>
      <c r="H628" s="197" t="s">
        <v>19</v>
      </c>
      <c r="I628" s="199"/>
      <c r="J628" s="195"/>
      <c r="K628" s="195"/>
      <c r="L628" s="200"/>
      <c r="M628" s="201"/>
      <c r="N628" s="202"/>
      <c r="O628" s="202"/>
      <c r="P628" s="202"/>
      <c r="Q628" s="202"/>
      <c r="R628" s="202"/>
      <c r="S628" s="202"/>
      <c r="T628" s="203"/>
      <c r="AT628" s="204" t="s">
        <v>388</v>
      </c>
      <c r="AU628" s="204" t="s">
        <v>82</v>
      </c>
      <c r="AV628" s="13" t="s">
        <v>79</v>
      </c>
      <c r="AW628" s="13" t="s">
        <v>33</v>
      </c>
      <c r="AX628" s="13" t="s">
        <v>72</v>
      </c>
      <c r="AY628" s="204" t="s">
        <v>380</v>
      </c>
    </row>
    <row r="629" spans="1:65" s="14" customFormat="1" ht="11.25">
      <c r="B629" s="205"/>
      <c r="C629" s="206"/>
      <c r="D629" s="196" t="s">
        <v>388</v>
      </c>
      <c r="E629" s="207" t="s">
        <v>19</v>
      </c>
      <c r="F629" s="208" t="s">
        <v>940</v>
      </c>
      <c r="G629" s="206"/>
      <c r="H629" s="209">
        <v>2.097</v>
      </c>
      <c r="I629" s="210"/>
      <c r="J629" s="206"/>
      <c r="K629" s="206"/>
      <c r="L629" s="211"/>
      <c r="M629" s="212"/>
      <c r="N629" s="213"/>
      <c r="O629" s="213"/>
      <c r="P629" s="213"/>
      <c r="Q629" s="213"/>
      <c r="R629" s="213"/>
      <c r="S629" s="213"/>
      <c r="T629" s="214"/>
      <c r="AT629" s="215" t="s">
        <v>388</v>
      </c>
      <c r="AU629" s="215" t="s">
        <v>82</v>
      </c>
      <c r="AV629" s="14" t="s">
        <v>82</v>
      </c>
      <c r="AW629" s="14" t="s">
        <v>33</v>
      </c>
      <c r="AX629" s="14" t="s">
        <v>72</v>
      </c>
      <c r="AY629" s="215" t="s">
        <v>380</v>
      </c>
    </row>
    <row r="630" spans="1:65" s="13" customFormat="1" ht="11.25">
      <c r="B630" s="194"/>
      <c r="C630" s="195"/>
      <c r="D630" s="196" t="s">
        <v>388</v>
      </c>
      <c r="E630" s="197" t="s">
        <v>19</v>
      </c>
      <c r="F630" s="198" t="s">
        <v>573</v>
      </c>
      <c r="G630" s="195"/>
      <c r="H630" s="197" t="s">
        <v>19</v>
      </c>
      <c r="I630" s="199"/>
      <c r="J630" s="195"/>
      <c r="K630" s="195"/>
      <c r="L630" s="200"/>
      <c r="M630" s="201"/>
      <c r="N630" s="202"/>
      <c r="O630" s="202"/>
      <c r="P630" s="202"/>
      <c r="Q630" s="202"/>
      <c r="R630" s="202"/>
      <c r="S630" s="202"/>
      <c r="T630" s="203"/>
      <c r="AT630" s="204" t="s">
        <v>388</v>
      </c>
      <c r="AU630" s="204" t="s">
        <v>82</v>
      </c>
      <c r="AV630" s="13" t="s">
        <v>79</v>
      </c>
      <c r="AW630" s="13" t="s">
        <v>33</v>
      </c>
      <c r="AX630" s="13" t="s">
        <v>72</v>
      </c>
      <c r="AY630" s="204" t="s">
        <v>380</v>
      </c>
    </row>
    <row r="631" spans="1:65" s="14" customFormat="1" ht="11.25">
      <c r="B631" s="205"/>
      <c r="C631" s="206"/>
      <c r="D631" s="196" t="s">
        <v>388</v>
      </c>
      <c r="E631" s="207" t="s">
        <v>19</v>
      </c>
      <c r="F631" s="208" t="s">
        <v>940</v>
      </c>
      <c r="G631" s="206"/>
      <c r="H631" s="209">
        <v>2.097</v>
      </c>
      <c r="I631" s="210"/>
      <c r="J631" s="206"/>
      <c r="K631" s="206"/>
      <c r="L631" s="211"/>
      <c r="M631" s="212"/>
      <c r="N631" s="213"/>
      <c r="O631" s="213"/>
      <c r="P631" s="213"/>
      <c r="Q631" s="213"/>
      <c r="R631" s="213"/>
      <c r="S631" s="213"/>
      <c r="T631" s="214"/>
      <c r="AT631" s="215" t="s">
        <v>388</v>
      </c>
      <c r="AU631" s="215" t="s">
        <v>82</v>
      </c>
      <c r="AV631" s="14" t="s">
        <v>82</v>
      </c>
      <c r="AW631" s="14" t="s">
        <v>33</v>
      </c>
      <c r="AX631" s="14" t="s">
        <v>72</v>
      </c>
      <c r="AY631" s="215" t="s">
        <v>380</v>
      </c>
    </row>
    <row r="632" spans="1:65" s="15" customFormat="1" ht="11.25">
      <c r="B632" s="216"/>
      <c r="C632" s="217"/>
      <c r="D632" s="196" t="s">
        <v>388</v>
      </c>
      <c r="E632" s="218" t="s">
        <v>19</v>
      </c>
      <c r="F632" s="219" t="s">
        <v>419</v>
      </c>
      <c r="G632" s="217"/>
      <c r="H632" s="220">
        <v>4.194</v>
      </c>
      <c r="I632" s="221"/>
      <c r="J632" s="217"/>
      <c r="K632" s="217"/>
      <c r="L632" s="222"/>
      <c r="M632" s="223"/>
      <c r="N632" s="224"/>
      <c r="O632" s="224"/>
      <c r="P632" s="224"/>
      <c r="Q632" s="224"/>
      <c r="R632" s="224"/>
      <c r="S632" s="224"/>
      <c r="T632" s="225"/>
      <c r="AT632" s="226" t="s">
        <v>388</v>
      </c>
      <c r="AU632" s="226" t="s">
        <v>82</v>
      </c>
      <c r="AV632" s="15" t="s">
        <v>386</v>
      </c>
      <c r="AW632" s="15" t="s">
        <v>33</v>
      </c>
      <c r="AX632" s="15" t="s">
        <v>79</v>
      </c>
      <c r="AY632" s="226" t="s">
        <v>380</v>
      </c>
    </row>
    <row r="633" spans="1:65" s="2" customFormat="1" ht="16.5" customHeight="1">
      <c r="A633" s="36"/>
      <c r="B633" s="37"/>
      <c r="C633" s="181" t="s">
        <v>941</v>
      </c>
      <c r="D633" s="181" t="s">
        <v>382</v>
      </c>
      <c r="E633" s="182" t="s">
        <v>942</v>
      </c>
      <c r="F633" s="183" t="s">
        <v>943</v>
      </c>
      <c r="G633" s="184" t="s">
        <v>398</v>
      </c>
      <c r="H633" s="185">
        <v>33.549999999999997</v>
      </c>
      <c r="I633" s="186"/>
      <c r="J633" s="187">
        <f>ROUND(I633*H633,2)</f>
        <v>0</v>
      </c>
      <c r="K633" s="183" t="s">
        <v>399</v>
      </c>
      <c r="L633" s="41"/>
      <c r="M633" s="188" t="s">
        <v>19</v>
      </c>
      <c r="N633" s="189" t="s">
        <v>43</v>
      </c>
      <c r="O633" s="66"/>
      <c r="P633" s="190">
        <f>O633*H633</f>
        <v>0</v>
      </c>
      <c r="Q633" s="190">
        <v>5.7646399999999997E-3</v>
      </c>
      <c r="R633" s="190">
        <f>Q633*H633</f>
        <v>0.19340367199999997</v>
      </c>
      <c r="S633" s="190">
        <v>0</v>
      </c>
      <c r="T633" s="191">
        <f>S633*H633</f>
        <v>0</v>
      </c>
      <c r="U633" s="36"/>
      <c r="V633" s="36"/>
      <c r="W633" s="36"/>
      <c r="X633" s="36"/>
      <c r="Y633" s="36"/>
      <c r="Z633" s="36"/>
      <c r="AA633" s="36"/>
      <c r="AB633" s="36"/>
      <c r="AC633" s="36"/>
      <c r="AD633" s="36"/>
      <c r="AE633" s="36"/>
      <c r="AR633" s="192" t="s">
        <v>386</v>
      </c>
      <c r="AT633" s="192" t="s">
        <v>382</v>
      </c>
      <c r="AU633" s="192" t="s">
        <v>82</v>
      </c>
      <c r="AY633" s="19" t="s">
        <v>380</v>
      </c>
      <c r="BE633" s="193">
        <f>IF(N633="základní",J633,0)</f>
        <v>0</v>
      </c>
      <c r="BF633" s="193">
        <f>IF(N633="snížená",J633,0)</f>
        <v>0</v>
      </c>
      <c r="BG633" s="193">
        <f>IF(N633="zákl. přenesená",J633,0)</f>
        <v>0</v>
      </c>
      <c r="BH633" s="193">
        <f>IF(N633="sníž. přenesená",J633,0)</f>
        <v>0</v>
      </c>
      <c r="BI633" s="193">
        <f>IF(N633="nulová",J633,0)</f>
        <v>0</v>
      </c>
      <c r="BJ633" s="19" t="s">
        <v>79</v>
      </c>
      <c r="BK633" s="193">
        <f>ROUND(I633*H633,2)</f>
        <v>0</v>
      </c>
      <c r="BL633" s="19" t="s">
        <v>386</v>
      </c>
      <c r="BM633" s="192" t="s">
        <v>944</v>
      </c>
    </row>
    <row r="634" spans="1:65" s="13" customFormat="1" ht="11.25">
      <c r="B634" s="194"/>
      <c r="C634" s="195"/>
      <c r="D634" s="196" t="s">
        <v>388</v>
      </c>
      <c r="E634" s="197" t="s">
        <v>19</v>
      </c>
      <c r="F634" s="198" t="s">
        <v>569</v>
      </c>
      <c r="G634" s="195"/>
      <c r="H634" s="197" t="s">
        <v>19</v>
      </c>
      <c r="I634" s="199"/>
      <c r="J634" s="195"/>
      <c r="K634" s="195"/>
      <c r="L634" s="200"/>
      <c r="M634" s="201"/>
      <c r="N634" s="202"/>
      <c r="O634" s="202"/>
      <c r="P634" s="202"/>
      <c r="Q634" s="202"/>
      <c r="R634" s="202"/>
      <c r="S634" s="202"/>
      <c r="T634" s="203"/>
      <c r="AT634" s="204" t="s">
        <v>388</v>
      </c>
      <c r="AU634" s="204" t="s">
        <v>82</v>
      </c>
      <c r="AV634" s="13" t="s">
        <v>79</v>
      </c>
      <c r="AW634" s="13" t="s">
        <v>33</v>
      </c>
      <c r="AX634" s="13" t="s">
        <v>72</v>
      </c>
      <c r="AY634" s="204" t="s">
        <v>380</v>
      </c>
    </row>
    <row r="635" spans="1:65" s="14" customFormat="1" ht="11.25">
      <c r="B635" s="205"/>
      <c r="C635" s="206"/>
      <c r="D635" s="196" t="s">
        <v>388</v>
      </c>
      <c r="E635" s="207" t="s">
        <v>19</v>
      </c>
      <c r="F635" s="208" t="s">
        <v>945</v>
      </c>
      <c r="G635" s="206"/>
      <c r="H635" s="209">
        <v>16.774999999999999</v>
      </c>
      <c r="I635" s="210"/>
      <c r="J635" s="206"/>
      <c r="K635" s="206"/>
      <c r="L635" s="211"/>
      <c r="M635" s="212"/>
      <c r="N635" s="213"/>
      <c r="O635" s="213"/>
      <c r="P635" s="213"/>
      <c r="Q635" s="213"/>
      <c r="R635" s="213"/>
      <c r="S635" s="213"/>
      <c r="T635" s="214"/>
      <c r="AT635" s="215" t="s">
        <v>388</v>
      </c>
      <c r="AU635" s="215" t="s">
        <v>82</v>
      </c>
      <c r="AV635" s="14" t="s">
        <v>82</v>
      </c>
      <c r="AW635" s="14" t="s">
        <v>33</v>
      </c>
      <c r="AX635" s="14" t="s">
        <v>72</v>
      </c>
      <c r="AY635" s="215" t="s">
        <v>380</v>
      </c>
    </row>
    <row r="636" spans="1:65" s="13" customFormat="1" ht="11.25">
      <c r="B636" s="194"/>
      <c r="C636" s="195"/>
      <c r="D636" s="196" t="s">
        <v>388</v>
      </c>
      <c r="E636" s="197" t="s">
        <v>19</v>
      </c>
      <c r="F636" s="198" t="s">
        <v>573</v>
      </c>
      <c r="G636" s="195"/>
      <c r="H636" s="197" t="s">
        <v>19</v>
      </c>
      <c r="I636" s="199"/>
      <c r="J636" s="195"/>
      <c r="K636" s="195"/>
      <c r="L636" s="200"/>
      <c r="M636" s="201"/>
      <c r="N636" s="202"/>
      <c r="O636" s="202"/>
      <c r="P636" s="202"/>
      <c r="Q636" s="202"/>
      <c r="R636" s="202"/>
      <c r="S636" s="202"/>
      <c r="T636" s="203"/>
      <c r="AT636" s="204" t="s">
        <v>388</v>
      </c>
      <c r="AU636" s="204" t="s">
        <v>82</v>
      </c>
      <c r="AV636" s="13" t="s">
        <v>79</v>
      </c>
      <c r="AW636" s="13" t="s">
        <v>33</v>
      </c>
      <c r="AX636" s="13" t="s">
        <v>72</v>
      </c>
      <c r="AY636" s="204" t="s">
        <v>380</v>
      </c>
    </row>
    <row r="637" spans="1:65" s="14" customFormat="1" ht="11.25">
      <c r="B637" s="205"/>
      <c r="C637" s="206"/>
      <c r="D637" s="196" t="s">
        <v>388</v>
      </c>
      <c r="E637" s="207" t="s">
        <v>19</v>
      </c>
      <c r="F637" s="208" t="s">
        <v>945</v>
      </c>
      <c r="G637" s="206"/>
      <c r="H637" s="209">
        <v>16.774999999999999</v>
      </c>
      <c r="I637" s="210"/>
      <c r="J637" s="206"/>
      <c r="K637" s="206"/>
      <c r="L637" s="211"/>
      <c r="M637" s="212"/>
      <c r="N637" s="213"/>
      <c r="O637" s="213"/>
      <c r="P637" s="213"/>
      <c r="Q637" s="213"/>
      <c r="R637" s="213"/>
      <c r="S637" s="213"/>
      <c r="T637" s="214"/>
      <c r="AT637" s="215" t="s">
        <v>388</v>
      </c>
      <c r="AU637" s="215" t="s">
        <v>82</v>
      </c>
      <c r="AV637" s="14" t="s">
        <v>82</v>
      </c>
      <c r="AW637" s="14" t="s">
        <v>33</v>
      </c>
      <c r="AX637" s="14" t="s">
        <v>72</v>
      </c>
      <c r="AY637" s="215" t="s">
        <v>380</v>
      </c>
    </row>
    <row r="638" spans="1:65" s="15" customFormat="1" ht="11.25">
      <c r="B638" s="216"/>
      <c r="C638" s="217"/>
      <c r="D638" s="196" t="s">
        <v>388</v>
      </c>
      <c r="E638" s="218" t="s">
        <v>19</v>
      </c>
      <c r="F638" s="219" t="s">
        <v>419</v>
      </c>
      <c r="G638" s="217"/>
      <c r="H638" s="220">
        <v>33.549999999999997</v>
      </c>
      <c r="I638" s="221"/>
      <c r="J638" s="217"/>
      <c r="K638" s="217"/>
      <c r="L638" s="222"/>
      <c r="M638" s="223"/>
      <c r="N638" s="224"/>
      <c r="O638" s="224"/>
      <c r="P638" s="224"/>
      <c r="Q638" s="224"/>
      <c r="R638" s="224"/>
      <c r="S638" s="224"/>
      <c r="T638" s="225"/>
      <c r="AT638" s="226" t="s">
        <v>388</v>
      </c>
      <c r="AU638" s="226" t="s">
        <v>82</v>
      </c>
      <c r="AV638" s="15" t="s">
        <v>386</v>
      </c>
      <c r="AW638" s="15" t="s">
        <v>33</v>
      </c>
      <c r="AX638" s="15" t="s">
        <v>79</v>
      </c>
      <c r="AY638" s="226" t="s">
        <v>380</v>
      </c>
    </row>
    <row r="639" spans="1:65" s="2" customFormat="1" ht="16.5" customHeight="1">
      <c r="A639" s="36"/>
      <c r="B639" s="37"/>
      <c r="C639" s="181" t="s">
        <v>946</v>
      </c>
      <c r="D639" s="181" t="s">
        <v>382</v>
      </c>
      <c r="E639" s="182" t="s">
        <v>947</v>
      </c>
      <c r="F639" s="183" t="s">
        <v>948</v>
      </c>
      <c r="G639" s="184" t="s">
        <v>398</v>
      </c>
      <c r="H639" s="185">
        <v>33.549999999999997</v>
      </c>
      <c r="I639" s="186"/>
      <c r="J639" s="187">
        <f>ROUND(I639*H639,2)</f>
        <v>0</v>
      </c>
      <c r="K639" s="183" t="s">
        <v>399</v>
      </c>
      <c r="L639" s="41"/>
      <c r="M639" s="188" t="s">
        <v>19</v>
      </c>
      <c r="N639" s="189" t="s">
        <v>43</v>
      </c>
      <c r="O639" s="66"/>
      <c r="P639" s="190">
        <f>O639*H639</f>
        <v>0</v>
      </c>
      <c r="Q639" s="190">
        <v>0</v>
      </c>
      <c r="R639" s="190">
        <f>Q639*H639</f>
        <v>0</v>
      </c>
      <c r="S639" s="190">
        <v>0</v>
      </c>
      <c r="T639" s="191">
        <f>S639*H639</f>
        <v>0</v>
      </c>
      <c r="U639" s="36"/>
      <c r="V639" s="36"/>
      <c r="W639" s="36"/>
      <c r="X639" s="36"/>
      <c r="Y639" s="36"/>
      <c r="Z639" s="36"/>
      <c r="AA639" s="36"/>
      <c r="AB639" s="36"/>
      <c r="AC639" s="36"/>
      <c r="AD639" s="36"/>
      <c r="AE639" s="36"/>
      <c r="AR639" s="192" t="s">
        <v>386</v>
      </c>
      <c r="AT639" s="192" t="s">
        <v>382</v>
      </c>
      <c r="AU639" s="192" t="s">
        <v>82</v>
      </c>
      <c r="AY639" s="19" t="s">
        <v>380</v>
      </c>
      <c r="BE639" s="193">
        <f>IF(N639="základní",J639,0)</f>
        <v>0</v>
      </c>
      <c r="BF639" s="193">
        <f>IF(N639="snížená",J639,0)</f>
        <v>0</v>
      </c>
      <c r="BG639" s="193">
        <f>IF(N639="zákl. přenesená",J639,0)</f>
        <v>0</v>
      </c>
      <c r="BH639" s="193">
        <f>IF(N639="sníž. přenesená",J639,0)</f>
        <v>0</v>
      </c>
      <c r="BI639" s="193">
        <f>IF(N639="nulová",J639,0)</f>
        <v>0</v>
      </c>
      <c r="BJ639" s="19" t="s">
        <v>79</v>
      </c>
      <c r="BK639" s="193">
        <f>ROUND(I639*H639,2)</f>
        <v>0</v>
      </c>
      <c r="BL639" s="19" t="s">
        <v>386</v>
      </c>
      <c r="BM639" s="192" t="s">
        <v>949</v>
      </c>
    </row>
    <row r="640" spans="1:65" s="2" customFormat="1" ht="16.5" customHeight="1">
      <c r="A640" s="36"/>
      <c r="B640" s="37"/>
      <c r="C640" s="181" t="s">
        <v>950</v>
      </c>
      <c r="D640" s="181" t="s">
        <v>382</v>
      </c>
      <c r="E640" s="182" t="s">
        <v>951</v>
      </c>
      <c r="F640" s="183" t="s">
        <v>952</v>
      </c>
      <c r="G640" s="184" t="s">
        <v>437</v>
      </c>
      <c r="H640" s="185">
        <v>1.0489999999999999</v>
      </c>
      <c r="I640" s="186"/>
      <c r="J640" s="187">
        <f>ROUND(I640*H640,2)</f>
        <v>0</v>
      </c>
      <c r="K640" s="183" t="s">
        <v>399</v>
      </c>
      <c r="L640" s="41"/>
      <c r="M640" s="188" t="s">
        <v>19</v>
      </c>
      <c r="N640" s="189" t="s">
        <v>43</v>
      </c>
      <c r="O640" s="66"/>
      <c r="P640" s="190">
        <f>O640*H640</f>
        <v>0</v>
      </c>
      <c r="Q640" s="190">
        <v>1.0525581399999999</v>
      </c>
      <c r="R640" s="190">
        <f>Q640*H640</f>
        <v>1.1041334888599998</v>
      </c>
      <c r="S640" s="190">
        <v>0</v>
      </c>
      <c r="T640" s="191">
        <f>S640*H640</f>
        <v>0</v>
      </c>
      <c r="U640" s="36"/>
      <c r="V640" s="36"/>
      <c r="W640" s="36"/>
      <c r="X640" s="36"/>
      <c r="Y640" s="36"/>
      <c r="Z640" s="36"/>
      <c r="AA640" s="36"/>
      <c r="AB640" s="36"/>
      <c r="AC640" s="36"/>
      <c r="AD640" s="36"/>
      <c r="AE640" s="36"/>
      <c r="AR640" s="192" t="s">
        <v>386</v>
      </c>
      <c r="AT640" s="192" t="s">
        <v>382</v>
      </c>
      <c r="AU640" s="192" t="s">
        <v>82</v>
      </c>
      <c r="AY640" s="19" t="s">
        <v>380</v>
      </c>
      <c r="BE640" s="193">
        <f>IF(N640="základní",J640,0)</f>
        <v>0</v>
      </c>
      <c r="BF640" s="193">
        <f>IF(N640="snížená",J640,0)</f>
        <v>0</v>
      </c>
      <c r="BG640" s="193">
        <f>IF(N640="zákl. přenesená",J640,0)</f>
        <v>0</v>
      </c>
      <c r="BH640" s="193">
        <f>IF(N640="sníž. přenesená",J640,0)</f>
        <v>0</v>
      </c>
      <c r="BI640" s="193">
        <f>IF(N640="nulová",J640,0)</f>
        <v>0</v>
      </c>
      <c r="BJ640" s="19" t="s">
        <v>79</v>
      </c>
      <c r="BK640" s="193">
        <f>ROUND(I640*H640,2)</f>
        <v>0</v>
      </c>
      <c r="BL640" s="19" t="s">
        <v>386</v>
      </c>
      <c r="BM640" s="192" t="s">
        <v>953</v>
      </c>
    </row>
    <row r="641" spans="1:65" s="13" customFormat="1" ht="11.25">
      <c r="B641" s="194"/>
      <c r="C641" s="195"/>
      <c r="D641" s="196" t="s">
        <v>388</v>
      </c>
      <c r="E641" s="197" t="s">
        <v>19</v>
      </c>
      <c r="F641" s="198" t="s">
        <v>493</v>
      </c>
      <c r="G641" s="195"/>
      <c r="H641" s="197" t="s">
        <v>19</v>
      </c>
      <c r="I641" s="199"/>
      <c r="J641" s="195"/>
      <c r="K641" s="195"/>
      <c r="L641" s="200"/>
      <c r="M641" s="201"/>
      <c r="N641" s="202"/>
      <c r="O641" s="202"/>
      <c r="P641" s="202"/>
      <c r="Q641" s="202"/>
      <c r="R641" s="202"/>
      <c r="S641" s="202"/>
      <c r="T641" s="203"/>
      <c r="AT641" s="204" t="s">
        <v>388</v>
      </c>
      <c r="AU641" s="204" t="s">
        <v>82</v>
      </c>
      <c r="AV641" s="13" t="s">
        <v>79</v>
      </c>
      <c r="AW641" s="13" t="s">
        <v>33</v>
      </c>
      <c r="AX641" s="13" t="s">
        <v>72</v>
      </c>
      <c r="AY641" s="204" t="s">
        <v>380</v>
      </c>
    </row>
    <row r="642" spans="1:65" s="14" customFormat="1" ht="11.25">
      <c r="B642" s="205"/>
      <c r="C642" s="206"/>
      <c r="D642" s="196" t="s">
        <v>388</v>
      </c>
      <c r="E642" s="207" t="s">
        <v>19</v>
      </c>
      <c r="F642" s="208" t="s">
        <v>954</v>
      </c>
      <c r="G642" s="206"/>
      <c r="H642" s="209">
        <v>1.0489999999999999</v>
      </c>
      <c r="I642" s="210"/>
      <c r="J642" s="206"/>
      <c r="K642" s="206"/>
      <c r="L642" s="211"/>
      <c r="M642" s="212"/>
      <c r="N642" s="213"/>
      <c r="O642" s="213"/>
      <c r="P642" s="213"/>
      <c r="Q642" s="213"/>
      <c r="R642" s="213"/>
      <c r="S642" s="213"/>
      <c r="T642" s="214"/>
      <c r="AT642" s="215" t="s">
        <v>388</v>
      </c>
      <c r="AU642" s="215" t="s">
        <v>82</v>
      </c>
      <c r="AV642" s="14" t="s">
        <v>82</v>
      </c>
      <c r="AW642" s="14" t="s">
        <v>33</v>
      </c>
      <c r="AX642" s="14" t="s">
        <v>79</v>
      </c>
      <c r="AY642" s="215" t="s">
        <v>380</v>
      </c>
    </row>
    <row r="643" spans="1:65" s="2" customFormat="1" ht="24.2" customHeight="1">
      <c r="A643" s="36"/>
      <c r="B643" s="37"/>
      <c r="C643" s="181" t="s">
        <v>955</v>
      </c>
      <c r="D643" s="181" t="s">
        <v>382</v>
      </c>
      <c r="E643" s="182" t="s">
        <v>956</v>
      </c>
      <c r="F643" s="183" t="s">
        <v>957</v>
      </c>
      <c r="G643" s="184" t="s">
        <v>641</v>
      </c>
      <c r="H643" s="185">
        <v>7</v>
      </c>
      <c r="I643" s="186"/>
      <c r="J643" s="187">
        <f t="shared" ref="J643:J652" si="0">ROUND(I643*H643,2)</f>
        <v>0</v>
      </c>
      <c r="K643" s="183" t="s">
        <v>19</v>
      </c>
      <c r="L643" s="41"/>
      <c r="M643" s="188" t="s">
        <v>19</v>
      </c>
      <c r="N643" s="189" t="s">
        <v>43</v>
      </c>
      <c r="O643" s="66"/>
      <c r="P643" s="190">
        <f t="shared" ref="P643:P652" si="1">O643*H643</f>
        <v>0</v>
      </c>
      <c r="Q643" s="190">
        <v>8.7249999999999996</v>
      </c>
      <c r="R643" s="190">
        <f t="shared" ref="R643:R652" si="2">Q643*H643</f>
        <v>61.074999999999996</v>
      </c>
      <c r="S643" s="190">
        <v>0</v>
      </c>
      <c r="T643" s="191">
        <f t="shared" ref="T643:T652" si="3">S643*H643</f>
        <v>0</v>
      </c>
      <c r="U643" s="36"/>
      <c r="V643" s="36"/>
      <c r="W643" s="36"/>
      <c r="X643" s="36"/>
      <c r="Y643" s="36"/>
      <c r="Z643" s="36"/>
      <c r="AA643" s="36"/>
      <c r="AB643" s="36"/>
      <c r="AC643" s="36"/>
      <c r="AD643" s="36"/>
      <c r="AE643" s="36"/>
      <c r="AR643" s="192" t="s">
        <v>386</v>
      </c>
      <c r="AT643" s="192" t="s">
        <v>382</v>
      </c>
      <c r="AU643" s="192" t="s">
        <v>82</v>
      </c>
      <c r="AY643" s="19" t="s">
        <v>380</v>
      </c>
      <c r="BE643" s="193">
        <f t="shared" ref="BE643:BE652" si="4">IF(N643="základní",J643,0)</f>
        <v>0</v>
      </c>
      <c r="BF643" s="193">
        <f t="shared" ref="BF643:BF652" si="5">IF(N643="snížená",J643,0)</f>
        <v>0</v>
      </c>
      <c r="BG643" s="193">
        <f t="shared" ref="BG643:BG652" si="6">IF(N643="zákl. přenesená",J643,0)</f>
        <v>0</v>
      </c>
      <c r="BH643" s="193">
        <f t="shared" ref="BH643:BH652" si="7">IF(N643="sníž. přenesená",J643,0)</f>
        <v>0</v>
      </c>
      <c r="BI643" s="193">
        <f t="shared" ref="BI643:BI652" si="8">IF(N643="nulová",J643,0)</f>
        <v>0</v>
      </c>
      <c r="BJ643" s="19" t="s">
        <v>79</v>
      </c>
      <c r="BK643" s="193">
        <f t="shared" ref="BK643:BK652" si="9">ROUND(I643*H643,2)</f>
        <v>0</v>
      </c>
      <c r="BL643" s="19" t="s">
        <v>386</v>
      </c>
      <c r="BM643" s="192" t="s">
        <v>958</v>
      </c>
    </row>
    <row r="644" spans="1:65" s="2" customFormat="1" ht="24.2" customHeight="1">
      <c r="A644" s="36"/>
      <c r="B644" s="37"/>
      <c r="C644" s="181" t="s">
        <v>959</v>
      </c>
      <c r="D644" s="181" t="s">
        <v>382</v>
      </c>
      <c r="E644" s="182" t="s">
        <v>960</v>
      </c>
      <c r="F644" s="183" t="s">
        <v>961</v>
      </c>
      <c r="G644" s="184" t="s">
        <v>641</v>
      </c>
      <c r="H644" s="185">
        <v>2</v>
      </c>
      <c r="I644" s="186"/>
      <c r="J644" s="187">
        <f t="shared" si="0"/>
        <v>0</v>
      </c>
      <c r="K644" s="183" t="s">
        <v>19</v>
      </c>
      <c r="L644" s="41"/>
      <c r="M644" s="188" t="s">
        <v>19</v>
      </c>
      <c r="N644" s="189" t="s">
        <v>43</v>
      </c>
      <c r="O644" s="66"/>
      <c r="P644" s="190">
        <f t="shared" si="1"/>
        <v>0</v>
      </c>
      <c r="Q644" s="190">
        <v>13.98</v>
      </c>
      <c r="R644" s="190">
        <f t="shared" si="2"/>
        <v>27.96</v>
      </c>
      <c r="S644" s="190">
        <v>0</v>
      </c>
      <c r="T644" s="191">
        <f t="shared" si="3"/>
        <v>0</v>
      </c>
      <c r="U644" s="36"/>
      <c r="V644" s="36"/>
      <c r="W644" s="36"/>
      <c r="X644" s="36"/>
      <c r="Y644" s="36"/>
      <c r="Z644" s="36"/>
      <c r="AA644" s="36"/>
      <c r="AB644" s="36"/>
      <c r="AC644" s="36"/>
      <c r="AD644" s="36"/>
      <c r="AE644" s="36"/>
      <c r="AR644" s="192" t="s">
        <v>386</v>
      </c>
      <c r="AT644" s="192" t="s">
        <v>382</v>
      </c>
      <c r="AU644" s="192" t="s">
        <v>82</v>
      </c>
      <c r="AY644" s="19" t="s">
        <v>380</v>
      </c>
      <c r="BE644" s="193">
        <f t="shared" si="4"/>
        <v>0</v>
      </c>
      <c r="BF644" s="193">
        <f t="shared" si="5"/>
        <v>0</v>
      </c>
      <c r="BG644" s="193">
        <f t="shared" si="6"/>
        <v>0</v>
      </c>
      <c r="BH644" s="193">
        <f t="shared" si="7"/>
        <v>0</v>
      </c>
      <c r="BI644" s="193">
        <f t="shared" si="8"/>
        <v>0</v>
      </c>
      <c r="BJ644" s="19" t="s">
        <v>79</v>
      </c>
      <c r="BK644" s="193">
        <f t="shared" si="9"/>
        <v>0</v>
      </c>
      <c r="BL644" s="19" t="s">
        <v>386</v>
      </c>
      <c r="BM644" s="192" t="s">
        <v>962</v>
      </c>
    </row>
    <row r="645" spans="1:65" s="2" customFormat="1" ht="24.2" customHeight="1">
      <c r="A645" s="36"/>
      <c r="B645" s="37"/>
      <c r="C645" s="181" t="s">
        <v>963</v>
      </c>
      <c r="D645" s="181" t="s">
        <v>382</v>
      </c>
      <c r="E645" s="182" t="s">
        <v>964</v>
      </c>
      <c r="F645" s="183" t="s">
        <v>965</v>
      </c>
      <c r="G645" s="184" t="s">
        <v>641</v>
      </c>
      <c r="H645" s="185">
        <v>4</v>
      </c>
      <c r="I645" s="186"/>
      <c r="J645" s="187">
        <f t="shared" si="0"/>
        <v>0</v>
      </c>
      <c r="K645" s="183" t="s">
        <v>19</v>
      </c>
      <c r="L645" s="41"/>
      <c r="M645" s="188" t="s">
        <v>19</v>
      </c>
      <c r="N645" s="189" t="s">
        <v>43</v>
      </c>
      <c r="O645" s="66"/>
      <c r="P645" s="190">
        <f t="shared" si="1"/>
        <v>0</v>
      </c>
      <c r="Q645" s="190">
        <v>5.59</v>
      </c>
      <c r="R645" s="190">
        <f t="shared" si="2"/>
        <v>22.36</v>
      </c>
      <c r="S645" s="190">
        <v>0</v>
      </c>
      <c r="T645" s="191">
        <f t="shared" si="3"/>
        <v>0</v>
      </c>
      <c r="U645" s="36"/>
      <c r="V645" s="36"/>
      <c r="W645" s="36"/>
      <c r="X645" s="36"/>
      <c r="Y645" s="36"/>
      <c r="Z645" s="36"/>
      <c r="AA645" s="36"/>
      <c r="AB645" s="36"/>
      <c r="AC645" s="36"/>
      <c r="AD645" s="36"/>
      <c r="AE645" s="36"/>
      <c r="AR645" s="192" t="s">
        <v>386</v>
      </c>
      <c r="AT645" s="192" t="s">
        <v>382</v>
      </c>
      <c r="AU645" s="192" t="s">
        <v>82</v>
      </c>
      <c r="AY645" s="19" t="s">
        <v>380</v>
      </c>
      <c r="BE645" s="193">
        <f t="shared" si="4"/>
        <v>0</v>
      </c>
      <c r="BF645" s="193">
        <f t="shared" si="5"/>
        <v>0</v>
      </c>
      <c r="BG645" s="193">
        <f t="shared" si="6"/>
        <v>0</v>
      </c>
      <c r="BH645" s="193">
        <f t="shared" si="7"/>
        <v>0</v>
      </c>
      <c r="BI645" s="193">
        <f t="shared" si="8"/>
        <v>0</v>
      </c>
      <c r="BJ645" s="19" t="s">
        <v>79</v>
      </c>
      <c r="BK645" s="193">
        <f t="shared" si="9"/>
        <v>0</v>
      </c>
      <c r="BL645" s="19" t="s">
        <v>386</v>
      </c>
      <c r="BM645" s="192" t="s">
        <v>966</v>
      </c>
    </row>
    <row r="646" spans="1:65" s="2" customFormat="1" ht="24.2" customHeight="1">
      <c r="A646" s="36"/>
      <c r="B646" s="37"/>
      <c r="C646" s="181" t="s">
        <v>967</v>
      </c>
      <c r="D646" s="181" t="s">
        <v>382</v>
      </c>
      <c r="E646" s="182" t="s">
        <v>968</v>
      </c>
      <c r="F646" s="183" t="s">
        <v>969</v>
      </c>
      <c r="G646" s="184" t="s">
        <v>641</v>
      </c>
      <c r="H646" s="185">
        <v>8</v>
      </c>
      <c r="I646" s="186"/>
      <c r="J646" s="187">
        <f t="shared" si="0"/>
        <v>0</v>
      </c>
      <c r="K646" s="183" t="s">
        <v>19</v>
      </c>
      <c r="L646" s="41"/>
      <c r="M646" s="188" t="s">
        <v>19</v>
      </c>
      <c r="N646" s="189" t="s">
        <v>43</v>
      </c>
      <c r="O646" s="66"/>
      <c r="P646" s="190">
        <f t="shared" si="1"/>
        <v>0</v>
      </c>
      <c r="Q646" s="190">
        <v>5.39</v>
      </c>
      <c r="R646" s="190">
        <f t="shared" si="2"/>
        <v>43.12</v>
      </c>
      <c r="S646" s="190">
        <v>0</v>
      </c>
      <c r="T646" s="191">
        <f t="shared" si="3"/>
        <v>0</v>
      </c>
      <c r="U646" s="36"/>
      <c r="V646" s="36"/>
      <c r="W646" s="36"/>
      <c r="X646" s="36"/>
      <c r="Y646" s="36"/>
      <c r="Z646" s="36"/>
      <c r="AA646" s="36"/>
      <c r="AB646" s="36"/>
      <c r="AC646" s="36"/>
      <c r="AD646" s="36"/>
      <c r="AE646" s="36"/>
      <c r="AR646" s="192" t="s">
        <v>386</v>
      </c>
      <c r="AT646" s="192" t="s">
        <v>382</v>
      </c>
      <c r="AU646" s="192" t="s">
        <v>82</v>
      </c>
      <c r="AY646" s="19" t="s">
        <v>380</v>
      </c>
      <c r="BE646" s="193">
        <f t="shared" si="4"/>
        <v>0</v>
      </c>
      <c r="BF646" s="193">
        <f t="shared" si="5"/>
        <v>0</v>
      </c>
      <c r="BG646" s="193">
        <f t="shared" si="6"/>
        <v>0</v>
      </c>
      <c r="BH646" s="193">
        <f t="shared" si="7"/>
        <v>0</v>
      </c>
      <c r="BI646" s="193">
        <f t="shared" si="8"/>
        <v>0</v>
      </c>
      <c r="BJ646" s="19" t="s">
        <v>79</v>
      </c>
      <c r="BK646" s="193">
        <f t="shared" si="9"/>
        <v>0</v>
      </c>
      <c r="BL646" s="19" t="s">
        <v>386</v>
      </c>
      <c r="BM646" s="192" t="s">
        <v>970</v>
      </c>
    </row>
    <row r="647" spans="1:65" s="2" customFormat="1" ht="24.2" customHeight="1">
      <c r="A647" s="36"/>
      <c r="B647" s="37"/>
      <c r="C647" s="181" t="s">
        <v>971</v>
      </c>
      <c r="D647" s="181" t="s">
        <v>382</v>
      </c>
      <c r="E647" s="182" t="s">
        <v>972</v>
      </c>
      <c r="F647" s="183" t="s">
        <v>973</v>
      </c>
      <c r="G647" s="184" t="s">
        <v>641</v>
      </c>
      <c r="H647" s="185">
        <v>4</v>
      </c>
      <c r="I647" s="186"/>
      <c r="J647" s="187">
        <f t="shared" si="0"/>
        <v>0</v>
      </c>
      <c r="K647" s="183" t="s">
        <v>19</v>
      </c>
      <c r="L647" s="41"/>
      <c r="M647" s="188" t="s">
        <v>19</v>
      </c>
      <c r="N647" s="189" t="s">
        <v>43</v>
      </c>
      <c r="O647" s="66"/>
      <c r="P647" s="190">
        <f t="shared" si="1"/>
        <v>0</v>
      </c>
      <c r="Q647" s="190">
        <v>5.73</v>
      </c>
      <c r="R647" s="190">
        <f t="shared" si="2"/>
        <v>22.92</v>
      </c>
      <c r="S647" s="190">
        <v>0</v>
      </c>
      <c r="T647" s="191">
        <f t="shared" si="3"/>
        <v>0</v>
      </c>
      <c r="U647" s="36"/>
      <c r="V647" s="36"/>
      <c r="W647" s="36"/>
      <c r="X647" s="36"/>
      <c r="Y647" s="36"/>
      <c r="Z647" s="36"/>
      <c r="AA647" s="36"/>
      <c r="AB647" s="36"/>
      <c r="AC647" s="36"/>
      <c r="AD647" s="36"/>
      <c r="AE647" s="36"/>
      <c r="AR647" s="192" t="s">
        <v>386</v>
      </c>
      <c r="AT647" s="192" t="s">
        <v>382</v>
      </c>
      <c r="AU647" s="192" t="s">
        <v>82</v>
      </c>
      <c r="AY647" s="19" t="s">
        <v>380</v>
      </c>
      <c r="BE647" s="193">
        <f t="shared" si="4"/>
        <v>0</v>
      </c>
      <c r="BF647" s="193">
        <f t="shared" si="5"/>
        <v>0</v>
      </c>
      <c r="BG647" s="193">
        <f t="shared" si="6"/>
        <v>0</v>
      </c>
      <c r="BH647" s="193">
        <f t="shared" si="7"/>
        <v>0</v>
      </c>
      <c r="BI647" s="193">
        <f t="shared" si="8"/>
        <v>0</v>
      </c>
      <c r="BJ647" s="19" t="s">
        <v>79</v>
      </c>
      <c r="BK647" s="193">
        <f t="shared" si="9"/>
        <v>0</v>
      </c>
      <c r="BL647" s="19" t="s">
        <v>386</v>
      </c>
      <c r="BM647" s="192" t="s">
        <v>974</v>
      </c>
    </row>
    <row r="648" spans="1:65" s="2" customFormat="1" ht="24.2" customHeight="1">
      <c r="A648" s="36"/>
      <c r="B648" s="37"/>
      <c r="C648" s="181" t="s">
        <v>975</v>
      </c>
      <c r="D648" s="181" t="s">
        <v>382</v>
      </c>
      <c r="E648" s="182" t="s">
        <v>976</v>
      </c>
      <c r="F648" s="183" t="s">
        <v>977</v>
      </c>
      <c r="G648" s="184" t="s">
        <v>641</v>
      </c>
      <c r="H648" s="185">
        <v>2</v>
      </c>
      <c r="I648" s="186"/>
      <c r="J648" s="187">
        <f t="shared" si="0"/>
        <v>0</v>
      </c>
      <c r="K648" s="183" t="s">
        <v>19</v>
      </c>
      <c r="L648" s="41"/>
      <c r="M648" s="188" t="s">
        <v>19</v>
      </c>
      <c r="N648" s="189" t="s">
        <v>43</v>
      </c>
      <c r="O648" s="66"/>
      <c r="P648" s="190">
        <f t="shared" si="1"/>
        <v>0</v>
      </c>
      <c r="Q648" s="190">
        <v>5</v>
      </c>
      <c r="R648" s="190">
        <f t="shared" si="2"/>
        <v>10</v>
      </c>
      <c r="S648" s="190">
        <v>0</v>
      </c>
      <c r="T648" s="191">
        <f t="shared" si="3"/>
        <v>0</v>
      </c>
      <c r="U648" s="36"/>
      <c r="V648" s="36"/>
      <c r="W648" s="36"/>
      <c r="X648" s="36"/>
      <c r="Y648" s="36"/>
      <c r="Z648" s="36"/>
      <c r="AA648" s="36"/>
      <c r="AB648" s="36"/>
      <c r="AC648" s="36"/>
      <c r="AD648" s="36"/>
      <c r="AE648" s="36"/>
      <c r="AR648" s="192" t="s">
        <v>386</v>
      </c>
      <c r="AT648" s="192" t="s">
        <v>382</v>
      </c>
      <c r="AU648" s="192" t="s">
        <v>82</v>
      </c>
      <c r="AY648" s="19" t="s">
        <v>380</v>
      </c>
      <c r="BE648" s="193">
        <f t="shared" si="4"/>
        <v>0</v>
      </c>
      <c r="BF648" s="193">
        <f t="shared" si="5"/>
        <v>0</v>
      </c>
      <c r="BG648" s="193">
        <f t="shared" si="6"/>
        <v>0</v>
      </c>
      <c r="BH648" s="193">
        <f t="shared" si="7"/>
        <v>0</v>
      </c>
      <c r="BI648" s="193">
        <f t="shared" si="8"/>
        <v>0</v>
      </c>
      <c r="BJ648" s="19" t="s">
        <v>79</v>
      </c>
      <c r="BK648" s="193">
        <f t="shared" si="9"/>
        <v>0</v>
      </c>
      <c r="BL648" s="19" t="s">
        <v>386</v>
      </c>
      <c r="BM648" s="192" t="s">
        <v>978</v>
      </c>
    </row>
    <row r="649" spans="1:65" s="2" customFormat="1" ht="24.2" customHeight="1">
      <c r="A649" s="36"/>
      <c r="B649" s="37"/>
      <c r="C649" s="181" t="s">
        <v>979</v>
      </c>
      <c r="D649" s="181" t="s">
        <v>382</v>
      </c>
      <c r="E649" s="182" t="s">
        <v>980</v>
      </c>
      <c r="F649" s="183" t="s">
        <v>981</v>
      </c>
      <c r="G649" s="184" t="s">
        <v>641</v>
      </c>
      <c r="H649" s="185">
        <v>6</v>
      </c>
      <c r="I649" s="186"/>
      <c r="J649" s="187">
        <f t="shared" si="0"/>
        <v>0</v>
      </c>
      <c r="K649" s="183" t="s">
        <v>19</v>
      </c>
      <c r="L649" s="41"/>
      <c r="M649" s="188" t="s">
        <v>19</v>
      </c>
      <c r="N649" s="189" t="s">
        <v>43</v>
      </c>
      <c r="O649" s="66"/>
      <c r="P649" s="190">
        <f t="shared" si="1"/>
        <v>0</v>
      </c>
      <c r="Q649" s="190">
        <v>5.58</v>
      </c>
      <c r="R649" s="190">
        <f t="shared" si="2"/>
        <v>33.480000000000004</v>
      </c>
      <c r="S649" s="190">
        <v>0</v>
      </c>
      <c r="T649" s="191">
        <f t="shared" si="3"/>
        <v>0</v>
      </c>
      <c r="U649" s="36"/>
      <c r="V649" s="36"/>
      <c r="W649" s="36"/>
      <c r="X649" s="36"/>
      <c r="Y649" s="36"/>
      <c r="Z649" s="36"/>
      <c r="AA649" s="36"/>
      <c r="AB649" s="36"/>
      <c r="AC649" s="36"/>
      <c r="AD649" s="36"/>
      <c r="AE649" s="36"/>
      <c r="AR649" s="192" t="s">
        <v>386</v>
      </c>
      <c r="AT649" s="192" t="s">
        <v>382</v>
      </c>
      <c r="AU649" s="192" t="s">
        <v>82</v>
      </c>
      <c r="AY649" s="19" t="s">
        <v>380</v>
      </c>
      <c r="BE649" s="193">
        <f t="shared" si="4"/>
        <v>0</v>
      </c>
      <c r="BF649" s="193">
        <f t="shared" si="5"/>
        <v>0</v>
      </c>
      <c r="BG649" s="193">
        <f t="shared" si="6"/>
        <v>0</v>
      </c>
      <c r="BH649" s="193">
        <f t="shared" si="7"/>
        <v>0</v>
      </c>
      <c r="BI649" s="193">
        <f t="shared" si="8"/>
        <v>0</v>
      </c>
      <c r="BJ649" s="19" t="s">
        <v>79</v>
      </c>
      <c r="BK649" s="193">
        <f t="shared" si="9"/>
        <v>0</v>
      </c>
      <c r="BL649" s="19" t="s">
        <v>386</v>
      </c>
      <c r="BM649" s="192" t="s">
        <v>982</v>
      </c>
    </row>
    <row r="650" spans="1:65" s="2" customFormat="1" ht="24.2" customHeight="1">
      <c r="A650" s="36"/>
      <c r="B650" s="37"/>
      <c r="C650" s="181" t="s">
        <v>983</v>
      </c>
      <c r="D650" s="181" t="s">
        <v>382</v>
      </c>
      <c r="E650" s="182" t="s">
        <v>984</v>
      </c>
      <c r="F650" s="183" t="s">
        <v>985</v>
      </c>
      <c r="G650" s="184" t="s">
        <v>641</v>
      </c>
      <c r="H650" s="185">
        <v>4</v>
      </c>
      <c r="I650" s="186"/>
      <c r="J650" s="187">
        <f t="shared" si="0"/>
        <v>0</v>
      </c>
      <c r="K650" s="183" t="s">
        <v>19</v>
      </c>
      <c r="L650" s="41"/>
      <c r="M650" s="188" t="s">
        <v>19</v>
      </c>
      <c r="N650" s="189" t="s">
        <v>43</v>
      </c>
      <c r="O650" s="66"/>
      <c r="P650" s="190">
        <f t="shared" si="1"/>
        <v>0</v>
      </c>
      <c r="Q650" s="190">
        <v>5.63</v>
      </c>
      <c r="R650" s="190">
        <f t="shared" si="2"/>
        <v>22.52</v>
      </c>
      <c r="S650" s="190">
        <v>0</v>
      </c>
      <c r="T650" s="191">
        <f t="shared" si="3"/>
        <v>0</v>
      </c>
      <c r="U650" s="36"/>
      <c r="V650" s="36"/>
      <c r="W650" s="36"/>
      <c r="X650" s="36"/>
      <c r="Y650" s="36"/>
      <c r="Z650" s="36"/>
      <c r="AA650" s="36"/>
      <c r="AB650" s="36"/>
      <c r="AC650" s="36"/>
      <c r="AD650" s="36"/>
      <c r="AE650" s="36"/>
      <c r="AR650" s="192" t="s">
        <v>386</v>
      </c>
      <c r="AT650" s="192" t="s">
        <v>382</v>
      </c>
      <c r="AU650" s="192" t="s">
        <v>82</v>
      </c>
      <c r="AY650" s="19" t="s">
        <v>380</v>
      </c>
      <c r="BE650" s="193">
        <f t="shared" si="4"/>
        <v>0</v>
      </c>
      <c r="BF650" s="193">
        <f t="shared" si="5"/>
        <v>0</v>
      </c>
      <c r="BG650" s="193">
        <f t="shared" si="6"/>
        <v>0</v>
      </c>
      <c r="BH650" s="193">
        <f t="shared" si="7"/>
        <v>0</v>
      </c>
      <c r="BI650" s="193">
        <f t="shared" si="8"/>
        <v>0</v>
      </c>
      <c r="BJ650" s="19" t="s">
        <v>79</v>
      </c>
      <c r="BK650" s="193">
        <f t="shared" si="9"/>
        <v>0</v>
      </c>
      <c r="BL650" s="19" t="s">
        <v>386</v>
      </c>
      <c r="BM650" s="192" t="s">
        <v>986</v>
      </c>
    </row>
    <row r="651" spans="1:65" s="2" customFormat="1" ht="24.2" customHeight="1">
      <c r="A651" s="36"/>
      <c r="B651" s="37"/>
      <c r="C651" s="181" t="s">
        <v>987</v>
      </c>
      <c r="D651" s="181" t="s">
        <v>382</v>
      </c>
      <c r="E651" s="182" t="s">
        <v>988</v>
      </c>
      <c r="F651" s="183" t="s">
        <v>989</v>
      </c>
      <c r="G651" s="184" t="s">
        <v>641</v>
      </c>
      <c r="H651" s="185">
        <v>6</v>
      </c>
      <c r="I651" s="186"/>
      <c r="J651" s="187">
        <f t="shared" si="0"/>
        <v>0</v>
      </c>
      <c r="K651" s="183" t="s">
        <v>19</v>
      </c>
      <c r="L651" s="41"/>
      <c r="M651" s="188" t="s">
        <v>19</v>
      </c>
      <c r="N651" s="189" t="s">
        <v>43</v>
      </c>
      <c r="O651" s="66"/>
      <c r="P651" s="190">
        <f t="shared" si="1"/>
        <v>0</v>
      </c>
      <c r="Q651" s="190">
        <v>3.03</v>
      </c>
      <c r="R651" s="190">
        <f t="shared" si="2"/>
        <v>18.18</v>
      </c>
      <c r="S651" s="190">
        <v>0</v>
      </c>
      <c r="T651" s="191">
        <f t="shared" si="3"/>
        <v>0</v>
      </c>
      <c r="U651" s="36"/>
      <c r="V651" s="36"/>
      <c r="W651" s="36"/>
      <c r="X651" s="36"/>
      <c r="Y651" s="36"/>
      <c r="Z651" s="36"/>
      <c r="AA651" s="36"/>
      <c r="AB651" s="36"/>
      <c r="AC651" s="36"/>
      <c r="AD651" s="36"/>
      <c r="AE651" s="36"/>
      <c r="AR651" s="192" t="s">
        <v>386</v>
      </c>
      <c r="AT651" s="192" t="s">
        <v>382</v>
      </c>
      <c r="AU651" s="192" t="s">
        <v>82</v>
      </c>
      <c r="AY651" s="19" t="s">
        <v>380</v>
      </c>
      <c r="BE651" s="193">
        <f t="shared" si="4"/>
        <v>0</v>
      </c>
      <c r="BF651" s="193">
        <f t="shared" si="5"/>
        <v>0</v>
      </c>
      <c r="BG651" s="193">
        <f t="shared" si="6"/>
        <v>0</v>
      </c>
      <c r="BH651" s="193">
        <f t="shared" si="7"/>
        <v>0</v>
      </c>
      <c r="BI651" s="193">
        <f t="shared" si="8"/>
        <v>0</v>
      </c>
      <c r="BJ651" s="19" t="s">
        <v>79</v>
      </c>
      <c r="BK651" s="193">
        <f t="shared" si="9"/>
        <v>0</v>
      </c>
      <c r="BL651" s="19" t="s">
        <v>386</v>
      </c>
      <c r="BM651" s="192" t="s">
        <v>990</v>
      </c>
    </row>
    <row r="652" spans="1:65" s="2" customFormat="1" ht="24.2" customHeight="1">
      <c r="A652" s="36"/>
      <c r="B652" s="37"/>
      <c r="C652" s="181" t="s">
        <v>271</v>
      </c>
      <c r="D652" s="181" t="s">
        <v>382</v>
      </c>
      <c r="E652" s="182" t="s">
        <v>991</v>
      </c>
      <c r="F652" s="183" t="s">
        <v>992</v>
      </c>
      <c r="G652" s="184" t="s">
        <v>641</v>
      </c>
      <c r="H652" s="185">
        <v>16</v>
      </c>
      <c r="I652" s="186"/>
      <c r="J652" s="187">
        <f t="shared" si="0"/>
        <v>0</v>
      </c>
      <c r="K652" s="183" t="s">
        <v>19</v>
      </c>
      <c r="L652" s="41"/>
      <c r="M652" s="188" t="s">
        <v>19</v>
      </c>
      <c r="N652" s="189" t="s">
        <v>43</v>
      </c>
      <c r="O652" s="66"/>
      <c r="P652" s="190">
        <f t="shared" si="1"/>
        <v>0</v>
      </c>
      <c r="Q652" s="190">
        <v>2.65E-3</v>
      </c>
      <c r="R652" s="190">
        <f t="shared" si="2"/>
        <v>4.24E-2</v>
      </c>
      <c r="S652" s="190">
        <v>0</v>
      </c>
      <c r="T652" s="191">
        <f t="shared" si="3"/>
        <v>0</v>
      </c>
      <c r="U652" s="36"/>
      <c r="V652" s="36"/>
      <c r="W652" s="36"/>
      <c r="X652" s="36"/>
      <c r="Y652" s="36"/>
      <c r="Z652" s="36"/>
      <c r="AA652" s="36"/>
      <c r="AB652" s="36"/>
      <c r="AC652" s="36"/>
      <c r="AD652" s="36"/>
      <c r="AE652" s="36"/>
      <c r="AR652" s="192" t="s">
        <v>386</v>
      </c>
      <c r="AT652" s="192" t="s">
        <v>382</v>
      </c>
      <c r="AU652" s="192" t="s">
        <v>82</v>
      </c>
      <c r="AY652" s="19" t="s">
        <v>380</v>
      </c>
      <c r="BE652" s="193">
        <f t="shared" si="4"/>
        <v>0</v>
      </c>
      <c r="BF652" s="193">
        <f t="shared" si="5"/>
        <v>0</v>
      </c>
      <c r="BG652" s="193">
        <f t="shared" si="6"/>
        <v>0</v>
      </c>
      <c r="BH652" s="193">
        <f t="shared" si="7"/>
        <v>0</v>
      </c>
      <c r="BI652" s="193">
        <f t="shared" si="8"/>
        <v>0</v>
      </c>
      <c r="BJ652" s="19" t="s">
        <v>79</v>
      </c>
      <c r="BK652" s="193">
        <f t="shared" si="9"/>
        <v>0</v>
      </c>
      <c r="BL652" s="19" t="s">
        <v>386</v>
      </c>
      <c r="BM652" s="192" t="s">
        <v>993</v>
      </c>
    </row>
    <row r="653" spans="1:65" s="14" customFormat="1" ht="11.25">
      <c r="B653" s="205"/>
      <c r="C653" s="206"/>
      <c r="D653" s="196" t="s">
        <v>388</v>
      </c>
      <c r="E653" s="207" t="s">
        <v>19</v>
      </c>
      <c r="F653" s="208" t="s">
        <v>994</v>
      </c>
      <c r="G653" s="206"/>
      <c r="H653" s="209">
        <v>16</v>
      </c>
      <c r="I653" s="210"/>
      <c r="J653" s="206"/>
      <c r="K653" s="206"/>
      <c r="L653" s="211"/>
      <c r="M653" s="212"/>
      <c r="N653" s="213"/>
      <c r="O653" s="213"/>
      <c r="P653" s="213"/>
      <c r="Q653" s="213"/>
      <c r="R653" s="213"/>
      <c r="S653" s="213"/>
      <c r="T653" s="214"/>
      <c r="AT653" s="215" t="s">
        <v>388</v>
      </c>
      <c r="AU653" s="215" t="s">
        <v>82</v>
      </c>
      <c r="AV653" s="14" t="s">
        <v>82</v>
      </c>
      <c r="AW653" s="14" t="s">
        <v>33</v>
      </c>
      <c r="AX653" s="14" t="s">
        <v>79</v>
      </c>
      <c r="AY653" s="215" t="s">
        <v>380</v>
      </c>
    </row>
    <row r="654" spans="1:65" s="2" customFormat="1" ht="16.5" customHeight="1">
      <c r="A654" s="36"/>
      <c r="B654" s="37"/>
      <c r="C654" s="181" t="s">
        <v>995</v>
      </c>
      <c r="D654" s="181" t="s">
        <v>382</v>
      </c>
      <c r="E654" s="182" t="s">
        <v>996</v>
      </c>
      <c r="F654" s="183" t="s">
        <v>997</v>
      </c>
      <c r="G654" s="184" t="s">
        <v>641</v>
      </c>
      <c r="H654" s="185">
        <v>144</v>
      </c>
      <c r="I654" s="186"/>
      <c r="J654" s="187">
        <f>ROUND(I654*H654,2)</f>
        <v>0</v>
      </c>
      <c r="K654" s="183" t="s">
        <v>19</v>
      </c>
      <c r="L654" s="41"/>
      <c r="M654" s="188" t="s">
        <v>19</v>
      </c>
      <c r="N654" s="189" t="s">
        <v>43</v>
      </c>
      <c r="O654" s="66"/>
      <c r="P654" s="190">
        <f>O654*H654</f>
        <v>0</v>
      </c>
      <c r="Q654" s="190">
        <v>0</v>
      </c>
      <c r="R654" s="190">
        <f>Q654*H654</f>
        <v>0</v>
      </c>
      <c r="S654" s="190">
        <v>0</v>
      </c>
      <c r="T654" s="191">
        <f>S654*H654</f>
        <v>0</v>
      </c>
      <c r="U654" s="36"/>
      <c r="V654" s="36"/>
      <c r="W654" s="36"/>
      <c r="X654" s="36"/>
      <c r="Y654" s="36"/>
      <c r="Z654" s="36"/>
      <c r="AA654" s="36"/>
      <c r="AB654" s="36"/>
      <c r="AC654" s="36"/>
      <c r="AD654" s="36"/>
      <c r="AE654" s="36"/>
      <c r="AR654" s="192" t="s">
        <v>386</v>
      </c>
      <c r="AT654" s="192" t="s">
        <v>382</v>
      </c>
      <c r="AU654" s="192" t="s">
        <v>82</v>
      </c>
      <c r="AY654" s="19" t="s">
        <v>380</v>
      </c>
      <c r="BE654" s="193">
        <f>IF(N654="základní",J654,0)</f>
        <v>0</v>
      </c>
      <c r="BF654" s="193">
        <f>IF(N654="snížená",J654,0)</f>
        <v>0</v>
      </c>
      <c r="BG654" s="193">
        <f>IF(N654="zákl. přenesená",J654,0)</f>
        <v>0</v>
      </c>
      <c r="BH654" s="193">
        <f>IF(N654="sníž. přenesená",J654,0)</f>
        <v>0</v>
      </c>
      <c r="BI654" s="193">
        <f>IF(N654="nulová",J654,0)</f>
        <v>0</v>
      </c>
      <c r="BJ654" s="19" t="s">
        <v>79</v>
      </c>
      <c r="BK654" s="193">
        <f>ROUND(I654*H654,2)</f>
        <v>0</v>
      </c>
      <c r="BL654" s="19" t="s">
        <v>386</v>
      </c>
      <c r="BM654" s="192" t="s">
        <v>998</v>
      </c>
    </row>
    <row r="655" spans="1:65" s="14" customFormat="1" ht="11.25">
      <c r="B655" s="205"/>
      <c r="C655" s="206"/>
      <c r="D655" s="196" t="s">
        <v>388</v>
      </c>
      <c r="E655" s="207" t="s">
        <v>19</v>
      </c>
      <c r="F655" s="208" t="s">
        <v>999</v>
      </c>
      <c r="G655" s="206"/>
      <c r="H655" s="209">
        <v>144</v>
      </c>
      <c r="I655" s="210"/>
      <c r="J655" s="206"/>
      <c r="K655" s="206"/>
      <c r="L655" s="211"/>
      <c r="M655" s="212"/>
      <c r="N655" s="213"/>
      <c r="O655" s="213"/>
      <c r="P655" s="213"/>
      <c r="Q655" s="213"/>
      <c r="R655" s="213"/>
      <c r="S655" s="213"/>
      <c r="T655" s="214"/>
      <c r="AT655" s="215" t="s">
        <v>388</v>
      </c>
      <c r="AU655" s="215" t="s">
        <v>82</v>
      </c>
      <c r="AV655" s="14" t="s">
        <v>82</v>
      </c>
      <c r="AW655" s="14" t="s">
        <v>33</v>
      </c>
      <c r="AX655" s="14" t="s">
        <v>79</v>
      </c>
      <c r="AY655" s="215" t="s">
        <v>380</v>
      </c>
    </row>
    <row r="656" spans="1:65" s="2" customFormat="1" ht="16.5" customHeight="1">
      <c r="A656" s="36"/>
      <c r="B656" s="37"/>
      <c r="C656" s="181" t="s">
        <v>151</v>
      </c>
      <c r="D656" s="181" t="s">
        <v>382</v>
      </c>
      <c r="E656" s="182" t="s">
        <v>1000</v>
      </c>
      <c r="F656" s="183" t="s">
        <v>1001</v>
      </c>
      <c r="G656" s="184" t="s">
        <v>641</v>
      </c>
      <c r="H656" s="185">
        <v>48</v>
      </c>
      <c r="I656" s="186"/>
      <c r="J656" s="187">
        <f>ROUND(I656*H656,2)</f>
        <v>0</v>
      </c>
      <c r="K656" s="183" t="s">
        <v>19</v>
      </c>
      <c r="L656" s="41"/>
      <c r="M656" s="188" t="s">
        <v>19</v>
      </c>
      <c r="N656" s="189" t="s">
        <v>43</v>
      </c>
      <c r="O656" s="66"/>
      <c r="P656" s="190">
        <f>O656*H656</f>
        <v>0</v>
      </c>
      <c r="Q656" s="190">
        <v>0</v>
      </c>
      <c r="R656" s="190">
        <f>Q656*H656</f>
        <v>0</v>
      </c>
      <c r="S656" s="190">
        <v>0</v>
      </c>
      <c r="T656" s="191">
        <f>S656*H656</f>
        <v>0</v>
      </c>
      <c r="U656" s="36"/>
      <c r="V656" s="36"/>
      <c r="W656" s="36"/>
      <c r="X656" s="36"/>
      <c r="Y656" s="36"/>
      <c r="Z656" s="36"/>
      <c r="AA656" s="36"/>
      <c r="AB656" s="36"/>
      <c r="AC656" s="36"/>
      <c r="AD656" s="36"/>
      <c r="AE656" s="36"/>
      <c r="AR656" s="192" t="s">
        <v>386</v>
      </c>
      <c r="AT656" s="192" t="s">
        <v>382</v>
      </c>
      <c r="AU656" s="192" t="s">
        <v>82</v>
      </c>
      <c r="AY656" s="19" t="s">
        <v>380</v>
      </c>
      <c r="BE656" s="193">
        <f>IF(N656="základní",J656,0)</f>
        <v>0</v>
      </c>
      <c r="BF656" s="193">
        <f>IF(N656="snížená",J656,0)</f>
        <v>0</v>
      </c>
      <c r="BG656" s="193">
        <f>IF(N656="zákl. přenesená",J656,0)</f>
        <v>0</v>
      </c>
      <c r="BH656" s="193">
        <f>IF(N656="sníž. přenesená",J656,0)</f>
        <v>0</v>
      </c>
      <c r="BI656" s="193">
        <f>IF(N656="nulová",J656,0)</f>
        <v>0</v>
      </c>
      <c r="BJ656" s="19" t="s">
        <v>79</v>
      </c>
      <c r="BK656" s="193">
        <f>ROUND(I656*H656,2)</f>
        <v>0</v>
      </c>
      <c r="BL656" s="19" t="s">
        <v>386</v>
      </c>
      <c r="BM656" s="192" t="s">
        <v>1002</v>
      </c>
    </row>
    <row r="657" spans="1:65" s="14" customFormat="1" ht="11.25">
      <c r="B657" s="205"/>
      <c r="C657" s="206"/>
      <c r="D657" s="196" t="s">
        <v>388</v>
      </c>
      <c r="E657" s="207" t="s">
        <v>19</v>
      </c>
      <c r="F657" s="208" t="s">
        <v>1003</v>
      </c>
      <c r="G657" s="206"/>
      <c r="H657" s="209">
        <v>48</v>
      </c>
      <c r="I657" s="210"/>
      <c r="J657" s="206"/>
      <c r="K657" s="206"/>
      <c r="L657" s="211"/>
      <c r="M657" s="212"/>
      <c r="N657" s="213"/>
      <c r="O657" s="213"/>
      <c r="P657" s="213"/>
      <c r="Q657" s="213"/>
      <c r="R657" s="213"/>
      <c r="S657" s="213"/>
      <c r="T657" s="214"/>
      <c r="AT657" s="215" t="s">
        <v>388</v>
      </c>
      <c r="AU657" s="215" t="s">
        <v>82</v>
      </c>
      <c r="AV657" s="14" t="s">
        <v>82</v>
      </c>
      <c r="AW657" s="14" t="s">
        <v>33</v>
      </c>
      <c r="AX657" s="14" t="s">
        <v>79</v>
      </c>
      <c r="AY657" s="215" t="s">
        <v>380</v>
      </c>
    </row>
    <row r="658" spans="1:65" s="2" customFormat="1" ht="16.5" customHeight="1">
      <c r="A658" s="36"/>
      <c r="B658" s="37"/>
      <c r="C658" s="181" t="s">
        <v>154</v>
      </c>
      <c r="D658" s="181" t="s">
        <v>382</v>
      </c>
      <c r="E658" s="182" t="s">
        <v>1004</v>
      </c>
      <c r="F658" s="183" t="s">
        <v>1005</v>
      </c>
      <c r="G658" s="184" t="s">
        <v>641</v>
      </c>
      <c r="H658" s="185">
        <v>32</v>
      </c>
      <c r="I658" s="186"/>
      <c r="J658" s="187">
        <f>ROUND(I658*H658,2)</f>
        <v>0</v>
      </c>
      <c r="K658" s="183" t="s">
        <v>19</v>
      </c>
      <c r="L658" s="41"/>
      <c r="M658" s="188" t="s">
        <v>19</v>
      </c>
      <c r="N658" s="189" t="s">
        <v>43</v>
      </c>
      <c r="O658" s="66"/>
      <c r="P658" s="190">
        <f>O658*H658</f>
        <v>0</v>
      </c>
      <c r="Q658" s="190">
        <v>0</v>
      </c>
      <c r="R658" s="190">
        <f>Q658*H658</f>
        <v>0</v>
      </c>
      <c r="S658" s="190">
        <v>0</v>
      </c>
      <c r="T658" s="191">
        <f>S658*H658</f>
        <v>0</v>
      </c>
      <c r="U658" s="36"/>
      <c r="V658" s="36"/>
      <c r="W658" s="36"/>
      <c r="X658" s="36"/>
      <c r="Y658" s="36"/>
      <c r="Z658" s="36"/>
      <c r="AA658" s="36"/>
      <c r="AB658" s="36"/>
      <c r="AC658" s="36"/>
      <c r="AD658" s="36"/>
      <c r="AE658" s="36"/>
      <c r="AR658" s="192" t="s">
        <v>386</v>
      </c>
      <c r="AT658" s="192" t="s">
        <v>382</v>
      </c>
      <c r="AU658" s="192" t="s">
        <v>82</v>
      </c>
      <c r="AY658" s="19" t="s">
        <v>380</v>
      </c>
      <c r="BE658" s="193">
        <f>IF(N658="základní",J658,0)</f>
        <v>0</v>
      </c>
      <c r="BF658" s="193">
        <f>IF(N658="snížená",J658,0)</f>
        <v>0</v>
      </c>
      <c r="BG658" s="193">
        <f>IF(N658="zákl. přenesená",J658,0)</f>
        <v>0</v>
      </c>
      <c r="BH658" s="193">
        <f>IF(N658="sníž. přenesená",J658,0)</f>
        <v>0</v>
      </c>
      <c r="BI658" s="193">
        <f>IF(N658="nulová",J658,0)</f>
        <v>0</v>
      </c>
      <c r="BJ658" s="19" t="s">
        <v>79</v>
      </c>
      <c r="BK658" s="193">
        <f>ROUND(I658*H658,2)</f>
        <v>0</v>
      </c>
      <c r="BL658" s="19" t="s">
        <v>386</v>
      </c>
      <c r="BM658" s="192" t="s">
        <v>1006</v>
      </c>
    </row>
    <row r="659" spans="1:65" s="14" customFormat="1" ht="11.25">
      <c r="B659" s="205"/>
      <c r="C659" s="206"/>
      <c r="D659" s="196" t="s">
        <v>388</v>
      </c>
      <c r="E659" s="207" t="s">
        <v>19</v>
      </c>
      <c r="F659" s="208" t="s">
        <v>1007</v>
      </c>
      <c r="G659" s="206"/>
      <c r="H659" s="209">
        <v>32</v>
      </c>
      <c r="I659" s="210"/>
      <c r="J659" s="206"/>
      <c r="K659" s="206"/>
      <c r="L659" s="211"/>
      <c r="M659" s="212"/>
      <c r="N659" s="213"/>
      <c r="O659" s="213"/>
      <c r="P659" s="213"/>
      <c r="Q659" s="213"/>
      <c r="R659" s="213"/>
      <c r="S659" s="213"/>
      <c r="T659" s="214"/>
      <c r="AT659" s="215" t="s">
        <v>388</v>
      </c>
      <c r="AU659" s="215" t="s">
        <v>82</v>
      </c>
      <c r="AV659" s="14" t="s">
        <v>82</v>
      </c>
      <c r="AW659" s="14" t="s">
        <v>33</v>
      </c>
      <c r="AX659" s="14" t="s">
        <v>79</v>
      </c>
      <c r="AY659" s="215" t="s">
        <v>380</v>
      </c>
    </row>
    <row r="660" spans="1:65" s="2" customFormat="1" ht="16.5" customHeight="1">
      <c r="A660" s="36"/>
      <c r="B660" s="37"/>
      <c r="C660" s="181" t="s">
        <v>157</v>
      </c>
      <c r="D660" s="181" t="s">
        <v>382</v>
      </c>
      <c r="E660" s="182" t="s">
        <v>1008</v>
      </c>
      <c r="F660" s="183" t="s">
        <v>1009</v>
      </c>
      <c r="G660" s="184" t="s">
        <v>641</v>
      </c>
      <c r="H660" s="185">
        <v>64</v>
      </c>
      <c r="I660" s="186"/>
      <c r="J660" s="187">
        <f>ROUND(I660*H660,2)</f>
        <v>0</v>
      </c>
      <c r="K660" s="183" t="s">
        <v>19</v>
      </c>
      <c r="L660" s="41"/>
      <c r="M660" s="188" t="s">
        <v>19</v>
      </c>
      <c r="N660" s="189" t="s">
        <v>43</v>
      </c>
      <c r="O660" s="66"/>
      <c r="P660" s="190">
        <f>O660*H660</f>
        <v>0</v>
      </c>
      <c r="Q660" s="190">
        <v>0</v>
      </c>
      <c r="R660" s="190">
        <f>Q660*H660</f>
        <v>0</v>
      </c>
      <c r="S660" s="190">
        <v>0</v>
      </c>
      <c r="T660" s="191">
        <f>S660*H660</f>
        <v>0</v>
      </c>
      <c r="U660" s="36"/>
      <c r="V660" s="36"/>
      <c r="W660" s="36"/>
      <c r="X660" s="36"/>
      <c r="Y660" s="36"/>
      <c r="Z660" s="36"/>
      <c r="AA660" s="36"/>
      <c r="AB660" s="36"/>
      <c r="AC660" s="36"/>
      <c r="AD660" s="36"/>
      <c r="AE660" s="36"/>
      <c r="AR660" s="192" t="s">
        <v>386</v>
      </c>
      <c r="AT660" s="192" t="s">
        <v>382</v>
      </c>
      <c r="AU660" s="192" t="s">
        <v>82</v>
      </c>
      <c r="AY660" s="19" t="s">
        <v>380</v>
      </c>
      <c r="BE660" s="193">
        <f>IF(N660="základní",J660,0)</f>
        <v>0</v>
      </c>
      <c r="BF660" s="193">
        <f>IF(N660="snížená",J660,0)</f>
        <v>0</v>
      </c>
      <c r="BG660" s="193">
        <f>IF(N660="zákl. přenesená",J660,0)</f>
        <v>0</v>
      </c>
      <c r="BH660" s="193">
        <f>IF(N660="sníž. přenesená",J660,0)</f>
        <v>0</v>
      </c>
      <c r="BI660" s="193">
        <f>IF(N660="nulová",J660,0)</f>
        <v>0</v>
      </c>
      <c r="BJ660" s="19" t="s">
        <v>79</v>
      </c>
      <c r="BK660" s="193">
        <f>ROUND(I660*H660,2)</f>
        <v>0</v>
      </c>
      <c r="BL660" s="19" t="s">
        <v>386</v>
      </c>
      <c r="BM660" s="192" t="s">
        <v>1010</v>
      </c>
    </row>
    <row r="661" spans="1:65" s="14" customFormat="1" ht="11.25">
      <c r="B661" s="205"/>
      <c r="C661" s="206"/>
      <c r="D661" s="196" t="s">
        <v>388</v>
      </c>
      <c r="E661" s="207" t="s">
        <v>19</v>
      </c>
      <c r="F661" s="208" t="s">
        <v>1011</v>
      </c>
      <c r="G661" s="206"/>
      <c r="H661" s="209">
        <v>64</v>
      </c>
      <c r="I661" s="210"/>
      <c r="J661" s="206"/>
      <c r="K661" s="206"/>
      <c r="L661" s="211"/>
      <c r="M661" s="212"/>
      <c r="N661" s="213"/>
      <c r="O661" s="213"/>
      <c r="P661" s="213"/>
      <c r="Q661" s="213"/>
      <c r="R661" s="213"/>
      <c r="S661" s="213"/>
      <c r="T661" s="214"/>
      <c r="AT661" s="215" t="s">
        <v>388</v>
      </c>
      <c r="AU661" s="215" t="s">
        <v>82</v>
      </c>
      <c r="AV661" s="14" t="s">
        <v>82</v>
      </c>
      <c r="AW661" s="14" t="s">
        <v>33</v>
      </c>
      <c r="AX661" s="14" t="s">
        <v>79</v>
      </c>
      <c r="AY661" s="215" t="s">
        <v>380</v>
      </c>
    </row>
    <row r="662" spans="1:65" s="2" customFormat="1" ht="16.5" customHeight="1">
      <c r="A662" s="36"/>
      <c r="B662" s="37"/>
      <c r="C662" s="181" t="s">
        <v>160</v>
      </c>
      <c r="D662" s="181" t="s">
        <v>382</v>
      </c>
      <c r="E662" s="182" t="s">
        <v>1012</v>
      </c>
      <c r="F662" s="183" t="s">
        <v>1013</v>
      </c>
      <c r="G662" s="184" t="s">
        <v>641</v>
      </c>
      <c r="H662" s="185">
        <v>18</v>
      </c>
      <c r="I662" s="186"/>
      <c r="J662" s="187">
        <f>ROUND(I662*H662,2)</f>
        <v>0</v>
      </c>
      <c r="K662" s="183" t="s">
        <v>19</v>
      </c>
      <c r="L662" s="41"/>
      <c r="M662" s="188" t="s">
        <v>19</v>
      </c>
      <c r="N662" s="189" t="s">
        <v>43</v>
      </c>
      <c r="O662" s="66"/>
      <c r="P662" s="190">
        <f>O662*H662</f>
        <v>0</v>
      </c>
      <c r="Q662" s="190">
        <v>0</v>
      </c>
      <c r="R662" s="190">
        <f>Q662*H662</f>
        <v>0</v>
      </c>
      <c r="S662" s="190">
        <v>0</v>
      </c>
      <c r="T662" s="191">
        <f>S662*H662</f>
        <v>0</v>
      </c>
      <c r="U662" s="36"/>
      <c r="V662" s="36"/>
      <c r="W662" s="36"/>
      <c r="X662" s="36"/>
      <c r="Y662" s="36"/>
      <c r="Z662" s="36"/>
      <c r="AA662" s="36"/>
      <c r="AB662" s="36"/>
      <c r="AC662" s="36"/>
      <c r="AD662" s="36"/>
      <c r="AE662" s="36"/>
      <c r="AR662" s="192" t="s">
        <v>386</v>
      </c>
      <c r="AT662" s="192" t="s">
        <v>382</v>
      </c>
      <c r="AU662" s="192" t="s">
        <v>82</v>
      </c>
      <c r="AY662" s="19" t="s">
        <v>380</v>
      </c>
      <c r="BE662" s="193">
        <f>IF(N662="základní",J662,0)</f>
        <v>0</v>
      </c>
      <c r="BF662" s="193">
        <f>IF(N662="snížená",J662,0)</f>
        <v>0</v>
      </c>
      <c r="BG662" s="193">
        <f>IF(N662="zákl. přenesená",J662,0)</f>
        <v>0</v>
      </c>
      <c r="BH662" s="193">
        <f>IF(N662="sníž. přenesená",J662,0)</f>
        <v>0</v>
      </c>
      <c r="BI662" s="193">
        <f>IF(N662="nulová",J662,0)</f>
        <v>0</v>
      </c>
      <c r="BJ662" s="19" t="s">
        <v>79</v>
      </c>
      <c r="BK662" s="193">
        <f>ROUND(I662*H662,2)</f>
        <v>0</v>
      </c>
      <c r="BL662" s="19" t="s">
        <v>386</v>
      </c>
      <c r="BM662" s="192" t="s">
        <v>1014</v>
      </c>
    </row>
    <row r="663" spans="1:65" s="14" customFormat="1" ht="11.25">
      <c r="B663" s="205"/>
      <c r="C663" s="206"/>
      <c r="D663" s="196" t="s">
        <v>388</v>
      </c>
      <c r="E663" s="207" t="s">
        <v>19</v>
      </c>
      <c r="F663" s="208" t="s">
        <v>1015</v>
      </c>
      <c r="G663" s="206"/>
      <c r="H663" s="209">
        <v>18</v>
      </c>
      <c r="I663" s="210"/>
      <c r="J663" s="206"/>
      <c r="K663" s="206"/>
      <c r="L663" s="211"/>
      <c r="M663" s="212"/>
      <c r="N663" s="213"/>
      <c r="O663" s="213"/>
      <c r="P663" s="213"/>
      <c r="Q663" s="213"/>
      <c r="R663" s="213"/>
      <c r="S663" s="213"/>
      <c r="T663" s="214"/>
      <c r="AT663" s="215" t="s">
        <v>388</v>
      </c>
      <c r="AU663" s="215" t="s">
        <v>82</v>
      </c>
      <c r="AV663" s="14" t="s">
        <v>82</v>
      </c>
      <c r="AW663" s="14" t="s">
        <v>33</v>
      </c>
      <c r="AX663" s="14" t="s">
        <v>79</v>
      </c>
      <c r="AY663" s="215" t="s">
        <v>380</v>
      </c>
    </row>
    <row r="664" spans="1:65" s="2" customFormat="1" ht="16.5" customHeight="1">
      <c r="A664" s="36"/>
      <c r="B664" s="37"/>
      <c r="C664" s="181" t="s">
        <v>1016</v>
      </c>
      <c r="D664" s="181" t="s">
        <v>382</v>
      </c>
      <c r="E664" s="182" t="s">
        <v>1017</v>
      </c>
      <c r="F664" s="183" t="s">
        <v>1018</v>
      </c>
      <c r="G664" s="184" t="s">
        <v>641</v>
      </c>
      <c r="H664" s="185">
        <v>80</v>
      </c>
      <c r="I664" s="186"/>
      <c r="J664" s="187">
        <f>ROUND(I664*H664,2)</f>
        <v>0</v>
      </c>
      <c r="K664" s="183" t="s">
        <v>19</v>
      </c>
      <c r="L664" s="41"/>
      <c r="M664" s="188" t="s">
        <v>19</v>
      </c>
      <c r="N664" s="189" t="s">
        <v>43</v>
      </c>
      <c r="O664" s="66"/>
      <c r="P664" s="190">
        <f>O664*H664</f>
        <v>0</v>
      </c>
      <c r="Q664" s="190">
        <v>0</v>
      </c>
      <c r="R664" s="190">
        <f>Q664*H664</f>
        <v>0</v>
      </c>
      <c r="S664" s="190">
        <v>0</v>
      </c>
      <c r="T664" s="191">
        <f>S664*H664</f>
        <v>0</v>
      </c>
      <c r="U664" s="36"/>
      <c r="V664" s="36"/>
      <c r="W664" s="36"/>
      <c r="X664" s="36"/>
      <c r="Y664" s="36"/>
      <c r="Z664" s="36"/>
      <c r="AA664" s="36"/>
      <c r="AB664" s="36"/>
      <c r="AC664" s="36"/>
      <c r="AD664" s="36"/>
      <c r="AE664" s="36"/>
      <c r="AR664" s="192" t="s">
        <v>386</v>
      </c>
      <c r="AT664" s="192" t="s">
        <v>382</v>
      </c>
      <c r="AU664" s="192" t="s">
        <v>82</v>
      </c>
      <c r="AY664" s="19" t="s">
        <v>380</v>
      </c>
      <c r="BE664" s="193">
        <f>IF(N664="základní",J664,0)</f>
        <v>0</v>
      </c>
      <c r="BF664" s="193">
        <f>IF(N664="snížená",J664,0)</f>
        <v>0</v>
      </c>
      <c r="BG664" s="193">
        <f>IF(N664="zákl. přenesená",J664,0)</f>
        <v>0</v>
      </c>
      <c r="BH664" s="193">
        <f>IF(N664="sníž. přenesená",J664,0)</f>
        <v>0</v>
      </c>
      <c r="BI664" s="193">
        <f>IF(N664="nulová",J664,0)</f>
        <v>0</v>
      </c>
      <c r="BJ664" s="19" t="s">
        <v>79</v>
      </c>
      <c r="BK664" s="193">
        <f>ROUND(I664*H664,2)</f>
        <v>0</v>
      </c>
      <c r="BL664" s="19" t="s">
        <v>386</v>
      </c>
      <c r="BM664" s="192" t="s">
        <v>1019</v>
      </c>
    </row>
    <row r="665" spans="1:65" s="14" customFormat="1" ht="11.25">
      <c r="B665" s="205"/>
      <c r="C665" s="206"/>
      <c r="D665" s="196" t="s">
        <v>388</v>
      </c>
      <c r="E665" s="207" t="s">
        <v>19</v>
      </c>
      <c r="F665" s="208" t="s">
        <v>1020</v>
      </c>
      <c r="G665" s="206"/>
      <c r="H665" s="209">
        <v>80</v>
      </c>
      <c r="I665" s="210"/>
      <c r="J665" s="206"/>
      <c r="K665" s="206"/>
      <c r="L665" s="211"/>
      <c r="M665" s="212"/>
      <c r="N665" s="213"/>
      <c r="O665" s="213"/>
      <c r="P665" s="213"/>
      <c r="Q665" s="213"/>
      <c r="R665" s="213"/>
      <c r="S665" s="213"/>
      <c r="T665" s="214"/>
      <c r="AT665" s="215" t="s">
        <v>388</v>
      </c>
      <c r="AU665" s="215" t="s">
        <v>82</v>
      </c>
      <c r="AV665" s="14" t="s">
        <v>82</v>
      </c>
      <c r="AW665" s="14" t="s">
        <v>33</v>
      </c>
      <c r="AX665" s="14" t="s">
        <v>79</v>
      </c>
      <c r="AY665" s="215" t="s">
        <v>380</v>
      </c>
    </row>
    <row r="666" spans="1:65" s="2" customFormat="1" ht="16.5" customHeight="1">
      <c r="A666" s="36"/>
      <c r="B666" s="37"/>
      <c r="C666" s="181" t="s">
        <v>163</v>
      </c>
      <c r="D666" s="181" t="s">
        <v>382</v>
      </c>
      <c r="E666" s="182" t="s">
        <v>1021</v>
      </c>
      <c r="F666" s="183" t="s">
        <v>1022</v>
      </c>
      <c r="G666" s="184" t="s">
        <v>641</v>
      </c>
      <c r="H666" s="185">
        <v>64</v>
      </c>
      <c r="I666" s="186"/>
      <c r="J666" s="187">
        <f>ROUND(I666*H666,2)</f>
        <v>0</v>
      </c>
      <c r="K666" s="183" t="s">
        <v>19</v>
      </c>
      <c r="L666" s="41"/>
      <c r="M666" s="188" t="s">
        <v>19</v>
      </c>
      <c r="N666" s="189" t="s">
        <v>43</v>
      </c>
      <c r="O666" s="66"/>
      <c r="P666" s="190">
        <f>O666*H666</f>
        <v>0</v>
      </c>
      <c r="Q666" s="190">
        <v>0</v>
      </c>
      <c r="R666" s="190">
        <f>Q666*H666</f>
        <v>0</v>
      </c>
      <c r="S666" s="190">
        <v>0</v>
      </c>
      <c r="T666" s="191">
        <f>S666*H666</f>
        <v>0</v>
      </c>
      <c r="U666" s="36"/>
      <c r="V666" s="36"/>
      <c r="W666" s="36"/>
      <c r="X666" s="36"/>
      <c r="Y666" s="36"/>
      <c r="Z666" s="36"/>
      <c r="AA666" s="36"/>
      <c r="AB666" s="36"/>
      <c r="AC666" s="36"/>
      <c r="AD666" s="36"/>
      <c r="AE666" s="36"/>
      <c r="AR666" s="192" t="s">
        <v>386</v>
      </c>
      <c r="AT666" s="192" t="s">
        <v>382</v>
      </c>
      <c r="AU666" s="192" t="s">
        <v>82</v>
      </c>
      <c r="AY666" s="19" t="s">
        <v>380</v>
      </c>
      <c r="BE666" s="193">
        <f>IF(N666="základní",J666,0)</f>
        <v>0</v>
      </c>
      <c r="BF666" s="193">
        <f>IF(N666="snížená",J666,0)</f>
        <v>0</v>
      </c>
      <c r="BG666" s="193">
        <f>IF(N666="zákl. přenesená",J666,0)</f>
        <v>0</v>
      </c>
      <c r="BH666" s="193">
        <f>IF(N666="sníž. přenesená",J666,0)</f>
        <v>0</v>
      </c>
      <c r="BI666" s="193">
        <f>IF(N666="nulová",J666,0)</f>
        <v>0</v>
      </c>
      <c r="BJ666" s="19" t="s">
        <v>79</v>
      </c>
      <c r="BK666" s="193">
        <f>ROUND(I666*H666,2)</f>
        <v>0</v>
      </c>
      <c r="BL666" s="19" t="s">
        <v>386</v>
      </c>
      <c r="BM666" s="192" t="s">
        <v>1023</v>
      </c>
    </row>
    <row r="667" spans="1:65" s="14" customFormat="1" ht="11.25">
      <c r="B667" s="205"/>
      <c r="C667" s="206"/>
      <c r="D667" s="196" t="s">
        <v>388</v>
      </c>
      <c r="E667" s="207" t="s">
        <v>19</v>
      </c>
      <c r="F667" s="208" t="s">
        <v>1011</v>
      </c>
      <c r="G667" s="206"/>
      <c r="H667" s="209">
        <v>64</v>
      </c>
      <c r="I667" s="210"/>
      <c r="J667" s="206"/>
      <c r="K667" s="206"/>
      <c r="L667" s="211"/>
      <c r="M667" s="212"/>
      <c r="N667" s="213"/>
      <c r="O667" s="213"/>
      <c r="P667" s="213"/>
      <c r="Q667" s="213"/>
      <c r="R667" s="213"/>
      <c r="S667" s="213"/>
      <c r="T667" s="214"/>
      <c r="AT667" s="215" t="s">
        <v>388</v>
      </c>
      <c r="AU667" s="215" t="s">
        <v>82</v>
      </c>
      <c r="AV667" s="14" t="s">
        <v>82</v>
      </c>
      <c r="AW667" s="14" t="s">
        <v>33</v>
      </c>
      <c r="AX667" s="14" t="s">
        <v>79</v>
      </c>
      <c r="AY667" s="215" t="s">
        <v>380</v>
      </c>
    </row>
    <row r="668" spans="1:65" s="2" customFormat="1" ht="16.5" customHeight="1">
      <c r="A668" s="36"/>
      <c r="B668" s="37"/>
      <c r="C668" s="181" t="s">
        <v>1024</v>
      </c>
      <c r="D668" s="181" t="s">
        <v>382</v>
      </c>
      <c r="E668" s="182" t="s">
        <v>1025</v>
      </c>
      <c r="F668" s="183" t="s">
        <v>1026</v>
      </c>
      <c r="G668" s="184" t="s">
        <v>641</v>
      </c>
      <c r="H668" s="185">
        <v>16</v>
      </c>
      <c r="I668" s="186"/>
      <c r="J668" s="187">
        <f>ROUND(I668*H668,2)</f>
        <v>0</v>
      </c>
      <c r="K668" s="183" t="s">
        <v>19</v>
      </c>
      <c r="L668" s="41"/>
      <c r="M668" s="188" t="s">
        <v>19</v>
      </c>
      <c r="N668" s="189" t="s">
        <v>43</v>
      </c>
      <c r="O668" s="66"/>
      <c r="P668" s="190">
        <f>O668*H668</f>
        <v>0</v>
      </c>
      <c r="Q668" s="190">
        <v>0</v>
      </c>
      <c r="R668" s="190">
        <f>Q668*H668</f>
        <v>0</v>
      </c>
      <c r="S668" s="190">
        <v>0</v>
      </c>
      <c r="T668" s="191">
        <f>S668*H668</f>
        <v>0</v>
      </c>
      <c r="U668" s="36"/>
      <c r="V668" s="36"/>
      <c r="W668" s="36"/>
      <c r="X668" s="36"/>
      <c r="Y668" s="36"/>
      <c r="Z668" s="36"/>
      <c r="AA668" s="36"/>
      <c r="AB668" s="36"/>
      <c r="AC668" s="36"/>
      <c r="AD668" s="36"/>
      <c r="AE668" s="36"/>
      <c r="AR668" s="192" t="s">
        <v>386</v>
      </c>
      <c r="AT668" s="192" t="s">
        <v>382</v>
      </c>
      <c r="AU668" s="192" t="s">
        <v>82</v>
      </c>
      <c r="AY668" s="19" t="s">
        <v>380</v>
      </c>
      <c r="BE668" s="193">
        <f>IF(N668="základní",J668,0)</f>
        <v>0</v>
      </c>
      <c r="BF668" s="193">
        <f>IF(N668="snížená",J668,0)</f>
        <v>0</v>
      </c>
      <c r="BG668" s="193">
        <f>IF(N668="zákl. přenesená",J668,0)</f>
        <v>0</v>
      </c>
      <c r="BH668" s="193">
        <f>IF(N668="sníž. přenesená",J668,0)</f>
        <v>0</v>
      </c>
      <c r="BI668" s="193">
        <f>IF(N668="nulová",J668,0)</f>
        <v>0</v>
      </c>
      <c r="BJ668" s="19" t="s">
        <v>79</v>
      </c>
      <c r="BK668" s="193">
        <f>ROUND(I668*H668,2)</f>
        <v>0</v>
      </c>
      <c r="BL668" s="19" t="s">
        <v>386</v>
      </c>
      <c r="BM668" s="192" t="s">
        <v>1027</v>
      </c>
    </row>
    <row r="669" spans="1:65" s="14" customFormat="1" ht="11.25">
      <c r="B669" s="205"/>
      <c r="C669" s="206"/>
      <c r="D669" s="196" t="s">
        <v>388</v>
      </c>
      <c r="E669" s="207" t="s">
        <v>19</v>
      </c>
      <c r="F669" s="208" t="s">
        <v>1028</v>
      </c>
      <c r="G669" s="206"/>
      <c r="H669" s="209">
        <v>16</v>
      </c>
      <c r="I669" s="210"/>
      <c r="J669" s="206"/>
      <c r="K669" s="206"/>
      <c r="L669" s="211"/>
      <c r="M669" s="212"/>
      <c r="N669" s="213"/>
      <c r="O669" s="213"/>
      <c r="P669" s="213"/>
      <c r="Q669" s="213"/>
      <c r="R669" s="213"/>
      <c r="S669" s="213"/>
      <c r="T669" s="214"/>
      <c r="AT669" s="215" t="s">
        <v>388</v>
      </c>
      <c r="AU669" s="215" t="s">
        <v>82</v>
      </c>
      <c r="AV669" s="14" t="s">
        <v>82</v>
      </c>
      <c r="AW669" s="14" t="s">
        <v>33</v>
      </c>
      <c r="AX669" s="14" t="s">
        <v>79</v>
      </c>
      <c r="AY669" s="215" t="s">
        <v>380</v>
      </c>
    </row>
    <row r="670" spans="1:65" s="2" customFormat="1" ht="16.5" customHeight="1">
      <c r="A670" s="36"/>
      <c r="B670" s="37"/>
      <c r="C670" s="181" t="s">
        <v>1029</v>
      </c>
      <c r="D670" s="181" t="s">
        <v>382</v>
      </c>
      <c r="E670" s="182" t="s">
        <v>1030</v>
      </c>
      <c r="F670" s="183" t="s">
        <v>1031</v>
      </c>
      <c r="G670" s="184" t="s">
        <v>641</v>
      </c>
      <c r="H670" s="185">
        <v>12</v>
      </c>
      <c r="I670" s="186"/>
      <c r="J670" s="187">
        <f>ROUND(I670*H670,2)</f>
        <v>0</v>
      </c>
      <c r="K670" s="183" t="s">
        <v>19</v>
      </c>
      <c r="L670" s="41"/>
      <c r="M670" s="188" t="s">
        <v>19</v>
      </c>
      <c r="N670" s="189" t="s">
        <v>43</v>
      </c>
      <c r="O670" s="66"/>
      <c r="P670" s="190">
        <f>O670*H670</f>
        <v>0</v>
      </c>
      <c r="Q670" s="190">
        <v>0</v>
      </c>
      <c r="R670" s="190">
        <f>Q670*H670</f>
        <v>0</v>
      </c>
      <c r="S670" s="190">
        <v>0</v>
      </c>
      <c r="T670" s="191">
        <f>S670*H670</f>
        <v>0</v>
      </c>
      <c r="U670" s="36"/>
      <c r="V670" s="36"/>
      <c r="W670" s="36"/>
      <c r="X670" s="36"/>
      <c r="Y670" s="36"/>
      <c r="Z670" s="36"/>
      <c r="AA670" s="36"/>
      <c r="AB670" s="36"/>
      <c r="AC670" s="36"/>
      <c r="AD670" s="36"/>
      <c r="AE670" s="36"/>
      <c r="AR670" s="192" t="s">
        <v>386</v>
      </c>
      <c r="AT670" s="192" t="s">
        <v>382</v>
      </c>
      <c r="AU670" s="192" t="s">
        <v>82</v>
      </c>
      <c r="AY670" s="19" t="s">
        <v>380</v>
      </c>
      <c r="BE670" s="193">
        <f>IF(N670="základní",J670,0)</f>
        <v>0</v>
      </c>
      <c r="BF670" s="193">
        <f>IF(N670="snížená",J670,0)</f>
        <v>0</v>
      </c>
      <c r="BG670" s="193">
        <f>IF(N670="zákl. přenesená",J670,0)</f>
        <v>0</v>
      </c>
      <c r="BH670" s="193">
        <f>IF(N670="sníž. přenesená",J670,0)</f>
        <v>0</v>
      </c>
      <c r="BI670" s="193">
        <f>IF(N670="nulová",J670,0)</f>
        <v>0</v>
      </c>
      <c r="BJ670" s="19" t="s">
        <v>79</v>
      </c>
      <c r="BK670" s="193">
        <f>ROUND(I670*H670,2)</f>
        <v>0</v>
      </c>
      <c r="BL670" s="19" t="s">
        <v>386</v>
      </c>
      <c r="BM670" s="192" t="s">
        <v>1032</v>
      </c>
    </row>
    <row r="671" spans="1:65" s="14" customFormat="1" ht="11.25">
      <c r="B671" s="205"/>
      <c r="C671" s="206"/>
      <c r="D671" s="196" t="s">
        <v>388</v>
      </c>
      <c r="E671" s="207" t="s">
        <v>19</v>
      </c>
      <c r="F671" s="208" t="s">
        <v>1033</v>
      </c>
      <c r="G671" s="206"/>
      <c r="H671" s="209">
        <v>12</v>
      </c>
      <c r="I671" s="210"/>
      <c r="J671" s="206"/>
      <c r="K671" s="206"/>
      <c r="L671" s="211"/>
      <c r="M671" s="212"/>
      <c r="N671" s="213"/>
      <c r="O671" s="213"/>
      <c r="P671" s="213"/>
      <c r="Q671" s="213"/>
      <c r="R671" s="213"/>
      <c r="S671" s="213"/>
      <c r="T671" s="214"/>
      <c r="AT671" s="215" t="s">
        <v>388</v>
      </c>
      <c r="AU671" s="215" t="s">
        <v>82</v>
      </c>
      <c r="AV671" s="14" t="s">
        <v>82</v>
      </c>
      <c r="AW671" s="14" t="s">
        <v>33</v>
      </c>
      <c r="AX671" s="14" t="s">
        <v>79</v>
      </c>
      <c r="AY671" s="215" t="s">
        <v>380</v>
      </c>
    </row>
    <row r="672" spans="1:65" s="2" customFormat="1" ht="16.5" customHeight="1">
      <c r="A672" s="36"/>
      <c r="B672" s="37"/>
      <c r="C672" s="181" t="s">
        <v>1034</v>
      </c>
      <c r="D672" s="181" t="s">
        <v>382</v>
      </c>
      <c r="E672" s="182" t="s">
        <v>1035</v>
      </c>
      <c r="F672" s="183" t="s">
        <v>1036</v>
      </c>
      <c r="G672" s="184" t="s">
        <v>641</v>
      </c>
      <c r="H672" s="185">
        <v>24</v>
      </c>
      <c r="I672" s="186"/>
      <c r="J672" s="187">
        <f>ROUND(I672*H672,2)</f>
        <v>0</v>
      </c>
      <c r="K672" s="183" t="s">
        <v>19</v>
      </c>
      <c r="L672" s="41"/>
      <c r="M672" s="188" t="s">
        <v>19</v>
      </c>
      <c r="N672" s="189" t="s">
        <v>43</v>
      </c>
      <c r="O672" s="66"/>
      <c r="P672" s="190">
        <f>O672*H672</f>
        <v>0</v>
      </c>
      <c r="Q672" s="190">
        <v>0</v>
      </c>
      <c r="R672" s="190">
        <f>Q672*H672</f>
        <v>0</v>
      </c>
      <c r="S672" s="190">
        <v>0</v>
      </c>
      <c r="T672" s="191">
        <f>S672*H672</f>
        <v>0</v>
      </c>
      <c r="U672" s="36"/>
      <c r="V672" s="36"/>
      <c r="W672" s="36"/>
      <c r="X672" s="36"/>
      <c r="Y672" s="36"/>
      <c r="Z672" s="36"/>
      <c r="AA672" s="36"/>
      <c r="AB672" s="36"/>
      <c r="AC672" s="36"/>
      <c r="AD672" s="36"/>
      <c r="AE672" s="36"/>
      <c r="AR672" s="192" t="s">
        <v>386</v>
      </c>
      <c r="AT672" s="192" t="s">
        <v>382</v>
      </c>
      <c r="AU672" s="192" t="s">
        <v>82</v>
      </c>
      <c r="AY672" s="19" t="s">
        <v>380</v>
      </c>
      <c r="BE672" s="193">
        <f>IF(N672="základní",J672,0)</f>
        <v>0</v>
      </c>
      <c r="BF672" s="193">
        <f>IF(N672="snížená",J672,0)</f>
        <v>0</v>
      </c>
      <c r="BG672" s="193">
        <f>IF(N672="zákl. přenesená",J672,0)</f>
        <v>0</v>
      </c>
      <c r="BH672" s="193">
        <f>IF(N672="sníž. přenesená",J672,0)</f>
        <v>0</v>
      </c>
      <c r="BI672" s="193">
        <f>IF(N672="nulová",J672,0)</f>
        <v>0</v>
      </c>
      <c r="BJ672" s="19" t="s">
        <v>79</v>
      </c>
      <c r="BK672" s="193">
        <f>ROUND(I672*H672,2)</f>
        <v>0</v>
      </c>
      <c r="BL672" s="19" t="s">
        <v>386</v>
      </c>
      <c r="BM672" s="192" t="s">
        <v>1037</v>
      </c>
    </row>
    <row r="673" spans="1:65" s="14" customFormat="1" ht="11.25">
      <c r="B673" s="205"/>
      <c r="C673" s="206"/>
      <c r="D673" s="196" t="s">
        <v>388</v>
      </c>
      <c r="E673" s="207" t="s">
        <v>19</v>
      </c>
      <c r="F673" s="208" t="s">
        <v>1038</v>
      </c>
      <c r="G673" s="206"/>
      <c r="H673" s="209">
        <v>24</v>
      </c>
      <c r="I673" s="210"/>
      <c r="J673" s="206"/>
      <c r="K673" s="206"/>
      <c r="L673" s="211"/>
      <c r="M673" s="212"/>
      <c r="N673" s="213"/>
      <c r="O673" s="213"/>
      <c r="P673" s="213"/>
      <c r="Q673" s="213"/>
      <c r="R673" s="213"/>
      <c r="S673" s="213"/>
      <c r="T673" s="214"/>
      <c r="AT673" s="215" t="s">
        <v>388</v>
      </c>
      <c r="AU673" s="215" t="s">
        <v>82</v>
      </c>
      <c r="AV673" s="14" t="s">
        <v>82</v>
      </c>
      <c r="AW673" s="14" t="s">
        <v>33</v>
      </c>
      <c r="AX673" s="14" t="s">
        <v>79</v>
      </c>
      <c r="AY673" s="215" t="s">
        <v>380</v>
      </c>
    </row>
    <row r="674" spans="1:65" s="2" customFormat="1" ht="16.5" customHeight="1">
      <c r="A674" s="36"/>
      <c r="B674" s="37"/>
      <c r="C674" s="181" t="s">
        <v>1039</v>
      </c>
      <c r="D674" s="181" t="s">
        <v>382</v>
      </c>
      <c r="E674" s="182" t="s">
        <v>1040</v>
      </c>
      <c r="F674" s="183" t="s">
        <v>1041</v>
      </c>
      <c r="G674" s="184" t="s">
        <v>641</v>
      </c>
      <c r="H674" s="185">
        <v>16</v>
      </c>
      <c r="I674" s="186"/>
      <c r="J674" s="187">
        <f>ROUND(I674*H674,2)</f>
        <v>0</v>
      </c>
      <c r="K674" s="183" t="s">
        <v>19</v>
      </c>
      <c r="L674" s="41"/>
      <c r="M674" s="188" t="s">
        <v>19</v>
      </c>
      <c r="N674" s="189" t="s">
        <v>43</v>
      </c>
      <c r="O674" s="66"/>
      <c r="P674" s="190">
        <f>O674*H674</f>
        <v>0</v>
      </c>
      <c r="Q674" s="190">
        <v>0</v>
      </c>
      <c r="R674" s="190">
        <f>Q674*H674</f>
        <v>0</v>
      </c>
      <c r="S674" s="190">
        <v>0</v>
      </c>
      <c r="T674" s="191">
        <f>S674*H674</f>
        <v>0</v>
      </c>
      <c r="U674" s="36"/>
      <c r="V674" s="36"/>
      <c r="W674" s="36"/>
      <c r="X674" s="36"/>
      <c r="Y674" s="36"/>
      <c r="Z674" s="36"/>
      <c r="AA674" s="36"/>
      <c r="AB674" s="36"/>
      <c r="AC674" s="36"/>
      <c r="AD674" s="36"/>
      <c r="AE674" s="36"/>
      <c r="AR674" s="192" t="s">
        <v>386</v>
      </c>
      <c r="AT674" s="192" t="s">
        <v>382</v>
      </c>
      <c r="AU674" s="192" t="s">
        <v>82</v>
      </c>
      <c r="AY674" s="19" t="s">
        <v>380</v>
      </c>
      <c r="BE674" s="193">
        <f>IF(N674="základní",J674,0)</f>
        <v>0</v>
      </c>
      <c r="BF674" s="193">
        <f>IF(N674="snížená",J674,0)</f>
        <v>0</v>
      </c>
      <c r="BG674" s="193">
        <f>IF(N674="zákl. přenesená",J674,0)</f>
        <v>0</v>
      </c>
      <c r="BH674" s="193">
        <f>IF(N674="sníž. přenesená",J674,0)</f>
        <v>0</v>
      </c>
      <c r="BI674" s="193">
        <f>IF(N674="nulová",J674,0)</f>
        <v>0</v>
      </c>
      <c r="BJ674" s="19" t="s">
        <v>79</v>
      </c>
      <c r="BK674" s="193">
        <f>ROUND(I674*H674,2)</f>
        <v>0</v>
      </c>
      <c r="BL674" s="19" t="s">
        <v>386</v>
      </c>
      <c r="BM674" s="192" t="s">
        <v>1042</v>
      </c>
    </row>
    <row r="675" spans="1:65" s="14" customFormat="1" ht="11.25">
      <c r="B675" s="205"/>
      <c r="C675" s="206"/>
      <c r="D675" s="196" t="s">
        <v>388</v>
      </c>
      <c r="E675" s="207" t="s">
        <v>19</v>
      </c>
      <c r="F675" s="208" t="s">
        <v>1028</v>
      </c>
      <c r="G675" s="206"/>
      <c r="H675" s="209">
        <v>16</v>
      </c>
      <c r="I675" s="210"/>
      <c r="J675" s="206"/>
      <c r="K675" s="206"/>
      <c r="L675" s="211"/>
      <c r="M675" s="212"/>
      <c r="N675" s="213"/>
      <c r="O675" s="213"/>
      <c r="P675" s="213"/>
      <c r="Q675" s="213"/>
      <c r="R675" s="213"/>
      <c r="S675" s="213"/>
      <c r="T675" s="214"/>
      <c r="AT675" s="215" t="s">
        <v>388</v>
      </c>
      <c r="AU675" s="215" t="s">
        <v>82</v>
      </c>
      <c r="AV675" s="14" t="s">
        <v>82</v>
      </c>
      <c r="AW675" s="14" t="s">
        <v>33</v>
      </c>
      <c r="AX675" s="14" t="s">
        <v>79</v>
      </c>
      <c r="AY675" s="215" t="s">
        <v>380</v>
      </c>
    </row>
    <row r="676" spans="1:65" s="2" customFormat="1" ht="16.5" customHeight="1">
      <c r="A676" s="36"/>
      <c r="B676" s="37"/>
      <c r="C676" s="181" t="s">
        <v>1043</v>
      </c>
      <c r="D676" s="181" t="s">
        <v>382</v>
      </c>
      <c r="E676" s="182" t="s">
        <v>1044</v>
      </c>
      <c r="F676" s="183" t="s">
        <v>1045</v>
      </c>
      <c r="G676" s="184" t="s">
        <v>641</v>
      </c>
      <c r="H676" s="185">
        <v>21</v>
      </c>
      <c r="I676" s="186"/>
      <c r="J676" s="187">
        <f>ROUND(I676*H676,2)</f>
        <v>0</v>
      </c>
      <c r="K676" s="183" t="s">
        <v>19</v>
      </c>
      <c r="L676" s="41"/>
      <c r="M676" s="188" t="s">
        <v>19</v>
      </c>
      <c r="N676" s="189" t="s">
        <v>43</v>
      </c>
      <c r="O676" s="66"/>
      <c r="P676" s="190">
        <f>O676*H676</f>
        <v>0</v>
      </c>
      <c r="Q676" s="190">
        <v>0</v>
      </c>
      <c r="R676" s="190">
        <f>Q676*H676</f>
        <v>0</v>
      </c>
      <c r="S676" s="190">
        <v>0</v>
      </c>
      <c r="T676" s="191">
        <f>S676*H676</f>
        <v>0</v>
      </c>
      <c r="U676" s="36"/>
      <c r="V676" s="36"/>
      <c r="W676" s="36"/>
      <c r="X676" s="36"/>
      <c r="Y676" s="36"/>
      <c r="Z676" s="36"/>
      <c r="AA676" s="36"/>
      <c r="AB676" s="36"/>
      <c r="AC676" s="36"/>
      <c r="AD676" s="36"/>
      <c r="AE676" s="36"/>
      <c r="AR676" s="192" t="s">
        <v>386</v>
      </c>
      <c r="AT676" s="192" t="s">
        <v>382</v>
      </c>
      <c r="AU676" s="192" t="s">
        <v>82</v>
      </c>
      <c r="AY676" s="19" t="s">
        <v>380</v>
      </c>
      <c r="BE676" s="193">
        <f>IF(N676="základní",J676,0)</f>
        <v>0</v>
      </c>
      <c r="BF676" s="193">
        <f>IF(N676="snížená",J676,0)</f>
        <v>0</v>
      </c>
      <c r="BG676" s="193">
        <f>IF(N676="zákl. přenesená",J676,0)</f>
        <v>0</v>
      </c>
      <c r="BH676" s="193">
        <f>IF(N676="sníž. přenesená",J676,0)</f>
        <v>0</v>
      </c>
      <c r="BI676" s="193">
        <f>IF(N676="nulová",J676,0)</f>
        <v>0</v>
      </c>
      <c r="BJ676" s="19" t="s">
        <v>79</v>
      </c>
      <c r="BK676" s="193">
        <f>ROUND(I676*H676,2)</f>
        <v>0</v>
      </c>
      <c r="BL676" s="19" t="s">
        <v>386</v>
      </c>
      <c r="BM676" s="192" t="s">
        <v>1046</v>
      </c>
    </row>
    <row r="677" spans="1:65" s="14" customFormat="1" ht="11.25">
      <c r="B677" s="205"/>
      <c r="C677" s="206"/>
      <c r="D677" s="196" t="s">
        <v>388</v>
      </c>
      <c r="E677" s="207" t="s">
        <v>19</v>
      </c>
      <c r="F677" s="208" t="s">
        <v>1047</v>
      </c>
      <c r="G677" s="206"/>
      <c r="H677" s="209">
        <v>21</v>
      </c>
      <c r="I677" s="210"/>
      <c r="J677" s="206"/>
      <c r="K677" s="206"/>
      <c r="L677" s="211"/>
      <c r="M677" s="212"/>
      <c r="N677" s="213"/>
      <c r="O677" s="213"/>
      <c r="P677" s="213"/>
      <c r="Q677" s="213"/>
      <c r="R677" s="213"/>
      <c r="S677" s="213"/>
      <c r="T677" s="214"/>
      <c r="AT677" s="215" t="s">
        <v>388</v>
      </c>
      <c r="AU677" s="215" t="s">
        <v>82</v>
      </c>
      <c r="AV677" s="14" t="s">
        <v>82</v>
      </c>
      <c r="AW677" s="14" t="s">
        <v>33</v>
      </c>
      <c r="AX677" s="14" t="s">
        <v>79</v>
      </c>
      <c r="AY677" s="215" t="s">
        <v>380</v>
      </c>
    </row>
    <row r="678" spans="1:65" s="12" customFormat="1" ht="22.9" customHeight="1">
      <c r="B678" s="165"/>
      <c r="C678" s="166"/>
      <c r="D678" s="167" t="s">
        <v>71</v>
      </c>
      <c r="E678" s="179" t="s">
        <v>411</v>
      </c>
      <c r="F678" s="179" t="s">
        <v>1048</v>
      </c>
      <c r="G678" s="166"/>
      <c r="H678" s="166"/>
      <c r="I678" s="169"/>
      <c r="J678" s="180">
        <f>BK678</f>
        <v>0</v>
      </c>
      <c r="K678" s="166"/>
      <c r="L678" s="171"/>
      <c r="M678" s="172"/>
      <c r="N678" s="173"/>
      <c r="O678" s="173"/>
      <c r="P678" s="174">
        <f>SUM(P679:P861)</f>
        <v>0</v>
      </c>
      <c r="Q678" s="173"/>
      <c r="R678" s="174">
        <f>SUM(R679:R861)</f>
        <v>1642.2034611899999</v>
      </c>
      <c r="S678" s="173"/>
      <c r="T678" s="175">
        <f>SUM(T679:T861)</f>
        <v>0</v>
      </c>
      <c r="AR678" s="176" t="s">
        <v>79</v>
      </c>
      <c r="AT678" s="177" t="s">
        <v>71</v>
      </c>
      <c r="AU678" s="177" t="s">
        <v>79</v>
      </c>
      <c r="AY678" s="176" t="s">
        <v>380</v>
      </c>
      <c r="BK678" s="178">
        <f>SUM(BK679:BK861)</f>
        <v>0</v>
      </c>
    </row>
    <row r="679" spans="1:65" s="2" customFormat="1" ht="21.75" customHeight="1">
      <c r="A679" s="36"/>
      <c r="B679" s="37"/>
      <c r="C679" s="181" t="s">
        <v>1049</v>
      </c>
      <c r="D679" s="181" t="s">
        <v>382</v>
      </c>
      <c r="E679" s="182" t="s">
        <v>1050</v>
      </c>
      <c r="F679" s="183" t="s">
        <v>1051</v>
      </c>
      <c r="G679" s="184" t="s">
        <v>398</v>
      </c>
      <c r="H679" s="185">
        <v>297.2</v>
      </c>
      <c r="I679" s="186"/>
      <c r="J679" s="187">
        <f>ROUND(I679*H679,2)</f>
        <v>0</v>
      </c>
      <c r="K679" s="183" t="s">
        <v>399</v>
      </c>
      <c r="L679" s="41"/>
      <c r="M679" s="188" t="s">
        <v>19</v>
      </c>
      <c r="N679" s="189" t="s">
        <v>43</v>
      </c>
      <c r="O679" s="66"/>
      <c r="P679" s="190">
        <f>O679*H679</f>
        <v>0</v>
      </c>
      <c r="Q679" s="190">
        <v>2.63E-4</v>
      </c>
      <c r="R679" s="190">
        <f>Q679*H679</f>
        <v>7.81636E-2</v>
      </c>
      <c r="S679" s="190">
        <v>0</v>
      </c>
      <c r="T679" s="191">
        <f>S679*H679</f>
        <v>0</v>
      </c>
      <c r="U679" s="36"/>
      <c r="V679" s="36"/>
      <c r="W679" s="36"/>
      <c r="X679" s="36"/>
      <c r="Y679" s="36"/>
      <c r="Z679" s="36"/>
      <c r="AA679" s="36"/>
      <c r="AB679" s="36"/>
      <c r="AC679" s="36"/>
      <c r="AD679" s="36"/>
      <c r="AE679" s="36"/>
      <c r="AR679" s="192" t="s">
        <v>386</v>
      </c>
      <c r="AT679" s="192" t="s">
        <v>382</v>
      </c>
      <c r="AU679" s="192" t="s">
        <v>82</v>
      </c>
      <c r="AY679" s="19" t="s">
        <v>380</v>
      </c>
      <c r="BE679" s="193">
        <f>IF(N679="základní",J679,0)</f>
        <v>0</v>
      </c>
      <c r="BF679" s="193">
        <f>IF(N679="snížená",J679,0)</f>
        <v>0</v>
      </c>
      <c r="BG679" s="193">
        <f>IF(N679="zákl. přenesená",J679,0)</f>
        <v>0</v>
      </c>
      <c r="BH679" s="193">
        <f>IF(N679="sníž. přenesená",J679,0)</f>
        <v>0</v>
      </c>
      <c r="BI679" s="193">
        <f>IF(N679="nulová",J679,0)</f>
        <v>0</v>
      </c>
      <c r="BJ679" s="19" t="s">
        <v>79</v>
      </c>
      <c r="BK679" s="193">
        <f>ROUND(I679*H679,2)</f>
        <v>0</v>
      </c>
      <c r="BL679" s="19" t="s">
        <v>386</v>
      </c>
      <c r="BM679" s="192" t="s">
        <v>1052</v>
      </c>
    </row>
    <row r="680" spans="1:65" s="14" customFormat="1" ht="11.25">
      <c r="B680" s="205"/>
      <c r="C680" s="206"/>
      <c r="D680" s="196" t="s">
        <v>388</v>
      </c>
      <c r="E680" s="207" t="s">
        <v>19</v>
      </c>
      <c r="F680" s="208" t="s">
        <v>1053</v>
      </c>
      <c r="G680" s="206"/>
      <c r="H680" s="209">
        <v>297.2</v>
      </c>
      <c r="I680" s="210"/>
      <c r="J680" s="206"/>
      <c r="K680" s="206"/>
      <c r="L680" s="211"/>
      <c r="M680" s="212"/>
      <c r="N680" s="213"/>
      <c r="O680" s="213"/>
      <c r="P680" s="213"/>
      <c r="Q680" s="213"/>
      <c r="R680" s="213"/>
      <c r="S680" s="213"/>
      <c r="T680" s="214"/>
      <c r="AT680" s="215" t="s">
        <v>388</v>
      </c>
      <c r="AU680" s="215" t="s">
        <v>82</v>
      </c>
      <c r="AV680" s="14" t="s">
        <v>82</v>
      </c>
      <c r="AW680" s="14" t="s">
        <v>33</v>
      </c>
      <c r="AX680" s="14" t="s">
        <v>79</v>
      </c>
      <c r="AY680" s="215" t="s">
        <v>380</v>
      </c>
    </row>
    <row r="681" spans="1:65" s="2" customFormat="1" ht="24.2" customHeight="1">
      <c r="A681" s="36"/>
      <c r="B681" s="37"/>
      <c r="C681" s="181" t="s">
        <v>1054</v>
      </c>
      <c r="D681" s="181" t="s">
        <v>382</v>
      </c>
      <c r="E681" s="182" t="s">
        <v>1055</v>
      </c>
      <c r="F681" s="183" t="s">
        <v>1056</v>
      </c>
      <c r="G681" s="184" t="s">
        <v>398</v>
      </c>
      <c r="H681" s="185">
        <v>14.7</v>
      </c>
      <c r="I681" s="186"/>
      <c r="J681" s="187">
        <f>ROUND(I681*H681,2)</f>
        <v>0</v>
      </c>
      <c r="K681" s="183" t="s">
        <v>399</v>
      </c>
      <c r="L681" s="41"/>
      <c r="M681" s="188" t="s">
        <v>19</v>
      </c>
      <c r="N681" s="189" t="s">
        <v>43</v>
      </c>
      <c r="O681" s="66"/>
      <c r="P681" s="190">
        <f>O681*H681</f>
        <v>0</v>
      </c>
      <c r="Q681" s="190">
        <v>3.9053999999999998E-3</v>
      </c>
      <c r="R681" s="190">
        <f>Q681*H681</f>
        <v>5.7409379999999996E-2</v>
      </c>
      <c r="S681" s="190">
        <v>0</v>
      </c>
      <c r="T681" s="191">
        <f>S681*H681</f>
        <v>0</v>
      </c>
      <c r="U681" s="36"/>
      <c r="V681" s="36"/>
      <c r="W681" s="36"/>
      <c r="X681" s="36"/>
      <c r="Y681" s="36"/>
      <c r="Z681" s="36"/>
      <c r="AA681" s="36"/>
      <c r="AB681" s="36"/>
      <c r="AC681" s="36"/>
      <c r="AD681" s="36"/>
      <c r="AE681" s="36"/>
      <c r="AR681" s="192" t="s">
        <v>386</v>
      </c>
      <c r="AT681" s="192" t="s">
        <v>382</v>
      </c>
      <c r="AU681" s="192" t="s">
        <v>82</v>
      </c>
      <c r="AY681" s="19" t="s">
        <v>380</v>
      </c>
      <c r="BE681" s="193">
        <f>IF(N681="základní",J681,0)</f>
        <v>0</v>
      </c>
      <c r="BF681" s="193">
        <f>IF(N681="snížená",J681,0)</f>
        <v>0</v>
      </c>
      <c r="BG681" s="193">
        <f>IF(N681="zákl. přenesená",J681,0)</f>
        <v>0</v>
      </c>
      <c r="BH681" s="193">
        <f>IF(N681="sníž. přenesená",J681,0)</f>
        <v>0</v>
      </c>
      <c r="BI681" s="193">
        <f>IF(N681="nulová",J681,0)</f>
        <v>0</v>
      </c>
      <c r="BJ681" s="19" t="s">
        <v>79</v>
      </c>
      <c r="BK681" s="193">
        <f>ROUND(I681*H681,2)</f>
        <v>0</v>
      </c>
      <c r="BL681" s="19" t="s">
        <v>386</v>
      </c>
      <c r="BM681" s="192" t="s">
        <v>1057</v>
      </c>
    </row>
    <row r="682" spans="1:65" s="13" customFormat="1" ht="11.25">
      <c r="B682" s="194"/>
      <c r="C682" s="195"/>
      <c r="D682" s="196" t="s">
        <v>388</v>
      </c>
      <c r="E682" s="197" t="s">
        <v>19</v>
      </c>
      <c r="F682" s="198" t="s">
        <v>1058</v>
      </c>
      <c r="G682" s="195"/>
      <c r="H682" s="197" t="s">
        <v>19</v>
      </c>
      <c r="I682" s="199"/>
      <c r="J682" s="195"/>
      <c r="K682" s="195"/>
      <c r="L682" s="200"/>
      <c r="M682" s="201"/>
      <c r="N682" s="202"/>
      <c r="O682" s="202"/>
      <c r="P682" s="202"/>
      <c r="Q682" s="202"/>
      <c r="R682" s="202"/>
      <c r="S682" s="202"/>
      <c r="T682" s="203"/>
      <c r="AT682" s="204" t="s">
        <v>388</v>
      </c>
      <c r="AU682" s="204" t="s">
        <v>82</v>
      </c>
      <c r="AV682" s="13" t="s">
        <v>79</v>
      </c>
      <c r="AW682" s="13" t="s">
        <v>33</v>
      </c>
      <c r="AX682" s="13" t="s">
        <v>72</v>
      </c>
      <c r="AY682" s="204" t="s">
        <v>380</v>
      </c>
    </row>
    <row r="683" spans="1:65" s="14" customFormat="1" ht="11.25">
      <c r="B683" s="205"/>
      <c r="C683" s="206"/>
      <c r="D683" s="196" t="s">
        <v>388</v>
      </c>
      <c r="E683" s="207" t="s">
        <v>19</v>
      </c>
      <c r="F683" s="208" t="s">
        <v>324</v>
      </c>
      <c r="G683" s="206"/>
      <c r="H683" s="209">
        <v>14.7</v>
      </c>
      <c r="I683" s="210"/>
      <c r="J683" s="206"/>
      <c r="K683" s="206"/>
      <c r="L683" s="211"/>
      <c r="M683" s="212"/>
      <c r="N683" s="213"/>
      <c r="O683" s="213"/>
      <c r="P683" s="213"/>
      <c r="Q683" s="213"/>
      <c r="R683" s="213"/>
      <c r="S683" s="213"/>
      <c r="T683" s="214"/>
      <c r="AT683" s="215" t="s">
        <v>388</v>
      </c>
      <c r="AU683" s="215" t="s">
        <v>82</v>
      </c>
      <c r="AV683" s="14" t="s">
        <v>82</v>
      </c>
      <c r="AW683" s="14" t="s">
        <v>33</v>
      </c>
      <c r="AX683" s="14" t="s">
        <v>72</v>
      </c>
      <c r="AY683" s="215" t="s">
        <v>380</v>
      </c>
    </row>
    <row r="684" spans="1:65" s="16" customFormat="1" ht="11.25">
      <c r="B684" s="237"/>
      <c r="C684" s="238"/>
      <c r="D684" s="196" t="s">
        <v>388</v>
      </c>
      <c r="E684" s="239" t="s">
        <v>322</v>
      </c>
      <c r="F684" s="240" t="s">
        <v>572</v>
      </c>
      <c r="G684" s="238"/>
      <c r="H684" s="241">
        <v>14.7</v>
      </c>
      <c r="I684" s="242"/>
      <c r="J684" s="238"/>
      <c r="K684" s="238"/>
      <c r="L684" s="243"/>
      <c r="M684" s="244"/>
      <c r="N684" s="245"/>
      <c r="O684" s="245"/>
      <c r="P684" s="245"/>
      <c r="Q684" s="245"/>
      <c r="R684" s="245"/>
      <c r="S684" s="245"/>
      <c r="T684" s="246"/>
      <c r="AT684" s="247" t="s">
        <v>388</v>
      </c>
      <c r="AU684" s="247" t="s">
        <v>82</v>
      </c>
      <c r="AV684" s="16" t="s">
        <v>99</v>
      </c>
      <c r="AW684" s="16" t="s">
        <v>33</v>
      </c>
      <c r="AX684" s="16" t="s">
        <v>72</v>
      </c>
      <c r="AY684" s="247" t="s">
        <v>380</v>
      </c>
    </row>
    <row r="685" spans="1:65" s="15" customFormat="1" ht="11.25">
      <c r="B685" s="216"/>
      <c r="C685" s="217"/>
      <c r="D685" s="196" t="s">
        <v>388</v>
      </c>
      <c r="E685" s="218" t="s">
        <v>19</v>
      </c>
      <c r="F685" s="219" t="s">
        <v>419</v>
      </c>
      <c r="G685" s="217"/>
      <c r="H685" s="220">
        <v>14.7</v>
      </c>
      <c r="I685" s="221"/>
      <c r="J685" s="217"/>
      <c r="K685" s="217"/>
      <c r="L685" s="222"/>
      <c r="M685" s="223"/>
      <c r="N685" s="224"/>
      <c r="O685" s="224"/>
      <c r="P685" s="224"/>
      <c r="Q685" s="224"/>
      <c r="R685" s="224"/>
      <c r="S685" s="224"/>
      <c r="T685" s="225"/>
      <c r="AT685" s="226" t="s">
        <v>388</v>
      </c>
      <c r="AU685" s="226" t="s">
        <v>82</v>
      </c>
      <c r="AV685" s="15" t="s">
        <v>386</v>
      </c>
      <c r="AW685" s="15" t="s">
        <v>33</v>
      </c>
      <c r="AX685" s="15" t="s">
        <v>79</v>
      </c>
      <c r="AY685" s="226" t="s">
        <v>380</v>
      </c>
    </row>
    <row r="686" spans="1:65" s="2" customFormat="1" ht="16.5" customHeight="1">
      <c r="A686" s="36"/>
      <c r="B686" s="37"/>
      <c r="C686" s="181" t="s">
        <v>1059</v>
      </c>
      <c r="D686" s="181" t="s">
        <v>382</v>
      </c>
      <c r="E686" s="182" t="s">
        <v>1060</v>
      </c>
      <c r="F686" s="183" t="s">
        <v>1061</v>
      </c>
      <c r="G686" s="184" t="s">
        <v>398</v>
      </c>
      <c r="H686" s="185">
        <v>29.4</v>
      </c>
      <c r="I686" s="186"/>
      <c r="J686" s="187">
        <f>ROUND(I686*H686,2)</f>
        <v>0</v>
      </c>
      <c r="K686" s="183" t="s">
        <v>399</v>
      </c>
      <c r="L686" s="41"/>
      <c r="M686" s="188" t="s">
        <v>19</v>
      </c>
      <c r="N686" s="189" t="s">
        <v>43</v>
      </c>
      <c r="O686" s="66"/>
      <c r="P686" s="190">
        <f>O686*H686</f>
        <v>0</v>
      </c>
      <c r="Q686" s="190">
        <v>1.2999999999999999E-3</v>
      </c>
      <c r="R686" s="190">
        <f>Q686*H686</f>
        <v>3.8219999999999997E-2</v>
      </c>
      <c r="S686" s="190">
        <v>0</v>
      </c>
      <c r="T686" s="191">
        <f>S686*H686</f>
        <v>0</v>
      </c>
      <c r="U686" s="36"/>
      <c r="V686" s="36"/>
      <c r="W686" s="36"/>
      <c r="X686" s="36"/>
      <c r="Y686" s="36"/>
      <c r="Z686" s="36"/>
      <c r="AA686" s="36"/>
      <c r="AB686" s="36"/>
      <c r="AC686" s="36"/>
      <c r="AD686" s="36"/>
      <c r="AE686" s="36"/>
      <c r="AR686" s="192" t="s">
        <v>386</v>
      </c>
      <c r="AT686" s="192" t="s">
        <v>382</v>
      </c>
      <c r="AU686" s="192" t="s">
        <v>82</v>
      </c>
      <c r="AY686" s="19" t="s">
        <v>380</v>
      </c>
      <c r="BE686" s="193">
        <f>IF(N686="základní",J686,0)</f>
        <v>0</v>
      </c>
      <c r="BF686" s="193">
        <f>IF(N686="snížená",J686,0)</f>
        <v>0</v>
      </c>
      <c r="BG686" s="193">
        <f>IF(N686="zákl. přenesená",J686,0)</f>
        <v>0</v>
      </c>
      <c r="BH686" s="193">
        <f>IF(N686="sníž. přenesená",J686,0)</f>
        <v>0</v>
      </c>
      <c r="BI686" s="193">
        <f>IF(N686="nulová",J686,0)</f>
        <v>0</v>
      </c>
      <c r="BJ686" s="19" t="s">
        <v>79</v>
      </c>
      <c r="BK686" s="193">
        <f>ROUND(I686*H686,2)</f>
        <v>0</v>
      </c>
      <c r="BL686" s="19" t="s">
        <v>386</v>
      </c>
      <c r="BM686" s="192" t="s">
        <v>1062</v>
      </c>
    </row>
    <row r="687" spans="1:65" s="14" customFormat="1" ht="11.25">
      <c r="B687" s="205"/>
      <c r="C687" s="206"/>
      <c r="D687" s="196" t="s">
        <v>388</v>
      </c>
      <c r="E687" s="207" t="s">
        <v>19</v>
      </c>
      <c r="F687" s="208" t="s">
        <v>1063</v>
      </c>
      <c r="G687" s="206"/>
      <c r="H687" s="209">
        <v>29.4</v>
      </c>
      <c r="I687" s="210"/>
      <c r="J687" s="206"/>
      <c r="K687" s="206"/>
      <c r="L687" s="211"/>
      <c r="M687" s="212"/>
      <c r="N687" s="213"/>
      <c r="O687" s="213"/>
      <c r="P687" s="213"/>
      <c r="Q687" s="213"/>
      <c r="R687" s="213"/>
      <c r="S687" s="213"/>
      <c r="T687" s="214"/>
      <c r="AT687" s="215" t="s">
        <v>388</v>
      </c>
      <c r="AU687" s="215" t="s">
        <v>82</v>
      </c>
      <c r="AV687" s="14" t="s">
        <v>82</v>
      </c>
      <c r="AW687" s="14" t="s">
        <v>33</v>
      </c>
      <c r="AX687" s="14" t="s">
        <v>79</v>
      </c>
      <c r="AY687" s="215" t="s">
        <v>380</v>
      </c>
    </row>
    <row r="688" spans="1:65" s="2" customFormat="1" ht="24.2" customHeight="1">
      <c r="A688" s="36"/>
      <c r="B688" s="37"/>
      <c r="C688" s="181" t="s">
        <v>1064</v>
      </c>
      <c r="D688" s="181" t="s">
        <v>382</v>
      </c>
      <c r="E688" s="182" t="s">
        <v>1065</v>
      </c>
      <c r="F688" s="183" t="s">
        <v>1066</v>
      </c>
      <c r="G688" s="184" t="s">
        <v>398</v>
      </c>
      <c r="H688" s="185">
        <v>282.5</v>
      </c>
      <c r="I688" s="186"/>
      <c r="J688" s="187">
        <f>ROUND(I688*H688,2)</f>
        <v>0</v>
      </c>
      <c r="K688" s="183" t="s">
        <v>399</v>
      </c>
      <c r="L688" s="41"/>
      <c r="M688" s="188" t="s">
        <v>19</v>
      </c>
      <c r="N688" s="189" t="s">
        <v>43</v>
      </c>
      <c r="O688" s="66"/>
      <c r="P688" s="190">
        <f>O688*H688</f>
        <v>0</v>
      </c>
      <c r="Q688" s="190">
        <v>1.103E-2</v>
      </c>
      <c r="R688" s="190">
        <f>Q688*H688</f>
        <v>3.1159750000000002</v>
      </c>
      <c r="S688" s="190">
        <v>0</v>
      </c>
      <c r="T688" s="191">
        <f>S688*H688</f>
        <v>0</v>
      </c>
      <c r="U688" s="36"/>
      <c r="V688" s="36"/>
      <c r="W688" s="36"/>
      <c r="X688" s="36"/>
      <c r="Y688" s="36"/>
      <c r="Z688" s="36"/>
      <c r="AA688" s="36"/>
      <c r="AB688" s="36"/>
      <c r="AC688" s="36"/>
      <c r="AD688" s="36"/>
      <c r="AE688" s="36"/>
      <c r="AR688" s="192" t="s">
        <v>386</v>
      </c>
      <c r="AT688" s="192" t="s">
        <v>382</v>
      </c>
      <c r="AU688" s="192" t="s">
        <v>82</v>
      </c>
      <c r="AY688" s="19" t="s">
        <v>380</v>
      </c>
      <c r="BE688" s="193">
        <f>IF(N688="základní",J688,0)</f>
        <v>0</v>
      </c>
      <c r="BF688" s="193">
        <f>IF(N688="snížená",J688,0)</f>
        <v>0</v>
      </c>
      <c r="BG688" s="193">
        <f>IF(N688="zákl. přenesená",J688,0)</f>
        <v>0</v>
      </c>
      <c r="BH688" s="193">
        <f>IF(N688="sníž. přenesená",J688,0)</f>
        <v>0</v>
      </c>
      <c r="BI688" s="193">
        <f>IF(N688="nulová",J688,0)</f>
        <v>0</v>
      </c>
      <c r="BJ688" s="19" t="s">
        <v>79</v>
      </c>
      <c r="BK688" s="193">
        <f>ROUND(I688*H688,2)</f>
        <v>0</v>
      </c>
      <c r="BL688" s="19" t="s">
        <v>386</v>
      </c>
      <c r="BM688" s="192" t="s">
        <v>1067</v>
      </c>
    </row>
    <row r="689" spans="1:65" s="13" customFormat="1" ht="11.25">
      <c r="B689" s="194"/>
      <c r="C689" s="195"/>
      <c r="D689" s="196" t="s">
        <v>388</v>
      </c>
      <c r="E689" s="197" t="s">
        <v>19</v>
      </c>
      <c r="F689" s="198" t="s">
        <v>1058</v>
      </c>
      <c r="G689" s="195"/>
      <c r="H689" s="197" t="s">
        <v>19</v>
      </c>
      <c r="I689" s="199"/>
      <c r="J689" s="195"/>
      <c r="K689" s="195"/>
      <c r="L689" s="200"/>
      <c r="M689" s="201"/>
      <c r="N689" s="202"/>
      <c r="O689" s="202"/>
      <c r="P689" s="202"/>
      <c r="Q689" s="202"/>
      <c r="R689" s="202"/>
      <c r="S689" s="202"/>
      <c r="T689" s="203"/>
      <c r="AT689" s="204" t="s">
        <v>388</v>
      </c>
      <c r="AU689" s="204" t="s">
        <v>82</v>
      </c>
      <c r="AV689" s="13" t="s">
        <v>79</v>
      </c>
      <c r="AW689" s="13" t="s">
        <v>33</v>
      </c>
      <c r="AX689" s="13" t="s">
        <v>72</v>
      </c>
      <c r="AY689" s="204" t="s">
        <v>380</v>
      </c>
    </row>
    <row r="690" spans="1:65" s="14" customFormat="1" ht="11.25">
      <c r="B690" s="205"/>
      <c r="C690" s="206"/>
      <c r="D690" s="196" t="s">
        <v>388</v>
      </c>
      <c r="E690" s="207" t="s">
        <v>19</v>
      </c>
      <c r="F690" s="208" t="s">
        <v>307</v>
      </c>
      <c r="G690" s="206"/>
      <c r="H690" s="209">
        <v>282.5</v>
      </c>
      <c r="I690" s="210"/>
      <c r="J690" s="206"/>
      <c r="K690" s="206"/>
      <c r="L690" s="211"/>
      <c r="M690" s="212"/>
      <c r="N690" s="213"/>
      <c r="O690" s="213"/>
      <c r="P690" s="213"/>
      <c r="Q690" s="213"/>
      <c r="R690" s="213"/>
      <c r="S690" s="213"/>
      <c r="T690" s="214"/>
      <c r="AT690" s="215" t="s">
        <v>388</v>
      </c>
      <c r="AU690" s="215" t="s">
        <v>82</v>
      </c>
      <c r="AV690" s="14" t="s">
        <v>82</v>
      </c>
      <c r="AW690" s="14" t="s">
        <v>33</v>
      </c>
      <c r="AX690" s="14" t="s">
        <v>72</v>
      </c>
      <c r="AY690" s="215" t="s">
        <v>380</v>
      </c>
    </row>
    <row r="691" spans="1:65" s="16" customFormat="1" ht="11.25">
      <c r="B691" s="237"/>
      <c r="C691" s="238"/>
      <c r="D691" s="196" t="s">
        <v>388</v>
      </c>
      <c r="E691" s="239" t="s">
        <v>305</v>
      </c>
      <c r="F691" s="240" t="s">
        <v>572</v>
      </c>
      <c r="G691" s="238"/>
      <c r="H691" s="241">
        <v>282.5</v>
      </c>
      <c r="I691" s="242"/>
      <c r="J691" s="238"/>
      <c r="K691" s="238"/>
      <c r="L691" s="243"/>
      <c r="M691" s="244"/>
      <c r="N691" s="245"/>
      <c r="O691" s="245"/>
      <c r="P691" s="245"/>
      <c r="Q691" s="245"/>
      <c r="R691" s="245"/>
      <c r="S691" s="245"/>
      <c r="T691" s="246"/>
      <c r="AT691" s="247" t="s">
        <v>388</v>
      </c>
      <c r="AU691" s="247" t="s">
        <v>82</v>
      </c>
      <c r="AV691" s="16" t="s">
        <v>99</v>
      </c>
      <c r="AW691" s="16" t="s">
        <v>33</v>
      </c>
      <c r="AX691" s="16" t="s">
        <v>72</v>
      </c>
      <c r="AY691" s="247" t="s">
        <v>380</v>
      </c>
    </row>
    <row r="692" spans="1:65" s="15" customFormat="1" ht="11.25">
      <c r="B692" s="216"/>
      <c r="C692" s="217"/>
      <c r="D692" s="196" t="s">
        <v>388</v>
      </c>
      <c r="E692" s="218" t="s">
        <v>19</v>
      </c>
      <c r="F692" s="219" t="s">
        <v>419</v>
      </c>
      <c r="G692" s="217"/>
      <c r="H692" s="220">
        <v>282.5</v>
      </c>
      <c r="I692" s="221"/>
      <c r="J692" s="217"/>
      <c r="K692" s="217"/>
      <c r="L692" s="222"/>
      <c r="M692" s="223"/>
      <c r="N692" s="224"/>
      <c r="O692" s="224"/>
      <c r="P692" s="224"/>
      <c r="Q692" s="224"/>
      <c r="R692" s="224"/>
      <c r="S692" s="224"/>
      <c r="T692" s="225"/>
      <c r="AT692" s="226" t="s">
        <v>388</v>
      </c>
      <c r="AU692" s="226" t="s">
        <v>82</v>
      </c>
      <c r="AV692" s="15" t="s">
        <v>386</v>
      </c>
      <c r="AW692" s="15" t="s">
        <v>33</v>
      </c>
      <c r="AX692" s="15" t="s">
        <v>79</v>
      </c>
      <c r="AY692" s="226" t="s">
        <v>380</v>
      </c>
    </row>
    <row r="693" spans="1:65" s="2" customFormat="1" ht="24.2" customHeight="1">
      <c r="A693" s="36"/>
      <c r="B693" s="37"/>
      <c r="C693" s="181" t="s">
        <v>1068</v>
      </c>
      <c r="D693" s="181" t="s">
        <v>382</v>
      </c>
      <c r="E693" s="182" t="s">
        <v>1069</v>
      </c>
      <c r="F693" s="183" t="s">
        <v>1070</v>
      </c>
      <c r="G693" s="184" t="s">
        <v>398</v>
      </c>
      <c r="H693" s="185">
        <v>282.5</v>
      </c>
      <c r="I693" s="186"/>
      <c r="J693" s="187">
        <f>ROUND(I693*H693,2)</f>
        <v>0</v>
      </c>
      <c r="K693" s="183" t="s">
        <v>399</v>
      </c>
      <c r="L693" s="41"/>
      <c r="M693" s="188" t="s">
        <v>19</v>
      </c>
      <c r="N693" s="189" t="s">
        <v>43</v>
      </c>
      <c r="O693" s="66"/>
      <c r="P693" s="190">
        <f>O693*H693</f>
        <v>0</v>
      </c>
      <c r="Q693" s="190">
        <v>5.5199999999999997E-3</v>
      </c>
      <c r="R693" s="190">
        <f>Q693*H693</f>
        <v>1.5593999999999999</v>
      </c>
      <c r="S693" s="190">
        <v>0</v>
      </c>
      <c r="T693" s="191">
        <f>S693*H693</f>
        <v>0</v>
      </c>
      <c r="U693" s="36"/>
      <c r="V693" s="36"/>
      <c r="W693" s="36"/>
      <c r="X693" s="36"/>
      <c r="Y693" s="36"/>
      <c r="Z693" s="36"/>
      <c r="AA693" s="36"/>
      <c r="AB693" s="36"/>
      <c r="AC693" s="36"/>
      <c r="AD693" s="36"/>
      <c r="AE693" s="36"/>
      <c r="AR693" s="192" t="s">
        <v>386</v>
      </c>
      <c r="AT693" s="192" t="s">
        <v>382</v>
      </c>
      <c r="AU693" s="192" t="s">
        <v>82</v>
      </c>
      <c r="AY693" s="19" t="s">
        <v>380</v>
      </c>
      <c r="BE693" s="193">
        <f>IF(N693="základní",J693,0)</f>
        <v>0</v>
      </c>
      <c r="BF693" s="193">
        <f>IF(N693="snížená",J693,0)</f>
        <v>0</v>
      </c>
      <c r="BG693" s="193">
        <f>IF(N693="zákl. přenesená",J693,0)</f>
        <v>0</v>
      </c>
      <c r="BH693" s="193">
        <f>IF(N693="sníž. přenesená",J693,0)</f>
        <v>0</v>
      </c>
      <c r="BI693" s="193">
        <f>IF(N693="nulová",J693,0)</f>
        <v>0</v>
      </c>
      <c r="BJ693" s="19" t="s">
        <v>79</v>
      </c>
      <c r="BK693" s="193">
        <f>ROUND(I693*H693,2)</f>
        <v>0</v>
      </c>
      <c r="BL693" s="19" t="s">
        <v>386</v>
      </c>
      <c r="BM693" s="192" t="s">
        <v>1071</v>
      </c>
    </row>
    <row r="694" spans="1:65" s="14" customFormat="1" ht="11.25">
      <c r="B694" s="205"/>
      <c r="C694" s="206"/>
      <c r="D694" s="196" t="s">
        <v>388</v>
      </c>
      <c r="E694" s="207" t="s">
        <v>19</v>
      </c>
      <c r="F694" s="208" t="s">
        <v>305</v>
      </c>
      <c r="G694" s="206"/>
      <c r="H694" s="209">
        <v>282.5</v>
      </c>
      <c r="I694" s="210"/>
      <c r="J694" s="206"/>
      <c r="K694" s="206"/>
      <c r="L694" s="211"/>
      <c r="M694" s="212"/>
      <c r="N694" s="213"/>
      <c r="O694" s="213"/>
      <c r="P694" s="213"/>
      <c r="Q694" s="213"/>
      <c r="R694" s="213"/>
      <c r="S694" s="213"/>
      <c r="T694" s="214"/>
      <c r="AT694" s="215" t="s">
        <v>388</v>
      </c>
      <c r="AU694" s="215" t="s">
        <v>82</v>
      </c>
      <c r="AV694" s="14" t="s">
        <v>82</v>
      </c>
      <c r="AW694" s="14" t="s">
        <v>33</v>
      </c>
      <c r="AX694" s="14" t="s">
        <v>79</v>
      </c>
      <c r="AY694" s="215" t="s">
        <v>380</v>
      </c>
    </row>
    <row r="695" spans="1:65" s="2" customFormat="1" ht="24.2" customHeight="1">
      <c r="A695" s="36"/>
      <c r="B695" s="37"/>
      <c r="C695" s="181" t="s">
        <v>1072</v>
      </c>
      <c r="D695" s="181" t="s">
        <v>382</v>
      </c>
      <c r="E695" s="182" t="s">
        <v>1073</v>
      </c>
      <c r="F695" s="183" t="s">
        <v>1074</v>
      </c>
      <c r="G695" s="184" t="s">
        <v>398</v>
      </c>
      <c r="H695" s="185">
        <v>364.96</v>
      </c>
      <c r="I695" s="186"/>
      <c r="J695" s="187">
        <f>ROUND(I695*H695,2)</f>
        <v>0</v>
      </c>
      <c r="K695" s="183" t="s">
        <v>399</v>
      </c>
      <c r="L695" s="41"/>
      <c r="M695" s="188" t="s">
        <v>19</v>
      </c>
      <c r="N695" s="189" t="s">
        <v>43</v>
      </c>
      <c r="O695" s="66"/>
      <c r="P695" s="190">
        <f>O695*H695</f>
        <v>0</v>
      </c>
      <c r="Q695" s="190">
        <v>4.9399999999999999E-3</v>
      </c>
      <c r="R695" s="190">
        <f>Q695*H695</f>
        <v>1.8029023999999998</v>
      </c>
      <c r="S695" s="190">
        <v>0</v>
      </c>
      <c r="T695" s="191">
        <f>S695*H695</f>
        <v>0</v>
      </c>
      <c r="U695" s="36"/>
      <c r="V695" s="36"/>
      <c r="W695" s="36"/>
      <c r="X695" s="36"/>
      <c r="Y695" s="36"/>
      <c r="Z695" s="36"/>
      <c r="AA695" s="36"/>
      <c r="AB695" s="36"/>
      <c r="AC695" s="36"/>
      <c r="AD695" s="36"/>
      <c r="AE695" s="36"/>
      <c r="AR695" s="192" t="s">
        <v>386</v>
      </c>
      <c r="AT695" s="192" t="s">
        <v>382</v>
      </c>
      <c r="AU695" s="192" t="s">
        <v>82</v>
      </c>
      <c r="AY695" s="19" t="s">
        <v>380</v>
      </c>
      <c r="BE695" s="193">
        <f>IF(N695="základní",J695,0)</f>
        <v>0</v>
      </c>
      <c r="BF695" s="193">
        <f>IF(N695="snížená",J695,0)</f>
        <v>0</v>
      </c>
      <c r="BG695" s="193">
        <f>IF(N695="zákl. přenesená",J695,0)</f>
        <v>0</v>
      </c>
      <c r="BH695" s="193">
        <f>IF(N695="sníž. přenesená",J695,0)</f>
        <v>0</v>
      </c>
      <c r="BI695" s="193">
        <f>IF(N695="nulová",J695,0)</f>
        <v>0</v>
      </c>
      <c r="BJ695" s="19" t="s">
        <v>79</v>
      </c>
      <c r="BK695" s="193">
        <f>ROUND(I695*H695,2)</f>
        <v>0</v>
      </c>
      <c r="BL695" s="19" t="s">
        <v>386</v>
      </c>
      <c r="BM695" s="192" t="s">
        <v>1075</v>
      </c>
    </row>
    <row r="696" spans="1:65" s="14" customFormat="1" ht="11.25">
      <c r="B696" s="205"/>
      <c r="C696" s="206"/>
      <c r="D696" s="196" t="s">
        <v>388</v>
      </c>
      <c r="E696" s="207" t="s">
        <v>19</v>
      </c>
      <c r="F696" s="208" t="s">
        <v>1076</v>
      </c>
      <c r="G696" s="206"/>
      <c r="H696" s="209">
        <v>380.3</v>
      </c>
      <c r="I696" s="210"/>
      <c r="J696" s="206"/>
      <c r="K696" s="206"/>
      <c r="L696" s="211"/>
      <c r="M696" s="212"/>
      <c r="N696" s="213"/>
      <c r="O696" s="213"/>
      <c r="P696" s="213"/>
      <c r="Q696" s="213"/>
      <c r="R696" s="213"/>
      <c r="S696" s="213"/>
      <c r="T696" s="214"/>
      <c r="AT696" s="215" t="s">
        <v>388</v>
      </c>
      <c r="AU696" s="215" t="s">
        <v>82</v>
      </c>
      <c r="AV696" s="14" t="s">
        <v>82</v>
      </c>
      <c r="AW696" s="14" t="s">
        <v>33</v>
      </c>
      <c r="AX696" s="14" t="s">
        <v>72</v>
      </c>
      <c r="AY696" s="215" t="s">
        <v>380</v>
      </c>
    </row>
    <row r="697" spans="1:65" s="13" customFormat="1" ht="11.25">
      <c r="B697" s="194"/>
      <c r="C697" s="195"/>
      <c r="D697" s="196" t="s">
        <v>388</v>
      </c>
      <c r="E697" s="197" t="s">
        <v>19</v>
      </c>
      <c r="F697" s="198" t="s">
        <v>1077</v>
      </c>
      <c r="G697" s="195"/>
      <c r="H697" s="197" t="s">
        <v>19</v>
      </c>
      <c r="I697" s="199"/>
      <c r="J697" s="195"/>
      <c r="K697" s="195"/>
      <c r="L697" s="200"/>
      <c r="M697" s="201"/>
      <c r="N697" s="202"/>
      <c r="O697" s="202"/>
      <c r="P697" s="202"/>
      <c r="Q697" s="202"/>
      <c r="R697" s="202"/>
      <c r="S697" s="202"/>
      <c r="T697" s="203"/>
      <c r="AT697" s="204" t="s">
        <v>388</v>
      </c>
      <c r="AU697" s="204" t="s">
        <v>82</v>
      </c>
      <c r="AV697" s="13" t="s">
        <v>79</v>
      </c>
      <c r="AW697" s="13" t="s">
        <v>33</v>
      </c>
      <c r="AX697" s="13" t="s">
        <v>72</v>
      </c>
      <c r="AY697" s="204" t="s">
        <v>380</v>
      </c>
    </row>
    <row r="698" spans="1:65" s="14" customFormat="1" ht="11.25">
      <c r="B698" s="205"/>
      <c r="C698" s="206"/>
      <c r="D698" s="196" t="s">
        <v>388</v>
      </c>
      <c r="E698" s="207" t="s">
        <v>19</v>
      </c>
      <c r="F698" s="208" t="s">
        <v>1078</v>
      </c>
      <c r="G698" s="206"/>
      <c r="H698" s="209">
        <v>-15.34</v>
      </c>
      <c r="I698" s="210"/>
      <c r="J698" s="206"/>
      <c r="K698" s="206"/>
      <c r="L698" s="211"/>
      <c r="M698" s="212"/>
      <c r="N698" s="213"/>
      <c r="O698" s="213"/>
      <c r="P698" s="213"/>
      <c r="Q698" s="213"/>
      <c r="R698" s="213"/>
      <c r="S698" s="213"/>
      <c r="T698" s="214"/>
      <c r="AT698" s="215" t="s">
        <v>388</v>
      </c>
      <c r="AU698" s="215" t="s">
        <v>82</v>
      </c>
      <c r="AV698" s="14" t="s">
        <v>82</v>
      </c>
      <c r="AW698" s="14" t="s">
        <v>33</v>
      </c>
      <c r="AX698" s="14" t="s">
        <v>72</v>
      </c>
      <c r="AY698" s="215" t="s">
        <v>380</v>
      </c>
    </row>
    <row r="699" spans="1:65" s="15" customFormat="1" ht="11.25">
      <c r="B699" s="216"/>
      <c r="C699" s="217"/>
      <c r="D699" s="196" t="s">
        <v>388</v>
      </c>
      <c r="E699" s="218" t="s">
        <v>19</v>
      </c>
      <c r="F699" s="219" t="s">
        <v>419</v>
      </c>
      <c r="G699" s="217"/>
      <c r="H699" s="220">
        <v>364.96</v>
      </c>
      <c r="I699" s="221"/>
      <c r="J699" s="217"/>
      <c r="K699" s="217"/>
      <c r="L699" s="222"/>
      <c r="M699" s="223"/>
      <c r="N699" s="224"/>
      <c r="O699" s="224"/>
      <c r="P699" s="224"/>
      <c r="Q699" s="224"/>
      <c r="R699" s="224"/>
      <c r="S699" s="224"/>
      <c r="T699" s="225"/>
      <c r="AT699" s="226" t="s">
        <v>388</v>
      </c>
      <c r="AU699" s="226" t="s">
        <v>82</v>
      </c>
      <c r="AV699" s="15" t="s">
        <v>386</v>
      </c>
      <c r="AW699" s="15" t="s">
        <v>33</v>
      </c>
      <c r="AX699" s="15" t="s">
        <v>79</v>
      </c>
      <c r="AY699" s="226" t="s">
        <v>380</v>
      </c>
    </row>
    <row r="700" spans="1:65" s="2" customFormat="1" ht="24.2" customHeight="1">
      <c r="A700" s="36"/>
      <c r="B700" s="37"/>
      <c r="C700" s="181" t="s">
        <v>1079</v>
      </c>
      <c r="D700" s="181" t="s">
        <v>382</v>
      </c>
      <c r="E700" s="182" t="s">
        <v>1080</v>
      </c>
      <c r="F700" s="183" t="s">
        <v>1081</v>
      </c>
      <c r="G700" s="184" t="s">
        <v>398</v>
      </c>
      <c r="H700" s="185">
        <v>15.34</v>
      </c>
      <c r="I700" s="186"/>
      <c r="J700" s="187">
        <f>ROUND(I700*H700,2)</f>
        <v>0</v>
      </c>
      <c r="K700" s="183" t="s">
        <v>399</v>
      </c>
      <c r="L700" s="41"/>
      <c r="M700" s="188" t="s">
        <v>19</v>
      </c>
      <c r="N700" s="189" t="s">
        <v>43</v>
      </c>
      <c r="O700" s="66"/>
      <c r="P700" s="190">
        <f>O700*H700</f>
        <v>0</v>
      </c>
      <c r="Q700" s="190">
        <v>1.4E-3</v>
      </c>
      <c r="R700" s="190">
        <f>Q700*H700</f>
        <v>2.1475999999999999E-2</v>
      </c>
      <c r="S700" s="190">
        <v>0</v>
      </c>
      <c r="T700" s="191">
        <f>S700*H700</f>
        <v>0</v>
      </c>
      <c r="U700" s="36"/>
      <c r="V700" s="36"/>
      <c r="W700" s="36"/>
      <c r="X700" s="36"/>
      <c r="Y700" s="36"/>
      <c r="Z700" s="36"/>
      <c r="AA700" s="36"/>
      <c r="AB700" s="36"/>
      <c r="AC700" s="36"/>
      <c r="AD700" s="36"/>
      <c r="AE700" s="36"/>
      <c r="AR700" s="192" t="s">
        <v>386</v>
      </c>
      <c r="AT700" s="192" t="s">
        <v>382</v>
      </c>
      <c r="AU700" s="192" t="s">
        <v>82</v>
      </c>
      <c r="AY700" s="19" t="s">
        <v>380</v>
      </c>
      <c r="BE700" s="193">
        <f>IF(N700="základní",J700,0)</f>
        <v>0</v>
      </c>
      <c r="BF700" s="193">
        <f>IF(N700="snížená",J700,0)</f>
        <v>0</v>
      </c>
      <c r="BG700" s="193">
        <f>IF(N700="zákl. přenesená",J700,0)</f>
        <v>0</v>
      </c>
      <c r="BH700" s="193">
        <f>IF(N700="sníž. přenesená",J700,0)</f>
        <v>0</v>
      </c>
      <c r="BI700" s="193">
        <f>IF(N700="nulová",J700,0)</f>
        <v>0</v>
      </c>
      <c r="BJ700" s="19" t="s">
        <v>79</v>
      </c>
      <c r="BK700" s="193">
        <f>ROUND(I700*H700,2)</f>
        <v>0</v>
      </c>
      <c r="BL700" s="19" t="s">
        <v>386</v>
      </c>
      <c r="BM700" s="192" t="s">
        <v>1082</v>
      </c>
    </row>
    <row r="701" spans="1:65" s="13" customFormat="1" ht="11.25">
      <c r="B701" s="194"/>
      <c r="C701" s="195"/>
      <c r="D701" s="196" t="s">
        <v>388</v>
      </c>
      <c r="E701" s="197" t="s">
        <v>19</v>
      </c>
      <c r="F701" s="198" t="s">
        <v>576</v>
      </c>
      <c r="G701" s="195"/>
      <c r="H701" s="197" t="s">
        <v>19</v>
      </c>
      <c r="I701" s="199"/>
      <c r="J701" s="195"/>
      <c r="K701" s="195"/>
      <c r="L701" s="200"/>
      <c r="M701" s="201"/>
      <c r="N701" s="202"/>
      <c r="O701" s="202"/>
      <c r="P701" s="202"/>
      <c r="Q701" s="202"/>
      <c r="R701" s="202"/>
      <c r="S701" s="202"/>
      <c r="T701" s="203"/>
      <c r="AT701" s="204" t="s">
        <v>388</v>
      </c>
      <c r="AU701" s="204" t="s">
        <v>82</v>
      </c>
      <c r="AV701" s="13" t="s">
        <v>79</v>
      </c>
      <c r="AW701" s="13" t="s">
        <v>33</v>
      </c>
      <c r="AX701" s="13" t="s">
        <v>72</v>
      </c>
      <c r="AY701" s="204" t="s">
        <v>380</v>
      </c>
    </row>
    <row r="702" spans="1:65" s="13" customFormat="1" ht="11.25">
      <c r="B702" s="194"/>
      <c r="C702" s="195"/>
      <c r="D702" s="196" t="s">
        <v>388</v>
      </c>
      <c r="E702" s="197" t="s">
        <v>19</v>
      </c>
      <c r="F702" s="198" t="s">
        <v>1083</v>
      </c>
      <c r="G702" s="195"/>
      <c r="H702" s="197" t="s">
        <v>19</v>
      </c>
      <c r="I702" s="199"/>
      <c r="J702" s="195"/>
      <c r="K702" s="195"/>
      <c r="L702" s="200"/>
      <c r="M702" s="201"/>
      <c r="N702" s="202"/>
      <c r="O702" s="202"/>
      <c r="P702" s="202"/>
      <c r="Q702" s="202"/>
      <c r="R702" s="202"/>
      <c r="S702" s="202"/>
      <c r="T702" s="203"/>
      <c r="AT702" s="204" t="s">
        <v>388</v>
      </c>
      <c r="AU702" s="204" t="s">
        <v>82</v>
      </c>
      <c r="AV702" s="13" t="s">
        <v>79</v>
      </c>
      <c r="AW702" s="13" t="s">
        <v>33</v>
      </c>
      <c r="AX702" s="13" t="s">
        <v>72</v>
      </c>
      <c r="AY702" s="204" t="s">
        <v>380</v>
      </c>
    </row>
    <row r="703" spans="1:65" s="14" customFormat="1" ht="11.25">
      <c r="B703" s="205"/>
      <c r="C703" s="206"/>
      <c r="D703" s="196" t="s">
        <v>388</v>
      </c>
      <c r="E703" s="207" t="s">
        <v>19</v>
      </c>
      <c r="F703" s="208" t="s">
        <v>1084</v>
      </c>
      <c r="G703" s="206"/>
      <c r="H703" s="209">
        <v>14.16</v>
      </c>
      <c r="I703" s="210"/>
      <c r="J703" s="206"/>
      <c r="K703" s="206"/>
      <c r="L703" s="211"/>
      <c r="M703" s="212"/>
      <c r="N703" s="213"/>
      <c r="O703" s="213"/>
      <c r="P703" s="213"/>
      <c r="Q703" s="213"/>
      <c r="R703" s="213"/>
      <c r="S703" s="213"/>
      <c r="T703" s="214"/>
      <c r="AT703" s="215" t="s">
        <v>388</v>
      </c>
      <c r="AU703" s="215" t="s">
        <v>82</v>
      </c>
      <c r="AV703" s="14" t="s">
        <v>82</v>
      </c>
      <c r="AW703" s="14" t="s">
        <v>33</v>
      </c>
      <c r="AX703" s="14" t="s">
        <v>72</v>
      </c>
      <c r="AY703" s="215" t="s">
        <v>380</v>
      </c>
    </row>
    <row r="704" spans="1:65" s="13" customFormat="1" ht="11.25">
      <c r="B704" s="194"/>
      <c r="C704" s="195"/>
      <c r="D704" s="196" t="s">
        <v>388</v>
      </c>
      <c r="E704" s="197" t="s">
        <v>19</v>
      </c>
      <c r="F704" s="198" t="s">
        <v>1085</v>
      </c>
      <c r="G704" s="195"/>
      <c r="H704" s="197" t="s">
        <v>19</v>
      </c>
      <c r="I704" s="199"/>
      <c r="J704" s="195"/>
      <c r="K704" s="195"/>
      <c r="L704" s="200"/>
      <c r="M704" s="201"/>
      <c r="N704" s="202"/>
      <c r="O704" s="202"/>
      <c r="P704" s="202"/>
      <c r="Q704" s="202"/>
      <c r="R704" s="202"/>
      <c r="S704" s="202"/>
      <c r="T704" s="203"/>
      <c r="AT704" s="204" t="s">
        <v>388</v>
      </c>
      <c r="AU704" s="204" t="s">
        <v>82</v>
      </c>
      <c r="AV704" s="13" t="s">
        <v>79</v>
      </c>
      <c r="AW704" s="13" t="s">
        <v>33</v>
      </c>
      <c r="AX704" s="13" t="s">
        <v>72</v>
      </c>
      <c r="AY704" s="204" t="s">
        <v>380</v>
      </c>
    </row>
    <row r="705" spans="1:65" s="14" customFormat="1" ht="11.25">
      <c r="B705" s="205"/>
      <c r="C705" s="206"/>
      <c r="D705" s="196" t="s">
        <v>388</v>
      </c>
      <c r="E705" s="207" t="s">
        <v>19</v>
      </c>
      <c r="F705" s="208" t="s">
        <v>1086</v>
      </c>
      <c r="G705" s="206"/>
      <c r="H705" s="209">
        <v>0.59</v>
      </c>
      <c r="I705" s="210"/>
      <c r="J705" s="206"/>
      <c r="K705" s="206"/>
      <c r="L705" s="211"/>
      <c r="M705" s="212"/>
      <c r="N705" s="213"/>
      <c r="O705" s="213"/>
      <c r="P705" s="213"/>
      <c r="Q705" s="213"/>
      <c r="R705" s="213"/>
      <c r="S705" s="213"/>
      <c r="T705" s="214"/>
      <c r="AT705" s="215" t="s">
        <v>388</v>
      </c>
      <c r="AU705" s="215" t="s">
        <v>82</v>
      </c>
      <c r="AV705" s="14" t="s">
        <v>82</v>
      </c>
      <c r="AW705" s="14" t="s">
        <v>33</v>
      </c>
      <c r="AX705" s="14" t="s">
        <v>72</v>
      </c>
      <c r="AY705" s="215" t="s">
        <v>380</v>
      </c>
    </row>
    <row r="706" spans="1:65" s="13" customFormat="1" ht="11.25">
      <c r="B706" s="194"/>
      <c r="C706" s="195"/>
      <c r="D706" s="196" t="s">
        <v>388</v>
      </c>
      <c r="E706" s="197" t="s">
        <v>19</v>
      </c>
      <c r="F706" s="198" t="s">
        <v>1087</v>
      </c>
      <c r="G706" s="195"/>
      <c r="H706" s="197" t="s">
        <v>19</v>
      </c>
      <c r="I706" s="199"/>
      <c r="J706" s="195"/>
      <c r="K706" s="195"/>
      <c r="L706" s="200"/>
      <c r="M706" s="201"/>
      <c r="N706" s="202"/>
      <c r="O706" s="202"/>
      <c r="P706" s="202"/>
      <c r="Q706" s="202"/>
      <c r="R706" s="202"/>
      <c r="S706" s="202"/>
      <c r="T706" s="203"/>
      <c r="AT706" s="204" t="s">
        <v>388</v>
      </c>
      <c r="AU706" s="204" t="s">
        <v>82</v>
      </c>
      <c r="AV706" s="13" t="s">
        <v>79</v>
      </c>
      <c r="AW706" s="13" t="s">
        <v>33</v>
      </c>
      <c r="AX706" s="13" t="s">
        <v>72</v>
      </c>
      <c r="AY706" s="204" t="s">
        <v>380</v>
      </c>
    </row>
    <row r="707" spans="1:65" s="14" customFormat="1" ht="11.25">
      <c r="B707" s="205"/>
      <c r="C707" s="206"/>
      <c r="D707" s="196" t="s">
        <v>388</v>
      </c>
      <c r="E707" s="207" t="s">
        <v>19</v>
      </c>
      <c r="F707" s="208" t="s">
        <v>1086</v>
      </c>
      <c r="G707" s="206"/>
      <c r="H707" s="209">
        <v>0.59</v>
      </c>
      <c r="I707" s="210"/>
      <c r="J707" s="206"/>
      <c r="K707" s="206"/>
      <c r="L707" s="211"/>
      <c r="M707" s="212"/>
      <c r="N707" s="213"/>
      <c r="O707" s="213"/>
      <c r="P707" s="213"/>
      <c r="Q707" s="213"/>
      <c r="R707" s="213"/>
      <c r="S707" s="213"/>
      <c r="T707" s="214"/>
      <c r="AT707" s="215" t="s">
        <v>388</v>
      </c>
      <c r="AU707" s="215" t="s">
        <v>82</v>
      </c>
      <c r="AV707" s="14" t="s">
        <v>82</v>
      </c>
      <c r="AW707" s="14" t="s">
        <v>33</v>
      </c>
      <c r="AX707" s="14" t="s">
        <v>72</v>
      </c>
      <c r="AY707" s="215" t="s">
        <v>380</v>
      </c>
    </row>
    <row r="708" spans="1:65" s="15" customFormat="1" ht="11.25">
      <c r="B708" s="216"/>
      <c r="C708" s="217"/>
      <c r="D708" s="196" t="s">
        <v>388</v>
      </c>
      <c r="E708" s="218" t="s">
        <v>19</v>
      </c>
      <c r="F708" s="219" t="s">
        <v>419</v>
      </c>
      <c r="G708" s="217"/>
      <c r="H708" s="220">
        <v>15.34</v>
      </c>
      <c r="I708" s="221"/>
      <c r="J708" s="217"/>
      <c r="K708" s="217"/>
      <c r="L708" s="222"/>
      <c r="M708" s="223"/>
      <c r="N708" s="224"/>
      <c r="O708" s="224"/>
      <c r="P708" s="224"/>
      <c r="Q708" s="224"/>
      <c r="R708" s="224"/>
      <c r="S708" s="224"/>
      <c r="T708" s="225"/>
      <c r="AT708" s="226" t="s">
        <v>388</v>
      </c>
      <c r="AU708" s="226" t="s">
        <v>82</v>
      </c>
      <c r="AV708" s="15" t="s">
        <v>386</v>
      </c>
      <c r="AW708" s="15" t="s">
        <v>33</v>
      </c>
      <c r="AX708" s="15" t="s">
        <v>79</v>
      </c>
      <c r="AY708" s="226" t="s">
        <v>380</v>
      </c>
    </row>
    <row r="709" spans="1:65" s="2" customFormat="1" ht="21.75" customHeight="1">
      <c r="A709" s="36"/>
      <c r="B709" s="37"/>
      <c r="C709" s="181" t="s">
        <v>1088</v>
      </c>
      <c r="D709" s="181" t="s">
        <v>382</v>
      </c>
      <c r="E709" s="182" t="s">
        <v>1089</v>
      </c>
      <c r="F709" s="183" t="s">
        <v>1090</v>
      </c>
      <c r="G709" s="184" t="s">
        <v>398</v>
      </c>
      <c r="H709" s="185">
        <v>3136</v>
      </c>
      <c r="I709" s="186"/>
      <c r="J709" s="187">
        <f>ROUND(I709*H709,2)</f>
        <v>0</v>
      </c>
      <c r="K709" s="183" t="s">
        <v>399</v>
      </c>
      <c r="L709" s="41"/>
      <c r="M709" s="188" t="s">
        <v>19</v>
      </c>
      <c r="N709" s="189" t="s">
        <v>43</v>
      </c>
      <c r="O709" s="66"/>
      <c r="P709" s="190">
        <f>O709*H709</f>
        <v>0</v>
      </c>
      <c r="Q709" s="190">
        <v>2.63E-4</v>
      </c>
      <c r="R709" s="190">
        <f>Q709*H709</f>
        <v>0.82476799999999995</v>
      </c>
      <c r="S709" s="190">
        <v>0</v>
      </c>
      <c r="T709" s="191">
        <f>S709*H709</f>
        <v>0</v>
      </c>
      <c r="U709" s="36"/>
      <c r="V709" s="36"/>
      <c r="W709" s="36"/>
      <c r="X709" s="36"/>
      <c r="Y709" s="36"/>
      <c r="Z709" s="36"/>
      <c r="AA709" s="36"/>
      <c r="AB709" s="36"/>
      <c r="AC709" s="36"/>
      <c r="AD709" s="36"/>
      <c r="AE709" s="36"/>
      <c r="AR709" s="192" t="s">
        <v>386</v>
      </c>
      <c r="AT709" s="192" t="s">
        <v>382</v>
      </c>
      <c r="AU709" s="192" t="s">
        <v>82</v>
      </c>
      <c r="AY709" s="19" t="s">
        <v>380</v>
      </c>
      <c r="BE709" s="193">
        <f>IF(N709="základní",J709,0)</f>
        <v>0</v>
      </c>
      <c r="BF709" s="193">
        <f>IF(N709="snížená",J709,0)</f>
        <v>0</v>
      </c>
      <c r="BG709" s="193">
        <f>IF(N709="zákl. přenesená",J709,0)</f>
        <v>0</v>
      </c>
      <c r="BH709" s="193">
        <f>IF(N709="sníž. přenesená",J709,0)</f>
        <v>0</v>
      </c>
      <c r="BI709" s="193">
        <f>IF(N709="nulová",J709,0)</f>
        <v>0</v>
      </c>
      <c r="BJ709" s="19" t="s">
        <v>79</v>
      </c>
      <c r="BK709" s="193">
        <f>ROUND(I709*H709,2)</f>
        <v>0</v>
      </c>
      <c r="BL709" s="19" t="s">
        <v>386</v>
      </c>
      <c r="BM709" s="192" t="s">
        <v>1091</v>
      </c>
    </row>
    <row r="710" spans="1:65" s="13" customFormat="1" ht="11.25">
      <c r="B710" s="194"/>
      <c r="C710" s="195"/>
      <c r="D710" s="196" t="s">
        <v>388</v>
      </c>
      <c r="E710" s="197" t="s">
        <v>19</v>
      </c>
      <c r="F710" s="198" t="s">
        <v>1092</v>
      </c>
      <c r="G710" s="195"/>
      <c r="H710" s="197" t="s">
        <v>19</v>
      </c>
      <c r="I710" s="199"/>
      <c r="J710" s="195"/>
      <c r="K710" s="195"/>
      <c r="L710" s="200"/>
      <c r="M710" s="201"/>
      <c r="N710" s="202"/>
      <c r="O710" s="202"/>
      <c r="P710" s="202"/>
      <c r="Q710" s="202"/>
      <c r="R710" s="202"/>
      <c r="S710" s="202"/>
      <c r="T710" s="203"/>
      <c r="AT710" s="204" t="s">
        <v>388</v>
      </c>
      <c r="AU710" s="204" t="s">
        <v>82</v>
      </c>
      <c r="AV710" s="13" t="s">
        <v>79</v>
      </c>
      <c r="AW710" s="13" t="s">
        <v>33</v>
      </c>
      <c r="AX710" s="13" t="s">
        <v>72</v>
      </c>
      <c r="AY710" s="204" t="s">
        <v>380</v>
      </c>
    </row>
    <row r="711" spans="1:65" s="13" customFormat="1" ht="11.25">
      <c r="B711" s="194"/>
      <c r="C711" s="195"/>
      <c r="D711" s="196" t="s">
        <v>388</v>
      </c>
      <c r="E711" s="197" t="s">
        <v>19</v>
      </c>
      <c r="F711" s="198" t="s">
        <v>1093</v>
      </c>
      <c r="G711" s="195"/>
      <c r="H711" s="197" t="s">
        <v>19</v>
      </c>
      <c r="I711" s="199"/>
      <c r="J711" s="195"/>
      <c r="K711" s="195"/>
      <c r="L711" s="200"/>
      <c r="M711" s="201"/>
      <c r="N711" s="202"/>
      <c r="O711" s="202"/>
      <c r="P711" s="202"/>
      <c r="Q711" s="202"/>
      <c r="R711" s="202"/>
      <c r="S711" s="202"/>
      <c r="T711" s="203"/>
      <c r="AT711" s="204" t="s">
        <v>388</v>
      </c>
      <c r="AU711" s="204" t="s">
        <v>82</v>
      </c>
      <c r="AV711" s="13" t="s">
        <v>79</v>
      </c>
      <c r="AW711" s="13" t="s">
        <v>33</v>
      </c>
      <c r="AX711" s="13" t="s">
        <v>72</v>
      </c>
      <c r="AY711" s="204" t="s">
        <v>380</v>
      </c>
    </row>
    <row r="712" spans="1:65" s="14" customFormat="1" ht="11.25">
      <c r="B712" s="205"/>
      <c r="C712" s="206"/>
      <c r="D712" s="196" t="s">
        <v>388</v>
      </c>
      <c r="E712" s="207" t="s">
        <v>19</v>
      </c>
      <c r="F712" s="208" t="s">
        <v>304</v>
      </c>
      <c r="G712" s="206"/>
      <c r="H712" s="209">
        <v>2650.3</v>
      </c>
      <c r="I712" s="210"/>
      <c r="J712" s="206"/>
      <c r="K712" s="206"/>
      <c r="L712" s="211"/>
      <c r="M712" s="212"/>
      <c r="N712" s="213"/>
      <c r="O712" s="213"/>
      <c r="P712" s="213"/>
      <c r="Q712" s="213"/>
      <c r="R712" s="213"/>
      <c r="S712" s="213"/>
      <c r="T712" s="214"/>
      <c r="AT712" s="215" t="s">
        <v>388</v>
      </c>
      <c r="AU712" s="215" t="s">
        <v>82</v>
      </c>
      <c r="AV712" s="14" t="s">
        <v>82</v>
      </c>
      <c r="AW712" s="14" t="s">
        <v>33</v>
      </c>
      <c r="AX712" s="14" t="s">
        <v>72</v>
      </c>
      <c r="AY712" s="215" t="s">
        <v>380</v>
      </c>
    </row>
    <row r="713" spans="1:65" s="16" customFormat="1" ht="11.25">
      <c r="B713" s="237"/>
      <c r="C713" s="238"/>
      <c r="D713" s="196" t="s">
        <v>388</v>
      </c>
      <c r="E713" s="239" t="s">
        <v>302</v>
      </c>
      <c r="F713" s="240" t="s">
        <v>572</v>
      </c>
      <c r="G713" s="238"/>
      <c r="H713" s="241">
        <v>2650.3</v>
      </c>
      <c r="I713" s="242"/>
      <c r="J713" s="238"/>
      <c r="K713" s="238"/>
      <c r="L713" s="243"/>
      <c r="M713" s="244"/>
      <c r="N713" s="245"/>
      <c r="O713" s="245"/>
      <c r="P713" s="245"/>
      <c r="Q713" s="245"/>
      <c r="R713" s="245"/>
      <c r="S713" s="245"/>
      <c r="T713" s="246"/>
      <c r="AT713" s="247" t="s">
        <v>388</v>
      </c>
      <c r="AU713" s="247" t="s">
        <v>82</v>
      </c>
      <c r="AV713" s="16" t="s">
        <v>99</v>
      </c>
      <c r="AW713" s="16" t="s">
        <v>33</v>
      </c>
      <c r="AX713" s="16" t="s">
        <v>72</v>
      </c>
      <c r="AY713" s="247" t="s">
        <v>380</v>
      </c>
    </row>
    <row r="714" spans="1:65" s="13" customFormat="1" ht="11.25">
      <c r="B714" s="194"/>
      <c r="C714" s="195"/>
      <c r="D714" s="196" t="s">
        <v>388</v>
      </c>
      <c r="E714" s="197" t="s">
        <v>19</v>
      </c>
      <c r="F714" s="198" t="s">
        <v>1094</v>
      </c>
      <c r="G714" s="195"/>
      <c r="H714" s="197" t="s">
        <v>19</v>
      </c>
      <c r="I714" s="199"/>
      <c r="J714" s="195"/>
      <c r="K714" s="195"/>
      <c r="L714" s="200"/>
      <c r="M714" s="201"/>
      <c r="N714" s="202"/>
      <c r="O714" s="202"/>
      <c r="P714" s="202"/>
      <c r="Q714" s="202"/>
      <c r="R714" s="202"/>
      <c r="S714" s="202"/>
      <c r="T714" s="203"/>
      <c r="AT714" s="204" t="s">
        <v>388</v>
      </c>
      <c r="AU714" s="204" t="s">
        <v>82</v>
      </c>
      <c r="AV714" s="13" t="s">
        <v>79</v>
      </c>
      <c r="AW714" s="13" t="s">
        <v>33</v>
      </c>
      <c r="AX714" s="13" t="s">
        <v>72</v>
      </c>
      <c r="AY714" s="204" t="s">
        <v>380</v>
      </c>
    </row>
    <row r="715" spans="1:65" s="14" customFormat="1" ht="11.25">
      <c r="B715" s="205"/>
      <c r="C715" s="206"/>
      <c r="D715" s="196" t="s">
        <v>388</v>
      </c>
      <c r="E715" s="207" t="s">
        <v>19</v>
      </c>
      <c r="F715" s="208" t="s">
        <v>321</v>
      </c>
      <c r="G715" s="206"/>
      <c r="H715" s="209">
        <v>485.7</v>
      </c>
      <c r="I715" s="210"/>
      <c r="J715" s="206"/>
      <c r="K715" s="206"/>
      <c r="L715" s="211"/>
      <c r="M715" s="212"/>
      <c r="N715" s="213"/>
      <c r="O715" s="213"/>
      <c r="P715" s="213"/>
      <c r="Q715" s="213"/>
      <c r="R715" s="213"/>
      <c r="S715" s="213"/>
      <c r="T715" s="214"/>
      <c r="AT715" s="215" t="s">
        <v>388</v>
      </c>
      <c r="AU715" s="215" t="s">
        <v>82</v>
      </c>
      <c r="AV715" s="14" t="s">
        <v>82</v>
      </c>
      <c r="AW715" s="14" t="s">
        <v>33</v>
      </c>
      <c r="AX715" s="14" t="s">
        <v>72</v>
      </c>
      <c r="AY715" s="215" t="s">
        <v>380</v>
      </c>
    </row>
    <row r="716" spans="1:65" s="16" customFormat="1" ht="11.25">
      <c r="B716" s="237"/>
      <c r="C716" s="238"/>
      <c r="D716" s="196" t="s">
        <v>388</v>
      </c>
      <c r="E716" s="239" t="s">
        <v>319</v>
      </c>
      <c r="F716" s="240" t="s">
        <v>572</v>
      </c>
      <c r="G716" s="238"/>
      <c r="H716" s="241">
        <v>485.7</v>
      </c>
      <c r="I716" s="242"/>
      <c r="J716" s="238"/>
      <c r="K716" s="238"/>
      <c r="L716" s="243"/>
      <c r="M716" s="244"/>
      <c r="N716" s="245"/>
      <c r="O716" s="245"/>
      <c r="P716" s="245"/>
      <c r="Q716" s="245"/>
      <c r="R716" s="245"/>
      <c r="S716" s="245"/>
      <c r="T716" s="246"/>
      <c r="AT716" s="247" t="s">
        <v>388</v>
      </c>
      <c r="AU716" s="247" t="s">
        <v>82</v>
      </c>
      <c r="AV716" s="16" t="s">
        <v>99</v>
      </c>
      <c r="AW716" s="16" t="s">
        <v>33</v>
      </c>
      <c r="AX716" s="16" t="s">
        <v>72</v>
      </c>
      <c r="AY716" s="247" t="s">
        <v>380</v>
      </c>
    </row>
    <row r="717" spans="1:65" s="15" customFormat="1" ht="11.25">
      <c r="B717" s="216"/>
      <c r="C717" s="217"/>
      <c r="D717" s="196" t="s">
        <v>388</v>
      </c>
      <c r="E717" s="218" t="s">
        <v>19</v>
      </c>
      <c r="F717" s="219" t="s">
        <v>419</v>
      </c>
      <c r="G717" s="217"/>
      <c r="H717" s="220">
        <v>3136</v>
      </c>
      <c r="I717" s="221"/>
      <c r="J717" s="217"/>
      <c r="K717" s="217"/>
      <c r="L717" s="222"/>
      <c r="M717" s="223"/>
      <c r="N717" s="224"/>
      <c r="O717" s="224"/>
      <c r="P717" s="224"/>
      <c r="Q717" s="224"/>
      <c r="R717" s="224"/>
      <c r="S717" s="224"/>
      <c r="T717" s="225"/>
      <c r="AT717" s="226" t="s">
        <v>388</v>
      </c>
      <c r="AU717" s="226" t="s">
        <v>82</v>
      </c>
      <c r="AV717" s="15" t="s">
        <v>386</v>
      </c>
      <c r="AW717" s="15" t="s">
        <v>33</v>
      </c>
      <c r="AX717" s="15" t="s">
        <v>79</v>
      </c>
      <c r="AY717" s="226" t="s">
        <v>380</v>
      </c>
    </row>
    <row r="718" spans="1:65" s="2" customFormat="1" ht="24.2" customHeight="1">
      <c r="A718" s="36"/>
      <c r="B718" s="37"/>
      <c r="C718" s="181" t="s">
        <v>1095</v>
      </c>
      <c r="D718" s="181" t="s">
        <v>382</v>
      </c>
      <c r="E718" s="182" t="s">
        <v>1096</v>
      </c>
      <c r="F718" s="183" t="s">
        <v>1097</v>
      </c>
      <c r="G718" s="184" t="s">
        <v>398</v>
      </c>
      <c r="H718" s="185">
        <v>51.534999999999997</v>
      </c>
      <c r="I718" s="186"/>
      <c r="J718" s="187">
        <f>ROUND(I718*H718,2)</f>
        <v>0</v>
      </c>
      <c r="K718" s="183" t="s">
        <v>399</v>
      </c>
      <c r="L718" s="41"/>
      <c r="M718" s="188" t="s">
        <v>19</v>
      </c>
      <c r="N718" s="189" t="s">
        <v>43</v>
      </c>
      <c r="O718" s="66"/>
      <c r="P718" s="190">
        <f>O718*H718</f>
        <v>0</v>
      </c>
      <c r="Q718" s="190">
        <v>4.3839999999999999E-3</v>
      </c>
      <c r="R718" s="190">
        <f>Q718*H718</f>
        <v>0.22592943999999998</v>
      </c>
      <c r="S718" s="190">
        <v>0</v>
      </c>
      <c r="T718" s="191">
        <f>S718*H718</f>
        <v>0</v>
      </c>
      <c r="U718" s="36"/>
      <c r="V718" s="36"/>
      <c r="W718" s="36"/>
      <c r="X718" s="36"/>
      <c r="Y718" s="36"/>
      <c r="Z718" s="36"/>
      <c r="AA718" s="36"/>
      <c r="AB718" s="36"/>
      <c r="AC718" s="36"/>
      <c r="AD718" s="36"/>
      <c r="AE718" s="36"/>
      <c r="AR718" s="192" t="s">
        <v>386</v>
      </c>
      <c r="AT718" s="192" t="s">
        <v>382</v>
      </c>
      <c r="AU718" s="192" t="s">
        <v>82</v>
      </c>
      <c r="AY718" s="19" t="s">
        <v>380</v>
      </c>
      <c r="BE718" s="193">
        <f>IF(N718="základní",J718,0)</f>
        <v>0</v>
      </c>
      <c r="BF718" s="193">
        <f>IF(N718="snížená",J718,0)</f>
        <v>0</v>
      </c>
      <c r="BG718" s="193">
        <f>IF(N718="zákl. přenesená",J718,0)</f>
        <v>0</v>
      </c>
      <c r="BH718" s="193">
        <f>IF(N718="sníž. přenesená",J718,0)</f>
        <v>0</v>
      </c>
      <c r="BI718" s="193">
        <f>IF(N718="nulová",J718,0)</f>
        <v>0</v>
      </c>
      <c r="BJ718" s="19" t="s">
        <v>79</v>
      </c>
      <c r="BK718" s="193">
        <f>ROUND(I718*H718,2)</f>
        <v>0</v>
      </c>
      <c r="BL718" s="19" t="s">
        <v>386</v>
      </c>
      <c r="BM718" s="192" t="s">
        <v>1098</v>
      </c>
    </row>
    <row r="719" spans="1:65" s="14" customFormat="1" ht="11.25">
      <c r="B719" s="205"/>
      <c r="C719" s="206"/>
      <c r="D719" s="196" t="s">
        <v>388</v>
      </c>
      <c r="E719" s="207" t="s">
        <v>19</v>
      </c>
      <c r="F719" s="208" t="s">
        <v>1099</v>
      </c>
      <c r="G719" s="206"/>
      <c r="H719" s="209">
        <v>4.1849999999999996</v>
      </c>
      <c r="I719" s="210"/>
      <c r="J719" s="206"/>
      <c r="K719" s="206"/>
      <c r="L719" s="211"/>
      <c r="M719" s="212"/>
      <c r="N719" s="213"/>
      <c r="O719" s="213"/>
      <c r="P719" s="213"/>
      <c r="Q719" s="213"/>
      <c r="R719" s="213"/>
      <c r="S719" s="213"/>
      <c r="T719" s="214"/>
      <c r="AT719" s="215" t="s">
        <v>388</v>
      </c>
      <c r="AU719" s="215" t="s">
        <v>82</v>
      </c>
      <c r="AV719" s="14" t="s">
        <v>82</v>
      </c>
      <c r="AW719" s="14" t="s">
        <v>33</v>
      </c>
      <c r="AX719" s="14" t="s">
        <v>72</v>
      </c>
      <c r="AY719" s="215" t="s">
        <v>380</v>
      </c>
    </row>
    <row r="720" spans="1:65" s="14" customFormat="1" ht="11.25">
      <c r="B720" s="205"/>
      <c r="C720" s="206"/>
      <c r="D720" s="196" t="s">
        <v>388</v>
      </c>
      <c r="E720" s="207" t="s">
        <v>19</v>
      </c>
      <c r="F720" s="208" t="s">
        <v>1100</v>
      </c>
      <c r="G720" s="206"/>
      <c r="H720" s="209">
        <v>2.79</v>
      </c>
      <c r="I720" s="210"/>
      <c r="J720" s="206"/>
      <c r="K720" s="206"/>
      <c r="L720" s="211"/>
      <c r="M720" s="212"/>
      <c r="N720" s="213"/>
      <c r="O720" s="213"/>
      <c r="P720" s="213"/>
      <c r="Q720" s="213"/>
      <c r="R720" s="213"/>
      <c r="S720" s="213"/>
      <c r="T720" s="214"/>
      <c r="AT720" s="215" t="s">
        <v>388</v>
      </c>
      <c r="AU720" s="215" t="s">
        <v>82</v>
      </c>
      <c r="AV720" s="14" t="s">
        <v>82</v>
      </c>
      <c r="AW720" s="14" t="s">
        <v>33</v>
      </c>
      <c r="AX720" s="14" t="s">
        <v>72</v>
      </c>
      <c r="AY720" s="215" t="s">
        <v>380</v>
      </c>
    </row>
    <row r="721" spans="1:65" s="14" customFormat="1" ht="11.25">
      <c r="B721" s="205"/>
      <c r="C721" s="206"/>
      <c r="D721" s="196" t="s">
        <v>388</v>
      </c>
      <c r="E721" s="207" t="s">
        <v>19</v>
      </c>
      <c r="F721" s="208" t="s">
        <v>1101</v>
      </c>
      <c r="G721" s="206"/>
      <c r="H721" s="209">
        <v>2.8889999999999998</v>
      </c>
      <c r="I721" s="210"/>
      <c r="J721" s="206"/>
      <c r="K721" s="206"/>
      <c r="L721" s="211"/>
      <c r="M721" s="212"/>
      <c r="N721" s="213"/>
      <c r="O721" s="213"/>
      <c r="P721" s="213"/>
      <c r="Q721" s="213"/>
      <c r="R721" s="213"/>
      <c r="S721" s="213"/>
      <c r="T721" s="214"/>
      <c r="AT721" s="215" t="s">
        <v>388</v>
      </c>
      <c r="AU721" s="215" t="s">
        <v>82</v>
      </c>
      <c r="AV721" s="14" t="s">
        <v>82</v>
      </c>
      <c r="AW721" s="14" t="s">
        <v>33</v>
      </c>
      <c r="AX721" s="14" t="s">
        <v>72</v>
      </c>
      <c r="AY721" s="215" t="s">
        <v>380</v>
      </c>
    </row>
    <row r="722" spans="1:65" s="14" customFormat="1" ht="11.25">
      <c r="B722" s="205"/>
      <c r="C722" s="206"/>
      <c r="D722" s="196" t="s">
        <v>388</v>
      </c>
      <c r="E722" s="207" t="s">
        <v>19</v>
      </c>
      <c r="F722" s="208" t="s">
        <v>1102</v>
      </c>
      <c r="G722" s="206"/>
      <c r="H722" s="209">
        <v>14.64</v>
      </c>
      <c r="I722" s="210"/>
      <c r="J722" s="206"/>
      <c r="K722" s="206"/>
      <c r="L722" s="211"/>
      <c r="M722" s="212"/>
      <c r="N722" s="213"/>
      <c r="O722" s="213"/>
      <c r="P722" s="213"/>
      <c r="Q722" s="213"/>
      <c r="R722" s="213"/>
      <c r="S722" s="213"/>
      <c r="T722" s="214"/>
      <c r="AT722" s="215" t="s">
        <v>388</v>
      </c>
      <c r="AU722" s="215" t="s">
        <v>82</v>
      </c>
      <c r="AV722" s="14" t="s">
        <v>82</v>
      </c>
      <c r="AW722" s="14" t="s">
        <v>33</v>
      </c>
      <c r="AX722" s="14" t="s">
        <v>72</v>
      </c>
      <c r="AY722" s="215" t="s">
        <v>380</v>
      </c>
    </row>
    <row r="723" spans="1:65" s="14" customFormat="1" ht="11.25">
      <c r="B723" s="205"/>
      <c r="C723" s="206"/>
      <c r="D723" s="196" t="s">
        <v>388</v>
      </c>
      <c r="E723" s="207" t="s">
        <v>19</v>
      </c>
      <c r="F723" s="208" t="s">
        <v>1103</v>
      </c>
      <c r="G723" s="206"/>
      <c r="H723" s="209">
        <v>4.3920000000000003</v>
      </c>
      <c r="I723" s="210"/>
      <c r="J723" s="206"/>
      <c r="K723" s="206"/>
      <c r="L723" s="211"/>
      <c r="M723" s="212"/>
      <c r="N723" s="213"/>
      <c r="O723" s="213"/>
      <c r="P723" s="213"/>
      <c r="Q723" s="213"/>
      <c r="R723" s="213"/>
      <c r="S723" s="213"/>
      <c r="T723" s="214"/>
      <c r="AT723" s="215" t="s">
        <v>388</v>
      </c>
      <c r="AU723" s="215" t="s">
        <v>82</v>
      </c>
      <c r="AV723" s="14" t="s">
        <v>82</v>
      </c>
      <c r="AW723" s="14" t="s">
        <v>33</v>
      </c>
      <c r="AX723" s="14" t="s">
        <v>72</v>
      </c>
      <c r="AY723" s="215" t="s">
        <v>380</v>
      </c>
    </row>
    <row r="724" spans="1:65" s="14" customFormat="1" ht="11.25">
      <c r="B724" s="205"/>
      <c r="C724" s="206"/>
      <c r="D724" s="196" t="s">
        <v>388</v>
      </c>
      <c r="E724" s="207" t="s">
        <v>19</v>
      </c>
      <c r="F724" s="208" t="s">
        <v>1104</v>
      </c>
      <c r="G724" s="206"/>
      <c r="H724" s="209">
        <v>6.98</v>
      </c>
      <c r="I724" s="210"/>
      <c r="J724" s="206"/>
      <c r="K724" s="206"/>
      <c r="L724" s="211"/>
      <c r="M724" s="212"/>
      <c r="N724" s="213"/>
      <c r="O724" s="213"/>
      <c r="P724" s="213"/>
      <c r="Q724" s="213"/>
      <c r="R724" s="213"/>
      <c r="S724" s="213"/>
      <c r="T724" s="214"/>
      <c r="AT724" s="215" t="s">
        <v>388</v>
      </c>
      <c r="AU724" s="215" t="s">
        <v>82</v>
      </c>
      <c r="AV724" s="14" t="s">
        <v>82</v>
      </c>
      <c r="AW724" s="14" t="s">
        <v>33</v>
      </c>
      <c r="AX724" s="14" t="s">
        <v>72</v>
      </c>
      <c r="AY724" s="215" t="s">
        <v>380</v>
      </c>
    </row>
    <row r="725" spans="1:65" s="14" customFormat="1" ht="11.25">
      <c r="B725" s="205"/>
      <c r="C725" s="206"/>
      <c r="D725" s="196" t="s">
        <v>388</v>
      </c>
      <c r="E725" s="207" t="s">
        <v>19</v>
      </c>
      <c r="F725" s="208" t="s">
        <v>1105</v>
      </c>
      <c r="G725" s="206"/>
      <c r="H725" s="209">
        <v>1.9950000000000001</v>
      </c>
      <c r="I725" s="210"/>
      <c r="J725" s="206"/>
      <c r="K725" s="206"/>
      <c r="L725" s="211"/>
      <c r="M725" s="212"/>
      <c r="N725" s="213"/>
      <c r="O725" s="213"/>
      <c r="P725" s="213"/>
      <c r="Q725" s="213"/>
      <c r="R725" s="213"/>
      <c r="S725" s="213"/>
      <c r="T725" s="214"/>
      <c r="AT725" s="215" t="s">
        <v>388</v>
      </c>
      <c r="AU725" s="215" t="s">
        <v>82</v>
      </c>
      <c r="AV725" s="14" t="s">
        <v>82</v>
      </c>
      <c r="AW725" s="14" t="s">
        <v>33</v>
      </c>
      <c r="AX725" s="14" t="s">
        <v>72</v>
      </c>
      <c r="AY725" s="215" t="s">
        <v>380</v>
      </c>
    </row>
    <row r="726" spans="1:65" s="14" customFormat="1" ht="11.25">
      <c r="B726" s="205"/>
      <c r="C726" s="206"/>
      <c r="D726" s="196" t="s">
        <v>388</v>
      </c>
      <c r="E726" s="207" t="s">
        <v>19</v>
      </c>
      <c r="F726" s="208" t="s">
        <v>1106</v>
      </c>
      <c r="G726" s="206"/>
      <c r="H726" s="209">
        <v>13.664</v>
      </c>
      <c r="I726" s="210"/>
      <c r="J726" s="206"/>
      <c r="K726" s="206"/>
      <c r="L726" s="211"/>
      <c r="M726" s="212"/>
      <c r="N726" s="213"/>
      <c r="O726" s="213"/>
      <c r="P726" s="213"/>
      <c r="Q726" s="213"/>
      <c r="R726" s="213"/>
      <c r="S726" s="213"/>
      <c r="T726" s="214"/>
      <c r="AT726" s="215" t="s">
        <v>388</v>
      </c>
      <c r="AU726" s="215" t="s">
        <v>82</v>
      </c>
      <c r="AV726" s="14" t="s">
        <v>82</v>
      </c>
      <c r="AW726" s="14" t="s">
        <v>33</v>
      </c>
      <c r="AX726" s="14" t="s">
        <v>72</v>
      </c>
      <c r="AY726" s="215" t="s">
        <v>380</v>
      </c>
    </row>
    <row r="727" spans="1:65" s="15" customFormat="1" ht="11.25">
      <c r="B727" s="216"/>
      <c r="C727" s="217"/>
      <c r="D727" s="196" t="s">
        <v>388</v>
      </c>
      <c r="E727" s="218" t="s">
        <v>19</v>
      </c>
      <c r="F727" s="219" t="s">
        <v>419</v>
      </c>
      <c r="G727" s="217"/>
      <c r="H727" s="220">
        <v>51.534999999999997</v>
      </c>
      <c r="I727" s="221"/>
      <c r="J727" s="217"/>
      <c r="K727" s="217"/>
      <c r="L727" s="222"/>
      <c r="M727" s="223"/>
      <c r="N727" s="224"/>
      <c r="O727" s="224"/>
      <c r="P727" s="224"/>
      <c r="Q727" s="224"/>
      <c r="R727" s="224"/>
      <c r="S727" s="224"/>
      <c r="T727" s="225"/>
      <c r="AT727" s="226" t="s">
        <v>388</v>
      </c>
      <c r="AU727" s="226" t="s">
        <v>82</v>
      </c>
      <c r="AV727" s="15" t="s">
        <v>386</v>
      </c>
      <c r="AW727" s="15" t="s">
        <v>33</v>
      </c>
      <c r="AX727" s="15" t="s">
        <v>79</v>
      </c>
      <c r="AY727" s="226" t="s">
        <v>380</v>
      </c>
    </row>
    <row r="728" spans="1:65" s="2" customFormat="1" ht="24.2" customHeight="1">
      <c r="A728" s="36"/>
      <c r="B728" s="37"/>
      <c r="C728" s="181" t="s">
        <v>1107</v>
      </c>
      <c r="D728" s="181" t="s">
        <v>382</v>
      </c>
      <c r="E728" s="182" t="s">
        <v>1108</v>
      </c>
      <c r="F728" s="183" t="s">
        <v>1109</v>
      </c>
      <c r="G728" s="184" t="s">
        <v>398</v>
      </c>
      <c r="H728" s="185">
        <v>485.7</v>
      </c>
      <c r="I728" s="186"/>
      <c r="J728" s="187">
        <f>ROUND(I728*H728,2)</f>
        <v>0</v>
      </c>
      <c r="K728" s="183" t="s">
        <v>399</v>
      </c>
      <c r="L728" s="41"/>
      <c r="M728" s="188" t="s">
        <v>19</v>
      </c>
      <c r="N728" s="189" t="s">
        <v>43</v>
      </c>
      <c r="O728" s="66"/>
      <c r="P728" s="190">
        <f>O728*H728</f>
        <v>0</v>
      </c>
      <c r="Q728" s="190">
        <v>3.9053999999999998E-3</v>
      </c>
      <c r="R728" s="190">
        <f>Q728*H728</f>
        <v>1.8968527799999999</v>
      </c>
      <c r="S728" s="190">
        <v>0</v>
      </c>
      <c r="T728" s="191">
        <f>S728*H728</f>
        <v>0</v>
      </c>
      <c r="U728" s="36"/>
      <c r="V728" s="36"/>
      <c r="W728" s="36"/>
      <c r="X728" s="36"/>
      <c r="Y728" s="36"/>
      <c r="Z728" s="36"/>
      <c r="AA728" s="36"/>
      <c r="AB728" s="36"/>
      <c r="AC728" s="36"/>
      <c r="AD728" s="36"/>
      <c r="AE728" s="36"/>
      <c r="AR728" s="192" t="s">
        <v>386</v>
      </c>
      <c r="AT728" s="192" t="s">
        <v>382</v>
      </c>
      <c r="AU728" s="192" t="s">
        <v>82</v>
      </c>
      <c r="AY728" s="19" t="s">
        <v>380</v>
      </c>
      <c r="BE728" s="193">
        <f>IF(N728="základní",J728,0)</f>
        <v>0</v>
      </c>
      <c r="BF728" s="193">
        <f>IF(N728="snížená",J728,0)</f>
        <v>0</v>
      </c>
      <c r="BG728" s="193">
        <f>IF(N728="zákl. přenesená",J728,0)</f>
        <v>0</v>
      </c>
      <c r="BH728" s="193">
        <f>IF(N728="sníž. přenesená",J728,0)</f>
        <v>0</v>
      </c>
      <c r="BI728" s="193">
        <f>IF(N728="nulová",J728,0)</f>
        <v>0</v>
      </c>
      <c r="BJ728" s="19" t="s">
        <v>79</v>
      </c>
      <c r="BK728" s="193">
        <f>ROUND(I728*H728,2)</f>
        <v>0</v>
      </c>
      <c r="BL728" s="19" t="s">
        <v>386</v>
      </c>
      <c r="BM728" s="192" t="s">
        <v>1110</v>
      </c>
    </row>
    <row r="729" spans="1:65" s="14" customFormat="1" ht="11.25">
      <c r="B729" s="205"/>
      <c r="C729" s="206"/>
      <c r="D729" s="196" t="s">
        <v>388</v>
      </c>
      <c r="E729" s="207" t="s">
        <v>19</v>
      </c>
      <c r="F729" s="208" t="s">
        <v>1111</v>
      </c>
      <c r="G729" s="206"/>
      <c r="H729" s="209">
        <v>485.7</v>
      </c>
      <c r="I729" s="210"/>
      <c r="J729" s="206"/>
      <c r="K729" s="206"/>
      <c r="L729" s="211"/>
      <c r="M729" s="212"/>
      <c r="N729" s="213"/>
      <c r="O729" s="213"/>
      <c r="P729" s="213"/>
      <c r="Q729" s="213"/>
      <c r="R729" s="213"/>
      <c r="S729" s="213"/>
      <c r="T729" s="214"/>
      <c r="AT729" s="215" t="s">
        <v>388</v>
      </c>
      <c r="AU729" s="215" t="s">
        <v>82</v>
      </c>
      <c r="AV729" s="14" t="s">
        <v>82</v>
      </c>
      <c r="AW729" s="14" t="s">
        <v>33</v>
      </c>
      <c r="AX729" s="14" t="s">
        <v>79</v>
      </c>
      <c r="AY729" s="215" t="s">
        <v>380</v>
      </c>
    </row>
    <row r="730" spans="1:65" s="2" customFormat="1" ht="21.75" customHeight="1">
      <c r="A730" s="36"/>
      <c r="B730" s="37"/>
      <c r="C730" s="181" t="s">
        <v>1112</v>
      </c>
      <c r="D730" s="181" t="s">
        <v>382</v>
      </c>
      <c r="E730" s="182" t="s">
        <v>1113</v>
      </c>
      <c r="F730" s="183" t="s">
        <v>1114</v>
      </c>
      <c r="G730" s="184" t="s">
        <v>398</v>
      </c>
      <c r="H730" s="185">
        <v>971.4</v>
      </c>
      <c r="I730" s="186"/>
      <c r="J730" s="187">
        <f>ROUND(I730*H730,2)</f>
        <v>0</v>
      </c>
      <c r="K730" s="183" t="s">
        <v>399</v>
      </c>
      <c r="L730" s="41"/>
      <c r="M730" s="188" t="s">
        <v>19</v>
      </c>
      <c r="N730" s="189" t="s">
        <v>43</v>
      </c>
      <c r="O730" s="66"/>
      <c r="P730" s="190">
        <f>O730*H730</f>
        <v>0</v>
      </c>
      <c r="Q730" s="190">
        <v>1.2999999999999999E-3</v>
      </c>
      <c r="R730" s="190">
        <f>Q730*H730</f>
        <v>1.2628199999999998</v>
      </c>
      <c r="S730" s="190">
        <v>0</v>
      </c>
      <c r="T730" s="191">
        <f>S730*H730</f>
        <v>0</v>
      </c>
      <c r="U730" s="36"/>
      <c r="V730" s="36"/>
      <c r="W730" s="36"/>
      <c r="X730" s="36"/>
      <c r="Y730" s="36"/>
      <c r="Z730" s="36"/>
      <c r="AA730" s="36"/>
      <c r="AB730" s="36"/>
      <c r="AC730" s="36"/>
      <c r="AD730" s="36"/>
      <c r="AE730" s="36"/>
      <c r="AR730" s="192" t="s">
        <v>386</v>
      </c>
      <c r="AT730" s="192" t="s">
        <v>382</v>
      </c>
      <c r="AU730" s="192" t="s">
        <v>82</v>
      </c>
      <c r="AY730" s="19" t="s">
        <v>380</v>
      </c>
      <c r="BE730" s="193">
        <f>IF(N730="základní",J730,0)</f>
        <v>0</v>
      </c>
      <c r="BF730" s="193">
        <f>IF(N730="snížená",J730,0)</f>
        <v>0</v>
      </c>
      <c r="BG730" s="193">
        <f>IF(N730="zákl. přenesená",J730,0)</f>
        <v>0</v>
      </c>
      <c r="BH730" s="193">
        <f>IF(N730="sníž. přenesená",J730,0)</f>
        <v>0</v>
      </c>
      <c r="BI730" s="193">
        <f>IF(N730="nulová",J730,0)</f>
        <v>0</v>
      </c>
      <c r="BJ730" s="19" t="s">
        <v>79</v>
      </c>
      <c r="BK730" s="193">
        <f>ROUND(I730*H730,2)</f>
        <v>0</v>
      </c>
      <c r="BL730" s="19" t="s">
        <v>386</v>
      </c>
      <c r="BM730" s="192" t="s">
        <v>1115</v>
      </c>
    </row>
    <row r="731" spans="1:65" s="14" customFormat="1" ht="11.25">
      <c r="B731" s="205"/>
      <c r="C731" s="206"/>
      <c r="D731" s="196" t="s">
        <v>388</v>
      </c>
      <c r="E731" s="207" t="s">
        <v>19</v>
      </c>
      <c r="F731" s="208" t="s">
        <v>1116</v>
      </c>
      <c r="G731" s="206"/>
      <c r="H731" s="209">
        <v>971.4</v>
      </c>
      <c r="I731" s="210"/>
      <c r="J731" s="206"/>
      <c r="K731" s="206"/>
      <c r="L731" s="211"/>
      <c r="M731" s="212"/>
      <c r="N731" s="213"/>
      <c r="O731" s="213"/>
      <c r="P731" s="213"/>
      <c r="Q731" s="213"/>
      <c r="R731" s="213"/>
      <c r="S731" s="213"/>
      <c r="T731" s="214"/>
      <c r="AT731" s="215" t="s">
        <v>388</v>
      </c>
      <c r="AU731" s="215" t="s">
        <v>82</v>
      </c>
      <c r="AV731" s="14" t="s">
        <v>82</v>
      </c>
      <c r="AW731" s="14" t="s">
        <v>33</v>
      </c>
      <c r="AX731" s="14" t="s">
        <v>79</v>
      </c>
      <c r="AY731" s="215" t="s">
        <v>380</v>
      </c>
    </row>
    <row r="732" spans="1:65" s="2" customFormat="1" ht="24.2" customHeight="1">
      <c r="A732" s="36"/>
      <c r="B732" s="37"/>
      <c r="C732" s="181" t="s">
        <v>1117</v>
      </c>
      <c r="D732" s="181" t="s">
        <v>382</v>
      </c>
      <c r="E732" s="182" t="s">
        <v>1118</v>
      </c>
      <c r="F732" s="183" t="s">
        <v>1119</v>
      </c>
      <c r="G732" s="184" t="s">
        <v>398</v>
      </c>
      <c r="H732" s="185">
        <v>240.5</v>
      </c>
      <c r="I732" s="186"/>
      <c r="J732" s="187">
        <f>ROUND(I732*H732,2)</f>
        <v>0</v>
      </c>
      <c r="K732" s="183" t="s">
        <v>399</v>
      </c>
      <c r="L732" s="41"/>
      <c r="M732" s="188" t="s">
        <v>19</v>
      </c>
      <c r="N732" s="189" t="s">
        <v>43</v>
      </c>
      <c r="O732" s="66"/>
      <c r="P732" s="190">
        <f>O732*H732</f>
        <v>0</v>
      </c>
      <c r="Q732" s="190">
        <v>1.54E-2</v>
      </c>
      <c r="R732" s="190">
        <f>Q732*H732</f>
        <v>3.7037</v>
      </c>
      <c r="S732" s="190">
        <v>0</v>
      </c>
      <c r="T732" s="191">
        <f>S732*H732</f>
        <v>0</v>
      </c>
      <c r="U732" s="36"/>
      <c r="V732" s="36"/>
      <c r="W732" s="36"/>
      <c r="X732" s="36"/>
      <c r="Y732" s="36"/>
      <c r="Z732" s="36"/>
      <c r="AA732" s="36"/>
      <c r="AB732" s="36"/>
      <c r="AC732" s="36"/>
      <c r="AD732" s="36"/>
      <c r="AE732" s="36"/>
      <c r="AR732" s="192" t="s">
        <v>386</v>
      </c>
      <c r="AT732" s="192" t="s">
        <v>382</v>
      </c>
      <c r="AU732" s="192" t="s">
        <v>82</v>
      </c>
      <c r="AY732" s="19" t="s">
        <v>380</v>
      </c>
      <c r="BE732" s="193">
        <f>IF(N732="základní",J732,0)</f>
        <v>0</v>
      </c>
      <c r="BF732" s="193">
        <f>IF(N732="snížená",J732,0)</f>
        <v>0</v>
      </c>
      <c r="BG732" s="193">
        <f>IF(N732="zákl. přenesená",J732,0)</f>
        <v>0</v>
      </c>
      <c r="BH732" s="193">
        <f>IF(N732="sníž. přenesená",J732,0)</f>
        <v>0</v>
      </c>
      <c r="BI732" s="193">
        <f>IF(N732="nulová",J732,0)</f>
        <v>0</v>
      </c>
      <c r="BJ732" s="19" t="s">
        <v>79</v>
      </c>
      <c r="BK732" s="193">
        <f>ROUND(I732*H732,2)</f>
        <v>0</v>
      </c>
      <c r="BL732" s="19" t="s">
        <v>386</v>
      </c>
      <c r="BM732" s="192" t="s">
        <v>1120</v>
      </c>
    </row>
    <row r="733" spans="1:65" s="13" customFormat="1" ht="11.25">
      <c r="B733" s="194"/>
      <c r="C733" s="195"/>
      <c r="D733" s="196" t="s">
        <v>388</v>
      </c>
      <c r="E733" s="197" t="s">
        <v>19</v>
      </c>
      <c r="F733" s="198" t="s">
        <v>1092</v>
      </c>
      <c r="G733" s="195"/>
      <c r="H733" s="197" t="s">
        <v>19</v>
      </c>
      <c r="I733" s="199"/>
      <c r="J733" s="195"/>
      <c r="K733" s="195"/>
      <c r="L733" s="200"/>
      <c r="M733" s="201"/>
      <c r="N733" s="202"/>
      <c r="O733" s="202"/>
      <c r="P733" s="202"/>
      <c r="Q733" s="202"/>
      <c r="R733" s="202"/>
      <c r="S733" s="202"/>
      <c r="T733" s="203"/>
      <c r="AT733" s="204" t="s">
        <v>388</v>
      </c>
      <c r="AU733" s="204" t="s">
        <v>82</v>
      </c>
      <c r="AV733" s="13" t="s">
        <v>79</v>
      </c>
      <c r="AW733" s="13" t="s">
        <v>33</v>
      </c>
      <c r="AX733" s="13" t="s">
        <v>72</v>
      </c>
      <c r="AY733" s="204" t="s">
        <v>380</v>
      </c>
    </row>
    <row r="734" spans="1:65" s="13" customFormat="1" ht="11.25">
      <c r="B734" s="194"/>
      <c r="C734" s="195"/>
      <c r="D734" s="196" t="s">
        <v>388</v>
      </c>
      <c r="E734" s="197" t="s">
        <v>19</v>
      </c>
      <c r="F734" s="198" t="s">
        <v>1121</v>
      </c>
      <c r="G734" s="195"/>
      <c r="H734" s="197" t="s">
        <v>19</v>
      </c>
      <c r="I734" s="199"/>
      <c r="J734" s="195"/>
      <c r="K734" s="195"/>
      <c r="L734" s="200"/>
      <c r="M734" s="201"/>
      <c r="N734" s="202"/>
      <c r="O734" s="202"/>
      <c r="P734" s="202"/>
      <c r="Q734" s="202"/>
      <c r="R734" s="202"/>
      <c r="S734" s="202"/>
      <c r="T734" s="203"/>
      <c r="AT734" s="204" t="s">
        <v>388</v>
      </c>
      <c r="AU734" s="204" t="s">
        <v>82</v>
      </c>
      <c r="AV734" s="13" t="s">
        <v>79</v>
      </c>
      <c r="AW734" s="13" t="s">
        <v>33</v>
      </c>
      <c r="AX734" s="13" t="s">
        <v>72</v>
      </c>
      <c r="AY734" s="204" t="s">
        <v>380</v>
      </c>
    </row>
    <row r="735" spans="1:65" s="14" customFormat="1" ht="11.25">
      <c r="B735" s="205"/>
      <c r="C735" s="206"/>
      <c r="D735" s="196" t="s">
        <v>388</v>
      </c>
      <c r="E735" s="207" t="s">
        <v>19</v>
      </c>
      <c r="F735" s="208" t="s">
        <v>327</v>
      </c>
      <c r="G735" s="206"/>
      <c r="H735" s="209">
        <v>240.5</v>
      </c>
      <c r="I735" s="210"/>
      <c r="J735" s="206"/>
      <c r="K735" s="206"/>
      <c r="L735" s="211"/>
      <c r="M735" s="212"/>
      <c r="N735" s="213"/>
      <c r="O735" s="213"/>
      <c r="P735" s="213"/>
      <c r="Q735" s="213"/>
      <c r="R735" s="213"/>
      <c r="S735" s="213"/>
      <c r="T735" s="214"/>
      <c r="AT735" s="215" t="s">
        <v>388</v>
      </c>
      <c r="AU735" s="215" t="s">
        <v>82</v>
      </c>
      <c r="AV735" s="14" t="s">
        <v>82</v>
      </c>
      <c r="AW735" s="14" t="s">
        <v>33</v>
      </c>
      <c r="AX735" s="14" t="s">
        <v>72</v>
      </c>
      <c r="AY735" s="215" t="s">
        <v>380</v>
      </c>
    </row>
    <row r="736" spans="1:65" s="16" customFormat="1" ht="11.25">
      <c r="B736" s="237"/>
      <c r="C736" s="238"/>
      <c r="D736" s="196" t="s">
        <v>388</v>
      </c>
      <c r="E736" s="239" t="s">
        <v>325</v>
      </c>
      <c r="F736" s="240" t="s">
        <v>572</v>
      </c>
      <c r="G736" s="238"/>
      <c r="H736" s="241">
        <v>240.5</v>
      </c>
      <c r="I736" s="242"/>
      <c r="J736" s="238"/>
      <c r="K736" s="238"/>
      <c r="L736" s="243"/>
      <c r="M736" s="244"/>
      <c r="N736" s="245"/>
      <c r="O736" s="245"/>
      <c r="P736" s="245"/>
      <c r="Q736" s="245"/>
      <c r="R736" s="245"/>
      <c r="S736" s="245"/>
      <c r="T736" s="246"/>
      <c r="AT736" s="247" t="s">
        <v>388</v>
      </c>
      <c r="AU736" s="247" t="s">
        <v>82</v>
      </c>
      <c r="AV736" s="16" t="s">
        <v>99</v>
      </c>
      <c r="AW736" s="16" t="s">
        <v>33</v>
      </c>
      <c r="AX736" s="16" t="s">
        <v>72</v>
      </c>
      <c r="AY736" s="247" t="s">
        <v>380</v>
      </c>
    </row>
    <row r="737" spans="1:65" s="15" customFormat="1" ht="11.25">
      <c r="B737" s="216"/>
      <c r="C737" s="217"/>
      <c r="D737" s="196" t="s">
        <v>388</v>
      </c>
      <c r="E737" s="218" t="s">
        <v>19</v>
      </c>
      <c r="F737" s="219" t="s">
        <v>419</v>
      </c>
      <c r="G737" s="217"/>
      <c r="H737" s="220">
        <v>240.5</v>
      </c>
      <c r="I737" s="221"/>
      <c r="J737" s="217"/>
      <c r="K737" s="217"/>
      <c r="L737" s="222"/>
      <c r="M737" s="223"/>
      <c r="N737" s="224"/>
      <c r="O737" s="224"/>
      <c r="P737" s="224"/>
      <c r="Q737" s="224"/>
      <c r="R737" s="224"/>
      <c r="S737" s="224"/>
      <c r="T737" s="225"/>
      <c r="AT737" s="226" t="s">
        <v>388</v>
      </c>
      <c r="AU737" s="226" t="s">
        <v>82</v>
      </c>
      <c r="AV737" s="15" t="s">
        <v>386</v>
      </c>
      <c r="AW737" s="15" t="s">
        <v>33</v>
      </c>
      <c r="AX737" s="15" t="s">
        <v>79</v>
      </c>
      <c r="AY737" s="226" t="s">
        <v>380</v>
      </c>
    </row>
    <row r="738" spans="1:65" s="2" customFormat="1" ht="24.2" customHeight="1">
      <c r="A738" s="36"/>
      <c r="B738" s="37"/>
      <c r="C738" s="181" t="s">
        <v>1122</v>
      </c>
      <c r="D738" s="181" t="s">
        <v>382</v>
      </c>
      <c r="E738" s="182" t="s">
        <v>1123</v>
      </c>
      <c r="F738" s="183" t="s">
        <v>1124</v>
      </c>
      <c r="G738" s="184" t="s">
        <v>398</v>
      </c>
      <c r="H738" s="185">
        <v>240.5</v>
      </c>
      <c r="I738" s="186"/>
      <c r="J738" s="187">
        <f>ROUND(I738*H738,2)</f>
        <v>0</v>
      </c>
      <c r="K738" s="183" t="s">
        <v>399</v>
      </c>
      <c r="L738" s="41"/>
      <c r="M738" s="188" t="s">
        <v>19</v>
      </c>
      <c r="N738" s="189" t="s">
        <v>43</v>
      </c>
      <c r="O738" s="66"/>
      <c r="P738" s="190">
        <f>O738*H738</f>
        <v>0</v>
      </c>
      <c r="Q738" s="190">
        <v>7.9000000000000008E-3</v>
      </c>
      <c r="R738" s="190">
        <f>Q738*H738</f>
        <v>1.8999500000000002</v>
      </c>
      <c r="S738" s="190">
        <v>0</v>
      </c>
      <c r="T738" s="191">
        <f>S738*H738</f>
        <v>0</v>
      </c>
      <c r="U738" s="36"/>
      <c r="V738" s="36"/>
      <c r="W738" s="36"/>
      <c r="X738" s="36"/>
      <c r="Y738" s="36"/>
      <c r="Z738" s="36"/>
      <c r="AA738" s="36"/>
      <c r="AB738" s="36"/>
      <c r="AC738" s="36"/>
      <c r="AD738" s="36"/>
      <c r="AE738" s="36"/>
      <c r="AR738" s="192" t="s">
        <v>386</v>
      </c>
      <c r="AT738" s="192" t="s">
        <v>382</v>
      </c>
      <c r="AU738" s="192" t="s">
        <v>82</v>
      </c>
      <c r="AY738" s="19" t="s">
        <v>380</v>
      </c>
      <c r="BE738" s="193">
        <f>IF(N738="základní",J738,0)</f>
        <v>0</v>
      </c>
      <c r="BF738" s="193">
        <f>IF(N738="snížená",J738,0)</f>
        <v>0</v>
      </c>
      <c r="BG738" s="193">
        <f>IF(N738="zákl. přenesená",J738,0)</f>
        <v>0</v>
      </c>
      <c r="BH738" s="193">
        <f>IF(N738="sníž. přenesená",J738,0)</f>
        <v>0</v>
      </c>
      <c r="BI738" s="193">
        <f>IF(N738="nulová",J738,0)</f>
        <v>0</v>
      </c>
      <c r="BJ738" s="19" t="s">
        <v>79</v>
      </c>
      <c r="BK738" s="193">
        <f>ROUND(I738*H738,2)</f>
        <v>0</v>
      </c>
      <c r="BL738" s="19" t="s">
        <v>386</v>
      </c>
      <c r="BM738" s="192" t="s">
        <v>1125</v>
      </c>
    </row>
    <row r="739" spans="1:65" s="14" customFormat="1" ht="11.25">
      <c r="B739" s="205"/>
      <c r="C739" s="206"/>
      <c r="D739" s="196" t="s">
        <v>388</v>
      </c>
      <c r="E739" s="207" t="s">
        <v>19</v>
      </c>
      <c r="F739" s="208" t="s">
        <v>325</v>
      </c>
      <c r="G739" s="206"/>
      <c r="H739" s="209">
        <v>240.5</v>
      </c>
      <c r="I739" s="210"/>
      <c r="J739" s="206"/>
      <c r="K739" s="206"/>
      <c r="L739" s="211"/>
      <c r="M739" s="212"/>
      <c r="N739" s="213"/>
      <c r="O739" s="213"/>
      <c r="P739" s="213"/>
      <c r="Q739" s="213"/>
      <c r="R739" s="213"/>
      <c r="S739" s="213"/>
      <c r="T739" s="214"/>
      <c r="AT739" s="215" t="s">
        <v>388</v>
      </c>
      <c r="AU739" s="215" t="s">
        <v>82</v>
      </c>
      <c r="AV739" s="14" t="s">
        <v>82</v>
      </c>
      <c r="AW739" s="14" t="s">
        <v>33</v>
      </c>
      <c r="AX739" s="14" t="s">
        <v>79</v>
      </c>
      <c r="AY739" s="215" t="s">
        <v>380</v>
      </c>
    </row>
    <row r="740" spans="1:65" s="2" customFormat="1" ht="24.2" customHeight="1">
      <c r="A740" s="36"/>
      <c r="B740" s="37"/>
      <c r="C740" s="181" t="s">
        <v>1126</v>
      </c>
      <c r="D740" s="181" t="s">
        <v>382</v>
      </c>
      <c r="E740" s="182" t="s">
        <v>1127</v>
      </c>
      <c r="F740" s="183" t="s">
        <v>1128</v>
      </c>
      <c r="G740" s="184" t="s">
        <v>398</v>
      </c>
      <c r="H740" s="185">
        <v>139.80000000000001</v>
      </c>
      <c r="I740" s="186"/>
      <c r="J740" s="187">
        <f>ROUND(I740*H740,2)</f>
        <v>0</v>
      </c>
      <c r="K740" s="183" t="s">
        <v>399</v>
      </c>
      <c r="L740" s="41"/>
      <c r="M740" s="188" t="s">
        <v>19</v>
      </c>
      <c r="N740" s="189" t="s">
        <v>43</v>
      </c>
      <c r="O740" s="66"/>
      <c r="P740" s="190">
        <f>O740*H740</f>
        <v>0</v>
      </c>
      <c r="Q740" s="190">
        <v>1.3599999999999999E-2</v>
      </c>
      <c r="R740" s="190">
        <f>Q740*H740</f>
        <v>1.9012800000000001</v>
      </c>
      <c r="S740" s="190">
        <v>0</v>
      </c>
      <c r="T740" s="191">
        <f>S740*H740</f>
        <v>0</v>
      </c>
      <c r="U740" s="36"/>
      <c r="V740" s="36"/>
      <c r="W740" s="36"/>
      <c r="X740" s="36"/>
      <c r="Y740" s="36"/>
      <c r="Z740" s="36"/>
      <c r="AA740" s="36"/>
      <c r="AB740" s="36"/>
      <c r="AC740" s="36"/>
      <c r="AD740" s="36"/>
      <c r="AE740" s="36"/>
      <c r="AR740" s="192" t="s">
        <v>386</v>
      </c>
      <c r="AT740" s="192" t="s">
        <v>382</v>
      </c>
      <c r="AU740" s="192" t="s">
        <v>82</v>
      </c>
      <c r="AY740" s="19" t="s">
        <v>380</v>
      </c>
      <c r="BE740" s="193">
        <f>IF(N740="základní",J740,0)</f>
        <v>0</v>
      </c>
      <c r="BF740" s="193">
        <f>IF(N740="snížená",J740,0)</f>
        <v>0</v>
      </c>
      <c r="BG740" s="193">
        <f>IF(N740="zákl. přenesená",J740,0)</f>
        <v>0</v>
      </c>
      <c r="BH740" s="193">
        <f>IF(N740="sníž. přenesená",J740,0)</f>
        <v>0</v>
      </c>
      <c r="BI740" s="193">
        <f>IF(N740="nulová",J740,0)</f>
        <v>0</v>
      </c>
      <c r="BJ740" s="19" t="s">
        <v>79</v>
      </c>
      <c r="BK740" s="193">
        <f>ROUND(I740*H740,2)</f>
        <v>0</v>
      </c>
      <c r="BL740" s="19" t="s">
        <v>386</v>
      </c>
      <c r="BM740" s="192" t="s">
        <v>1129</v>
      </c>
    </row>
    <row r="741" spans="1:65" s="13" customFormat="1" ht="11.25">
      <c r="B741" s="194"/>
      <c r="C741" s="195"/>
      <c r="D741" s="196" t="s">
        <v>388</v>
      </c>
      <c r="E741" s="197" t="s">
        <v>19</v>
      </c>
      <c r="F741" s="198" t="s">
        <v>1092</v>
      </c>
      <c r="G741" s="195"/>
      <c r="H741" s="197" t="s">
        <v>19</v>
      </c>
      <c r="I741" s="199"/>
      <c r="J741" s="195"/>
      <c r="K741" s="195"/>
      <c r="L741" s="200"/>
      <c r="M741" s="201"/>
      <c r="N741" s="202"/>
      <c r="O741" s="202"/>
      <c r="P741" s="202"/>
      <c r="Q741" s="202"/>
      <c r="R741" s="202"/>
      <c r="S741" s="202"/>
      <c r="T741" s="203"/>
      <c r="AT741" s="204" t="s">
        <v>388</v>
      </c>
      <c r="AU741" s="204" t="s">
        <v>82</v>
      </c>
      <c r="AV741" s="13" t="s">
        <v>79</v>
      </c>
      <c r="AW741" s="13" t="s">
        <v>33</v>
      </c>
      <c r="AX741" s="13" t="s">
        <v>72</v>
      </c>
      <c r="AY741" s="204" t="s">
        <v>380</v>
      </c>
    </row>
    <row r="742" spans="1:65" s="13" customFormat="1" ht="11.25">
      <c r="B742" s="194"/>
      <c r="C742" s="195"/>
      <c r="D742" s="196" t="s">
        <v>388</v>
      </c>
      <c r="E742" s="197" t="s">
        <v>19</v>
      </c>
      <c r="F742" s="198" t="s">
        <v>1130</v>
      </c>
      <c r="G742" s="195"/>
      <c r="H742" s="197" t="s">
        <v>19</v>
      </c>
      <c r="I742" s="199"/>
      <c r="J742" s="195"/>
      <c r="K742" s="195"/>
      <c r="L742" s="200"/>
      <c r="M742" s="201"/>
      <c r="N742" s="202"/>
      <c r="O742" s="202"/>
      <c r="P742" s="202"/>
      <c r="Q742" s="202"/>
      <c r="R742" s="202"/>
      <c r="S742" s="202"/>
      <c r="T742" s="203"/>
      <c r="AT742" s="204" t="s">
        <v>388</v>
      </c>
      <c r="AU742" s="204" t="s">
        <v>82</v>
      </c>
      <c r="AV742" s="13" t="s">
        <v>79</v>
      </c>
      <c r="AW742" s="13" t="s">
        <v>33</v>
      </c>
      <c r="AX742" s="13" t="s">
        <v>72</v>
      </c>
      <c r="AY742" s="204" t="s">
        <v>380</v>
      </c>
    </row>
    <row r="743" spans="1:65" s="14" customFormat="1" ht="11.25">
      <c r="B743" s="205"/>
      <c r="C743" s="206"/>
      <c r="D743" s="196" t="s">
        <v>388</v>
      </c>
      <c r="E743" s="207" t="s">
        <v>19</v>
      </c>
      <c r="F743" s="208" t="s">
        <v>318</v>
      </c>
      <c r="G743" s="206"/>
      <c r="H743" s="209">
        <v>139.80000000000001</v>
      </c>
      <c r="I743" s="210"/>
      <c r="J743" s="206"/>
      <c r="K743" s="206"/>
      <c r="L743" s="211"/>
      <c r="M743" s="212"/>
      <c r="N743" s="213"/>
      <c r="O743" s="213"/>
      <c r="P743" s="213"/>
      <c r="Q743" s="213"/>
      <c r="R743" s="213"/>
      <c r="S743" s="213"/>
      <c r="T743" s="214"/>
      <c r="AT743" s="215" t="s">
        <v>388</v>
      </c>
      <c r="AU743" s="215" t="s">
        <v>82</v>
      </c>
      <c r="AV743" s="14" t="s">
        <v>82</v>
      </c>
      <c r="AW743" s="14" t="s">
        <v>33</v>
      </c>
      <c r="AX743" s="14" t="s">
        <v>72</v>
      </c>
      <c r="AY743" s="215" t="s">
        <v>380</v>
      </c>
    </row>
    <row r="744" spans="1:65" s="16" customFormat="1" ht="11.25">
      <c r="B744" s="237"/>
      <c r="C744" s="238"/>
      <c r="D744" s="196" t="s">
        <v>388</v>
      </c>
      <c r="E744" s="239" t="s">
        <v>317</v>
      </c>
      <c r="F744" s="240" t="s">
        <v>572</v>
      </c>
      <c r="G744" s="238"/>
      <c r="H744" s="241">
        <v>139.80000000000001</v>
      </c>
      <c r="I744" s="242"/>
      <c r="J744" s="238"/>
      <c r="K744" s="238"/>
      <c r="L744" s="243"/>
      <c r="M744" s="244"/>
      <c r="N744" s="245"/>
      <c r="O744" s="245"/>
      <c r="P744" s="245"/>
      <c r="Q744" s="245"/>
      <c r="R744" s="245"/>
      <c r="S744" s="245"/>
      <c r="T744" s="246"/>
      <c r="AT744" s="247" t="s">
        <v>388</v>
      </c>
      <c r="AU744" s="247" t="s">
        <v>82</v>
      </c>
      <c r="AV744" s="16" t="s">
        <v>99</v>
      </c>
      <c r="AW744" s="16" t="s">
        <v>33</v>
      </c>
      <c r="AX744" s="16" t="s">
        <v>72</v>
      </c>
      <c r="AY744" s="247" t="s">
        <v>380</v>
      </c>
    </row>
    <row r="745" spans="1:65" s="15" customFormat="1" ht="11.25">
      <c r="B745" s="216"/>
      <c r="C745" s="217"/>
      <c r="D745" s="196" t="s">
        <v>388</v>
      </c>
      <c r="E745" s="218" t="s">
        <v>19</v>
      </c>
      <c r="F745" s="219" t="s">
        <v>419</v>
      </c>
      <c r="G745" s="217"/>
      <c r="H745" s="220">
        <v>139.80000000000001</v>
      </c>
      <c r="I745" s="221"/>
      <c r="J745" s="217"/>
      <c r="K745" s="217"/>
      <c r="L745" s="222"/>
      <c r="M745" s="223"/>
      <c r="N745" s="224"/>
      <c r="O745" s="224"/>
      <c r="P745" s="224"/>
      <c r="Q745" s="224"/>
      <c r="R745" s="224"/>
      <c r="S745" s="224"/>
      <c r="T745" s="225"/>
      <c r="AT745" s="226" t="s">
        <v>388</v>
      </c>
      <c r="AU745" s="226" t="s">
        <v>82</v>
      </c>
      <c r="AV745" s="15" t="s">
        <v>386</v>
      </c>
      <c r="AW745" s="15" t="s">
        <v>33</v>
      </c>
      <c r="AX745" s="15" t="s">
        <v>79</v>
      </c>
      <c r="AY745" s="226" t="s">
        <v>380</v>
      </c>
    </row>
    <row r="746" spans="1:65" s="2" customFormat="1" ht="24.2" customHeight="1">
      <c r="A746" s="36"/>
      <c r="B746" s="37"/>
      <c r="C746" s="181" t="s">
        <v>1131</v>
      </c>
      <c r="D746" s="181" t="s">
        <v>382</v>
      </c>
      <c r="E746" s="182" t="s">
        <v>1132</v>
      </c>
      <c r="F746" s="183" t="s">
        <v>1133</v>
      </c>
      <c r="G746" s="184" t="s">
        <v>398</v>
      </c>
      <c r="H746" s="185">
        <v>2650.3</v>
      </c>
      <c r="I746" s="186"/>
      <c r="J746" s="187">
        <f>ROUND(I746*H746,2)</f>
        <v>0</v>
      </c>
      <c r="K746" s="183" t="s">
        <v>399</v>
      </c>
      <c r="L746" s="41"/>
      <c r="M746" s="188" t="s">
        <v>19</v>
      </c>
      <c r="N746" s="189" t="s">
        <v>43</v>
      </c>
      <c r="O746" s="66"/>
      <c r="P746" s="190">
        <f>O746*H746</f>
        <v>0</v>
      </c>
      <c r="Q746" s="190">
        <v>1.103E-2</v>
      </c>
      <c r="R746" s="190">
        <f>Q746*H746</f>
        <v>29.232809000000003</v>
      </c>
      <c r="S746" s="190">
        <v>0</v>
      </c>
      <c r="T746" s="191">
        <f>S746*H746</f>
        <v>0</v>
      </c>
      <c r="U746" s="36"/>
      <c r="V746" s="36"/>
      <c r="W746" s="36"/>
      <c r="X746" s="36"/>
      <c r="Y746" s="36"/>
      <c r="Z746" s="36"/>
      <c r="AA746" s="36"/>
      <c r="AB746" s="36"/>
      <c r="AC746" s="36"/>
      <c r="AD746" s="36"/>
      <c r="AE746" s="36"/>
      <c r="AR746" s="192" t="s">
        <v>386</v>
      </c>
      <c r="AT746" s="192" t="s">
        <v>382</v>
      </c>
      <c r="AU746" s="192" t="s">
        <v>82</v>
      </c>
      <c r="AY746" s="19" t="s">
        <v>380</v>
      </c>
      <c r="BE746" s="193">
        <f>IF(N746="základní",J746,0)</f>
        <v>0</v>
      </c>
      <c r="BF746" s="193">
        <f>IF(N746="snížená",J746,0)</f>
        <v>0</v>
      </c>
      <c r="BG746" s="193">
        <f>IF(N746="zákl. přenesená",J746,0)</f>
        <v>0</v>
      </c>
      <c r="BH746" s="193">
        <f>IF(N746="sníž. přenesená",J746,0)</f>
        <v>0</v>
      </c>
      <c r="BI746" s="193">
        <f>IF(N746="nulová",J746,0)</f>
        <v>0</v>
      </c>
      <c r="BJ746" s="19" t="s">
        <v>79</v>
      </c>
      <c r="BK746" s="193">
        <f>ROUND(I746*H746,2)</f>
        <v>0</v>
      </c>
      <c r="BL746" s="19" t="s">
        <v>386</v>
      </c>
      <c r="BM746" s="192" t="s">
        <v>1134</v>
      </c>
    </row>
    <row r="747" spans="1:65" s="14" customFormat="1" ht="11.25">
      <c r="B747" s="205"/>
      <c r="C747" s="206"/>
      <c r="D747" s="196" t="s">
        <v>388</v>
      </c>
      <c r="E747" s="207" t="s">
        <v>19</v>
      </c>
      <c r="F747" s="208" t="s">
        <v>1135</v>
      </c>
      <c r="G747" s="206"/>
      <c r="H747" s="209">
        <v>2650.3</v>
      </c>
      <c r="I747" s="210"/>
      <c r="J747" s="206"/>
      <c r="K747" s="206"/>
      <c r="L747" s="211"/>
      <c r="M747" s="212"/>
      <c r="N747" s="213"/>
      <c r="O747" s="213"/>
      <c r="P747" s="213"/>
      <c r="Q747" s="213"/>
      <c r="R747" s="213"/>
      <c r="S747" s="213"/>
      <c r="T747" s="214"/>
      <c r="AT747" s="215" t="s">
        <v>388</v>
      </c>
      <c r="AU747" s="215" t="s">
        <v>82</v>
      </c>
      <c r="AV747" s="14" t="s">
        <v>82</v>
      </c>
      <c r="AW747" s="14" t="s">
        <v>33</v>
      </c>
      <c r="AX747" s="14" t="s">
        <v>79</v>
      </c>
      <c r="AY747" s="215" t="s">
        <v>380</v>
      </c>
    </row>
    <row r="748" spans="1:65" s="2" customFormat="1" ht="24.2" customHeight="1">
      <c r="A748" s="36"/>
      <c r="B748" s="37"/>
      <c r="C748" s="181" t="s">
        <v>1136</v>
      </c>
      <c r="D748" s="181" t="s">
        <v>382</v>
      </c>
      <c r="E748" s="182" t="s">
        <v>1137</v>
      </c>
      <c r="F748" s="183" t="s">
        <v>1138</v>
      </c>
      <c r="G748" s="184" t="s">
        <v>398</v>
      </c>
      <c r="H748" s="185">
        <v>2650.3</v>
      </c>
      <c r="I748" s="186"/>
      <c r="J748" s="187">
        <f>ROUND(I748*H748,2)</f>
        <v>0</v>
      </c>
      <c r="K748" s="183" t="s">
        <v>399</v>
      </c>
      <c r="L748" s="41"/>
      <c r="M748" s="188" t="s">
        <v>19</v>
      </c>
      <c r="N748" s="189" t="s">
        <v>43</v>
      </c>
      <c r="O748" s="66"/>
      <c r="P748" s="190">
        <f>O748*H748</f>
        <v>0</v>
      </c>
      <c r="Q748" s="190">
        <v>5.5199999999999997E-3</v>
      </c>
      <c r="R748" s="190">
        <f>Q748*H748</f>
        <v>14.629656000000001</v>
      </c>
      <c r="S748" s="190">
        <v>0</v>
      </c>
      <c r="T748" s="191">
        <f>S748*H748</f>
        <v>0</v>
      </c>
      <c r="U748" s="36"/>
      <c r="V748" s="36"/>
      <c r="W748" s="36"/>
      <c r="X748" s="36"/>
      <c r="Y748" s="36"/>
      <c r="Z748" s="36"/>
      <c r="AA748" s="36"/>
      <c r="AB748" s="36"/>
      <c r="AC748" s="36"/>
      <c r="AD748" s="36"/>
      <c r="AE748" s="36"/>
      <c r="AR748" s="192" t="s">
        <v>386</v>
      </c>
      <c r="AT748" s="192" t="s">
        <v>382</v>
      </c>
      <c r="AU748" s="192" t="s">
        <v>82</v>
      </c>
      <c r="AY748" s="19" t="s">
        <v>380</v>
      </c>
      <c r="BE748" s="193">
        <f>IF(N748="základní",J748,0)</f>
        <v>0</v>
      </c>
      <c r="BF748" s="193">
        <f>IF(N748="snížená",J748,0)</f>
        <v>0</v>
      </c>
      <c r="BG748" s="193">
        <f>IF(N748="zákl. přenesená",J748,0)</f>
        <v>0</v>
      </c>
      <c r="BH748" s="193">
        <f>IF(N748="sníž. přenesená",J748,0)</f>
        <v>0</v>
      </c>
      <c r="BI748" s="193">
        <f>IF(N748="nulová",J748,0)</f>
        <v>0</v>
      </c>
      <c r="BJ748" s="19" t="s">
        <v>79</v>
      </c>
      <c r="BK748" s="193">
        <f>ROUND(I748*H748,2)</f>
        <v>0</v>
      </c>
      <c r="BL748" s="19" t="s">
        <v>386</v>
      </c>
      <c r="BM748" s="192" t="s">
        <v>1139</v>
      </c>
    </row>
    <row r="749" spans="1:65" s="14" customFormat="1" ht="11.25">
      <c r="B749" s="205"/>
      <c r="C749" s="206"/>
      <c r="D749" s="196" t="s">
        <v>388</v>
      </c>
      <c r="E749" s="207" t="s">
        <v>19</v>
      </c>
      <c r="F749" s="208" t="s">
        <v>302</v>
      </c>
      <c r="G749" s="206"/>
      <c r="H749" s="209">
        <v>2650.3</v>
      </c>
      <c r="I749" s="210"/>
      <c r="J749" s="206"/>
      <c r="K749" s="206"/>
      <c r="L749" s="211"/>
      <c r="M749" s="212"/>
      <c r="N749" s="213"/>
      <c r="O749" s="213"/>
      <c r="P749" s="213"/>
      <c r="Q749" s="213"/>
      <c r="R749" s="213"/>
      <c r="S749" s="213"/>
      <c r="T749" s="214"/>
      <c r="AT749" s="215" t="s">
        <v>388</v>
      </c>
      <c r="AU749" s="215" t="s">
        <v>82</v>
      </c>
      <c r="AV749" s="14" t="s">
        <v>82</v>
      </c>
      <c r="AW749" s="14" t="s">
        <v>33</v>
      </c>
      <c r="AX749" s="14" t="s">
        <v>79</v>
      </c>
      <c r="AY749" s="215" t="s">
        <v>380</v>
      </c>
    </row>
    <row r="750" spans="1:65" s="2" customFormat="1" ht="37.9" customHeight="1">
      <c r="A750" s="36"/>
      <c r="B750" s="37"/>
      <c r="C750" s="181" t="s">
        <v>1140</v>
      </c>
      <c r="D750" s="181" t="s">
        <v>382</v>
      </c>
      <c r="E750" s="182" t="s">
        <v>1141</v>
      </c>
      <c r="F750" s="183" t="s">
        <v>1142</v>
      </c>
      <c r="G750" s="184" t="s">
        <v>398</v>
      </c>
      <c r="H750" s="185">
        <v>134.54</v>
      </c>
      <c r="I750" s="186"/>
      <c r="J750" s="187">
        <f>ROUND(I750*H750,2)</f>
        <v>0</v>
      </c>
      <c r="K750" s="183" t="s">
        <v>19</v>
      </c>
      <c r="L750" s="41"/>
      <c r="M750" s="188" t="s">
        <v>19</v>
      </c>
      <c r="N750" s="189" t="s">
        <v>43</v>
      </c>
      <c r="O750" s="66"/>
      <c r="P750" s="190">
        <f>O750*H750</f>
        <v>0</v>
      </c>
      <c r="Q750" s="190">
        <v>8.6999999999999994E-3</v>
      </c>
      <c r="R750" s="190">
        <f>Q750*H750</f>
        <v>1.1704979999999998</v>
      </c>
      <c r="S750" s="190">
        <v>0</v>
      </c>
      <c r="T750" s="191">
        <f>S750*H750</f>
        <v>0</v>
      </c>
      <c r="U750" s="36"/>
      <c r="V750" s="36"/>
      <c r="W750" s="36"/>
      <c r="X750" s="36"/>
      <c r="Y750" s="36"/>
      <c r="Z750" s="36"/>
      <c r="AA750" s="36"/>
      <c r="AB750" s="36"/>
      <c r="AC750" s="36"/>
      <c r="AD750" s="36"/>
      <c r="AE750" s="36"/>
      <c r="AR750" s="192" t="s">
        <v>386</v>
      </c>
      <c r="AT750" s="192" t="s">
        <v>382</v>
      </c>
      <c r="AU750" s="192" t="s">
        <v>82</v>
      </c>
      <c r="AY750" s="19" t="s">
        <v>380</v>
      </c>
      <c r="BE750" s="193">
        <f>IF(N750="základní",J750,0)</f>
        <v>0</v>
      </c>
      <c r="BF750" s="193">
        <f>IF(N750="snížená",J750,0)</f>
        <v>0</v>
      </c>
      <c r="BG750" s="193">
        <f>IF(N750="zákl. přenesená",J750,0)</f>
        <v>0</v>
      </c>
      <c r="BH750" s="193">
        <f>IF(N750="sníž. přenesená",J750,0)</f>
        <v>0</v>
      </c>
      <c r="BI750" s="193">
        <f>IF(N750="nulová",J750,0)</f>
        <v>0</v>
      </c>
      <c r="BJ750" s="19" t="s">
        <v>79</v>
      </c>
      <c r="BK750" s="193">
        <f>ROUND(I750*H750,2)</f>
        <v>0</v>
      </c>
      <c r="BL750" s="19" t="s">
        <v>386</v>
      </c>
      <c r="BM750" s="192" t="s">
        <v>1143</v>
      </c>
    </row>
    <row r="751" spans="1:65" s="13" customFormat="1" ht="11.25">
      <c r="B751" s="194"/>
      <c r="C751" s="195"/>
      <c r="D751" s="196" t="s">
        <v>388</v>
      </c>
      <c r="E751" s="197" t="s">
        <v>19</v>
      </c>
      <c r="F751" s="198" t="s">
        <v>1144</v>
      </c>
      <c r="G751" s="195"/>
      <c r="H751" s="197" t="s">
        <v>19</v>
      </c>
      <c r="I751" s="199"/>
      <c r="J751" s="195"/>
      <c r="K751" s="195"/>
      <c r="L751" s="200"/>
      <c r="M751" s="201"/>
      <c r="N751" s="202"/>
      <c r="O751" s="202"/>
      <c r="P751" s="202"/>
      <c r="Q751" s="202"/>
      <c r="R751" s="202"/>
      <c r="S751" s="202"/>
      <c r="T751" s="203"/>
      <c r="AT751" s="204" t="s">
        <v>388</v>
      </c>
      <c r="AU751" s="204" t="s">
        <v>82</v>
      </c>
      <c r="AV751" s="13" t="s">
        <v>79</v>
      </c>
      <c r="AW751" s="13" t="s">
        <v>33</v>
      </c>
      <c r="AX751" s="13" t="s">
        <v>72</v>
      </c>
      <c r="AY751" s="204" t="s">
        <v>380</v>
      </c>
    </row>
    <row r="752" spans="1:65" s="14" customFormat="1" ht="11.25">
      <c r="B752" s="205"/>
      <c r="C752" s="206"/>
      <c r="D752" s="196" t="s">
        <v>388</v>
      </c>
      <c r="E752" s="207" t="s">
        <v>19</v>
      </c>
      <c r="F752" s="208" t="s">
        <v>1145</v>
      </c>
      <c r="G752" s="206"/>
      <c r="H752" s="209">
        <v>64.5</v>
      </c>
      <c r="I752" s="210"/>
      <c r="J752" s="206"/>
      <c r="K752" s="206"/>
      <c r="L752" s="211"/>
      <c r="M752" s="212"/>
      <c r="N752" s="213"/>
      <c r="O752" s="213"/>
      <c r="P752" s="213"/>
      <c r="Q752" s="213"/>
      <c r="R752" s="213"/>
      <c r="S752" s="213"/>
      <c r="T752" s="214"/>
      <c r="AT752" s="215" t="s">
        <v>388</v>
      </c>
      <c r="AU752" s="215" t="s">
        <v>82</v>
      </c>
      <c r="AV752" s="14" t="s">
        <v>82</v>
      </c>
      <c r="AW752" s="14" t="s">
        <v>33</v>
      </c>
      <c r="AX752" s="14" t="s">
        <v>72</v>
      </c>
      <c r="AY752" s="215" t="s">
        <v>380</v>
      </c>
    </row>
    <row r="753" spans="1:65" s="13" customFormat="1" ht="11.25">
      <c r="B753" s="194"/>
      <c r="C753" s="195"/>
      <c r="D753" s="196" t="s">
        <v>388</v>
      </c>
      <c r="E753" s="197" t="s">
        <v>19</v>
      </c>
      <c r="F753" s="198" t="s">
        <v>1146</v>
      </c>
      <c r="G753" s="195"/>
      <c r="H753" s="197" t="s">
        <v>19</v>
      </c>
      <c r="I753" s="199"/>
      <c r="J753" s="195"/>
      <c r="K753" s="195"/>
      <c r="L753" s="200"/>
      <c r="M753" s="201"/>
      <c r="N753" s="202"/>
      <c r="O753" s="202"/>
      <c r="P753" s="202"/>
      <c r="Q753" s="202"/>
      <c r="R753" s="202"/>
      <c r="S753" s="202"/>
      <c r="T753" s="203"/>
      <c r="AT753" s="204" t="s">
        <v>388</v>
      </c>
      <c r="AU753" s="204" t="s">
        <v>82</v>
      </c>
      <c r="AV753" s="13" t="s">
        <v>79</v>
      </c>
      <c r="AW753" s="13" t="s">
        <v>33</v>
      </c>
      <c r="AX753" s="13" t="s">
        <v>72</v>
      </c>
      <c r="AY753" s="204" t="s">
        <v>380</v>
      </c>
    </row>
    <row r="754" spans="1:65" s="14" customFormat="1" ht="11.25">
      <c r="B754" s="205"/>
      <c r="C754" s="206"/>
      <c r="D754" s="196" t="s">
        <v>388</v>
      </c>
      <c r="E754" s="207" t="s">
        <v>19</v>
      </c>
      <c r="F754" s="208" t="s">
        <v>1147</v>
      </c>
      <c r="G754" s="206"/>
      <c r="H754" s="209">
        <v>68.599999999999994</v>
      </c>
      <c r="I754" s="210"/>
      <c r="J754" s="206"/>
      <c r="K754" s="206"/>
      <c r="L754" s="211"/>
      <c r="M754" s="212"/>
      <c r="N754" s="213"/>
      <c r="O754" s="213"/>
      <c r="P754" s="213"/>
      <c r="Q754" s="213"/>
      <c r="R754" s="213"/>
      <c r="S754" s="213"/>
      <c r="T754" s="214"/>
      <c r="AT754" s="215" t="s">
        <v>388</v>
      </c>
      <c r="AU754" s="215" t="s">
        <v>82</v>
      </c>
      <c r="AV754" s="14" t="s">
        <v>82</v>
      </c>
      <c r="AW754" s="14" t="s">
        <v>33</v>
      </c>
      <c r="AX754" s="14" t="s">
        <v>72</v>
      </c>
      <c r="AY754" s="215" t="s">
        <v>380</v>
      </c>
    </row>
    <row r="755" spans="1:65" s="13" customFormat="1" ht="11.25">
      <c r="B755" s="194"/>
      <c r="C755" s="195"/>
      <c r="D755" s="196" t="s">
        <v>388</v>
      </c>
      <c r="E755" s="197" t="s">
        <v>19</v>
      </c>
      <c r="F755" s="198" t="s">
        <v>1148</v>
      </c>
      <c r="G755" s="195"/>
      <c r="H755" s="197" t="s">
        <v>19</v>
      </c>
      <c r="I755" s="199"/>
      <c r="J755" s="195"/>
      <c r="K755" s="195"/>
      <c r="L755" s="200"/>
      <c r="M755" s="201"/>
      <c r="N755" s="202"/>
      <c r="O755" s="202"/>
      <c r="P755" s="202"/>
      <c r="Q755" s="202"/>
      <c r="R755" s="202"/>
      <c r="S755" s="202"/>
      <c r="T755" s="203"/>
      <c r="AT755" s="204" t="s">
        <v>388</v>
      </c>
      <c r="AU755" s="204" t="s">
        <v>82</v>
      </c>
      <c r="AV755" s="13" t="s">
        <v>79</v>
      </c>
      <c r="AW755" s="13" t="s">
        <v>33</v>
      </c>
      <c r="AX755" s="13" t="s">
        <v>72</v>
      </c>
      <c r="AY755" s="204" t="s">
        <v>380</v>
      </c>
    </row>
    <row r="756" spans="1:65" s="14" customFormat="1" ht="11.25">
      <c r="B756" s="205"/>
      <c r="C756" s="206"/>
      <c r="D756" s="196" t="s">
        <v>388</v>
      </c>
      <c r="E756" s="207" t="s">
        <v>19</v>
      </c>
      <c r="F756" s="208" t="s">
        <v>1149</v>
      </c>
      <c r="G756" s="206"/>
      <c r="H756" s="209">
        <v>1.44</v>
      </c>
      <c r="I756" s="210"/>
      <c r="J756" s="206"/>
      <c r="K756" s="206"/>
      <c r="L756" s="211"/>
      <c r="M756" s="212"/>
      <c r="N756" s="213"/>
      <c r="O756" s="213"/>
      <c r="P756" s="213"/>
      <c r="Q756" s="213"/>
      <c r="R756" s="213"/>
      <c r="S756" s="213"/>
      <c r="T756" s="214"/>
      <c r="AT756" s="215" t="s">
        <v>388</v>
      </c>
      <c r="AU756" s="215" t="s">
        <v>82</v>
      </c>
      <c r="AV756" s="14" t="s">
        <v>82</v>
      </c>
      <c r="AW756" s="14" t="s">
        <v>33</v>
      </c>
      <c r="AX756" s="14" t="s">
        <v>72</v>
      </c>
      <c r="AY756" s="215" t="s">
        <v>380</v>
      </c>
    </row>
    <row r="757" spans="1:65" s="15" customFormat="1" ht="11.25">
      <c r="B757" s="216"/>
      <c r="C757" s="217"/>
      <c r="D757" s="196" t="s">
        <v>388</v>
      </c>
      <c r="E757" s="218" t="s">
        <v>19</v>
      </c>
      <c r="F757" s="219" t="s">
        <v>419</v>
      </c>
      <c r="G757" s="217"/>
      <c r="H757" s="220">
        <v>134.54</v>
      </c>
      <c r="I757" s="221"/>
      <c r="J757" s="217"/>
      <c r="K757" s="217"/>
      <c r="L757" s="222"/>
      <c r="M757" s="223"/>
      <c r="N757" s="224"/>
      <c r="O757" s="224"/>
      <c r="P757" s="224"/>
      <c r="Q757" s="224"/>
      <c r="R757" s="224"/>
      <c r="S757" s="224"/>
      <c r="T757" s="225"/>
      <c r="AT757" s="226" t="s">
        <v>388</v>
      </c>
      <c r="AU757" s="226" t="s">
        <v>82</v>
      </c>
      <c r="AV757" s="15" t="s">
        <v>386</v>
      </c>
      <c r="AW757" s="15" t="s">
        <v>33</v>
      </c>
      <c r="AX757" s="15" t="s">
        <v>79</v>
      </c>
      <c r="AY757" s="226" t="s">
        <v>380</v>
      </c>
    </row>
    <row r="758" spans="1:65" s="2" customFormat="1" ht="16.5" customHeight="1">
      <c r="A758" s="36"/>
      <c r="B758" s="37"/>
      <c r="C758" s="227" t="s">
        <v>1150</v>
      </c>
      <c r="D758" s="227" t="s">
        <v>465</v>
      </c>
      <c r="E758" s="228" t="s">
        <v>1151</v>
      </c>
      <c r="F758" s="229" t="s">
        <v>1152</v>
      </c>
      <c r="G758" s="230" t="s">
        <v>398</v>
      </c>
      <c r="H758" s="231">
        <v>71.441000000000003</v>
      </c>
      <c r="I758" s="232"/>
      <c r="J758" s="233">
        <f>ROUND(I758*H758,2)</f>
        <v>0</v>
      </c>
      <c r="K758" s="229" t="s">
        <v>19</v>
      </c>
      <c r="L758" s="234"/>
      <c r="M758" s="235" t="s">
        <v>19</v>
      </c>
      <c r="N758" s="236" t="s">
        <v>43</v>
      </c>
      <c r="O758" s="66"/>
      <c r="P758" s="190">
        <f>O758*H758</f>
        <v>0</v>
      </c>
      <c r="Q758" s="190">
        <v>1.8E-3</v>
      </c>
      <c r="R758" s="190">
        <f>Q758*H758</f>
        <v>0.12859380000000001</v>
      </c>
      <c r="S758" s="190">
        <v>0</v>
      </c>
      <c r="T758" s="191">
        <f>S758*H758</f>
        <v>0</v>
      </c>
      <c r="U758" s="36"/>
      <c r="V758" s="36"/>
      <c r="W758" s="36"/>
      <c r="X758" s="36"/>
      <c r="Y758" s="36"/>
      <c r="Z758" s="36"/>
      <c r="AA758" s="36"/>
      <c r="AB758" s="36"/>
      <c r="AC758" s="36"/>
      <c r="AD758" s="36"/>
      <c r="AE758" s="36"/>
      <c r="AR758" s="192" t="s">
        <v>424</v>
      </c>
      <c r="AT758" s="192" t="s">
        <v>465</v>
      </c>
      <c r="AU758" s="192" t="s">
        <v>82</v>
      </c>
      <c r="AY758" s="19" t="s">
        <v>380</v>
      </c>
      <c r="BE758" s="193">
        <f>IF(N758="základní",J758,0)</f>
        <v>0</v>
      </c>
      <c r="BF758" s="193">
        <f>IF(N758="snížená",J758,0)</f>
        <v>0</v>
      </c>
      <c r="BG758" s="193">
        <f>IF(N758="zákl. přenesená",J758,0)</f>
        <v>0</v>
      </c>
      <c r="BH758" s="193">
        <f>IF(N758="sníž. přenesená",J758,0)</f>
        <v>0</v>
      </c>
      <c r="BI758" s="193">
        <f>IF(N758="nulová",J758,0)</f>
        <v>0</v>
      </c>
      <c r="BJ758" s="19" t="s">
        <v>79</v>
      </c>
      <c r="BK758" s="193">
        <f>ROUND(I758*H758,2)</f>
        <v>0</v>
      </c>
      <c r="BL758" s="19" t="s">
        <v>386</v>
      </c>
      <c r="BM758" s="192" t="s">
        <v>1153</v>
      </c>
    </row>
    <row r="759" spans="1:65" s="13" customFormat="1" ht="11.25">
      <c r="B759" s="194"/>
      <c r="C759" s="195"/>
      <c r="D759" s="196" t="s">
        <v>388</v>
      </c>
      <c r="E759" s="197" t="s">
        <v>19</v>
      </c>
      <c r="F759" s="198" t="s">
        <v>1146</v>
      </c>
      <c r="G759" s="195"/>
      <c r="H759" s="197" t="s">
        <v>19</v>
      </c>
      <c r="I759" s="199"/>
      <c r="J759" s="195"/>
      <c r="K759" s="195"/>
      <c r="L759" s="200"/>
      <c r="M759" s="201"/>
      <c r="N759" s="202"/>
      <c r="O759" s="202"/>
      <c r="P759" s="202"/>
      <c r="Q759" s="202"/>
      <c r="R759" s="202"/>
      <c r="S759" s="202"/>
      <c r="T759" s="203"/>
      <c r="AT759" s="204" t="s">
        <v>388</v>
      </c>
      <c r="AU759" s="204" t="s">
        <v>82</v>
      </c>
      <c r="AV759" s="13" t="s">
        <v>79</v>
      </c>
      <c r="AW759" s="13" t="s">
        <v>33</v>
      </c>
      <c r="AX759" s="13" t="s">
        <v>72</v>
      </c>
      <c r="AY759" s="204" t="s">
        <v>380</v>
      </c>
    </row>
    <row r="760" spans="1:65" s="14" customFormat="1" ht="11.25">
      <c r="B760" s="205"/>
      <c r="C760" s="206"/>
      <c r="D760" s="196" t="s">
        <v>388</v>
      </c>
      <c r="E760" s="207" t="s">
        <v>19</v>
      </c>
      <c r="F760" s="208" t="s">
        <v>1154</v>
      </c>
      <c r="G760" s="206"/>
      <c r="H760" s="209">
        <v>69.971999999999994</v>
      </c>
      <c r="I760" s="210"/>
      <c r="J760" s="206"/>
      <c r="K760" s="206"/>
      <c r="L760" s="211"/>
      <c r="M760" s="212"/>
      <c r="N760" s="213"/>
      <c r="O760" s="213"/>
      <c r="P760" s="213"/>
      <c r="Q760" s="213"/>
      <c r="R760" s="213"/>
      <c r="S760" s="213"/>
      <c r="T760" s="214"/>
      <c r="AT760" s="215" t="s">
        <v>388</v>
      </c>
      <c r="AU760" s="215" t="s">
        <v>82</v>
      </c>
      <c r="AV760" s="14" t="s">
        <v>82</v>
      </c>
      <c r="AW760" s="14" t="s">
        <v>33</v>
      </c>
      <c r="AX760" s="14" t="s">
        <v>72</v>
      </c>
      <c r="AY760" s="215" t="s">
        <v>380</v>
      </c>
    </row>
    <row r="761" spans="1:65" s="13" customFormat="1" ht="11.25">
      <c r="B761" s="194"/>
      <c r="C761" s="195"/>
      <c r="D761" s="196" t="s">
        <v>388</v>
      </c>
      <c r="E761" s="197" t="s">
        <v>19</v>
      </c>
      <c r="F761" s="198" t="s">
        <v>1148</v>
      </c>
      <c r="G761" s="195"/>
      <c r="H761" s="197" t="s">
        <v>19</v>
      </c>
      <c r="I761" s="199"/>
      <c r="J761" s="195"/>
      <c r="K761" s="195"/>
      <c r="L761" s="200"/>
      <c r="M761" s="201"/>
      <c r="N761" s="202"/>
      <c r="O761" s="202"/>
      <c r="P761" s="202"/>
      <c r="Q761" s="202"/>
      <c r="R761" s="202"/>
      <c r="S761" s="202"/>
      <c r="T761" s="203"/>
      <c r="AT761" s="204" t="s">
        <v>388</v>
      </c>
      <c r="AU761" s="204" t="s">
        <v>82</v>
      </c>
      <c r="AV761" s="13" t="s">
        <v>79</v>
      </c>
      <c r="AW761" s="13" t="s">
        <v>33</v>
      </c>
      <c r="AX761" s="13" t="s">
        <v>72</v>
      </c>
      <c r="AY761" s="204" t="s">
        <v>380</v>
      </c>
    </row>
    <row r="762" spans="1:65" s="14" customFormat="1" ht="11.25">
      <c r="B762" s="205"/>
      <c r="C762" s="206"/>
      <c r="D762" s="196" t="s">
        <v>388</v>
      </c>
      <c r="E762" s="207" t="s">
        <v>19</v>
      </c>
      <c r="F762" s="208" t="s">
        <v>1155</v>
      </c>
      <c r="G762" s="206"/>
      <c r="H762" s="209">
        <v>1.4690000000000001</v>
      </c>
      <c r="I762" s="210"/>
      <c r="J762" s="206"/>
      <c r="K762" s="206"/>
      <c r="L762" s="211"/>
      <c r="M762" s="212"/>
      <c r="N762" s="213"/>
      <c r="O762" s="213"/>
      <c r="P762" s="213"/>
      <c r="Q762" s="213"/>
      <c r="R762" s="213"/>
      <c r="S762" s="213"/>
      <c r="T762" s="214"/>
      <c r="AT762" s="215" t="s">
        <v>388</v>
      </c>
      <c r="AU762" s="215" t="s">
        <v>82</v>
      </c>
      <c r="AV762" s="14" t="s">
        <v>82</v>
      </c>
      <c r="AW762" s="14" t="s">
        <v>33</v>
      </c>
      <c r="AX762" s="14" t="s">
        <v>72</v>
      </c>
      <c r="AY762" s="215" t="s">
        <v>380</v>
      </c>
    </row>
    <row r="763" spans="1:65" s="15" customFormat="1" ht="11.25">
      <c r="B763" s="216"/>
      <c r="C763" s="217"/>
      <c r="D763" s="196" t="s">
        <v>388</v>
      </c>
      <c r="E763" s="218" t="s">
        <v>19</v>
      </c>
      <c r="F763" s="219" t="s">
        <v>419</v>
      </c>
      <c r="G763" s="217"/>
      <c r="H763" s="220">
        <v>71.441000000000003</v>
      </c>
      <c r="I763" s="221"/>
      <c r="J763" s="217"/>
      <c r="K763" s="217"/>
      <c r="L763" s="222"/>
      <c r="M763" s="223"/>
      <c r="N763" s="224"/>
      <c r="O763" s="224"/>
      <c r="P763" s="224"/>
      <c r="Q763" s="224"/>
      <c r="R763" s="224"/>
      <c r="S763" s="224"/>
      <c r="T763" s="225"/>
      <c r="AT763" s="226" t="s">
        <v>388</v>
      </c>
      <c r="AU763" s="226" t="s">
        <v>82</v>
      </c>
      <c r="AV763" s="15" t="s">
        <v>386</v>
      </c>
      <c r="AW763" s="15" t="s">
        <v>33</v>
      </c>
      <c r="AX763" s="15" t="s">
        <v>79</v>
      </c>
      <c r="AY763" s="226" t="s">
        <v>380</v>
      </c>
    </row>
    <row r="764" spans="1:65" s="2" customFormat="1" ht="16.5" customHeight="1">
      <c r="A764" s="36"/>
      <c r="B764" s="37"/>
      <c r="C764" s="227" t="s">
        <v>1156</v>
      </c>
      <c r="D764" s="227" t="s">
        <v>465</v>
      </c>
      <c r="E764" s="228" t="s">
        <v>1157</v>
      </c>
      <c r="F764" s="229" t="s">
        <v>1158</v>
      </c>
      <c r="G764" s="230" t="s">
        <v>398</v>
      </c>
      <c r="H764" s="231">
        <v>65.790000000000006</v>
      </c>
      <c r="I764" s="232"/>
      <c r="J764" s="233">
        <f>ROUND(I764*H764,2)</f>
        <v>0</v>
      </c>
      <c r="K764" s="229" t="s">
        <v>19</v>
      </c>
      <c r="L764" s="234"/>
      <c r="M764" s="235" t="s">
        <v>19</v>
      </c>
      <c r="N764" s="236" t="s">
        <v>43</v>
      </c>
      <c r="O764" s="66"/>
      <c r="P764" s="190">
        <f>O764*H764</f>
        <v>0</v>
      </c>
      <c r="Q764" s="190">
        <v>3.5999999999999999E-3</v>
      </c>
      <c r="R764" s="190">
        <f>Q764*H764</f>
        <v>0.23684400000000003</v>
      </c>
      <c r="S764" s="190">
        <v>0</v>
      </c>
      <c r="T764" s="191">
        <f>S764*H764</f>
        <v>0</v>
      </c>
      <c r="U764" s="36"/>
      <c r="V764" s="36"/>
      <c r="W764" s="36"/>
      <c r="X764" s="36"/>
      <c r="Y764" s="36"/>
      <c r="Z764" s="36"/>
      <c r="AA764" s="36"/>
      <c r="AB764" s="36"/>
      <c r="AC764" s="36"/>
      <c r="AD764" s="36"/>
      <c r="AE764" s="36"/>
      <c r="AR764" s="192" t="s">
        <v>424</v>
      </c>
      <c r="AT764" s="192" t="s">
        <v>465</v>
      </c>
      <c r="AU764" s="192" t="s">
        <v>82</v>
      </c>
      <c r="AY764" s="19" t="s">
        <v>380</v>
      </c>
      <c r="BE764" s="193">
        <f>IF(N764="základní",J764,0)</f>
        <v>0</v>
      </c>
      <c r="BF764" s="193">
        <f>IF(N764="snížená",J764,0)</f>
        <v>0</v>
      </c>
      <c r="BG764" s="193">
        <f>IF(N764="zákl. přenesená",J764,0)</f>
        <v>0</v>
      </c>
      <c r="BH764" s="193">
        <f>IF(N764="sníž. přenesená",J764,0)</f>
        <v>0</v>
      </c>
      <c r="BI764" s="193">
        <f>IF(N764="nulová",J764,0)</f>
        <v>0</v>
      </c>
      <c r="BJ764" s="19" t="s">
        <v>79</v>
      </c>
      <c r="BK764" s="193">
        <f>ROUND(I764*H764,2)</f>
        <v>0</v>
      </c>
      <c r="BL764" s="19" t="s">
        <v>386</v>
      </c>
      <c r="BM764" s="192" t="s">
        <v>1159</v>
      </c>
    </row>
    <row r="765" spans="1:65" s="13" customFormat="1" ht="11.25">
      <c r="B765" s="194"/>
      <c r="C765" s="195"/>
      <c r="D765" s="196" t="s">
        <v>388</v>
      </c>
      <c r="E765" s="197" t="s">
        <v>19</v>
      </c>
      <c r="F765" s="198" t="s">
        <v>1144</v>
      </c>
      <c r="G765" s="195"/>
      <c r="H765" s="197" t="s">
        <v>19</v>
      </c>
      <c r="I765" s="199"/>
      <c r="J765" s="195"/>
      <c r="K765" s="195"/>
      <c r="L765" s="200"/>
      <c r="M765" s="201"/>
      <c r="N765" s="202"/>
      <c r="O765" s="202"/>
      <c r="P765" s="202"/>
      <c r="Q765" s="202"/>
      <c r="R765" s="202"/>
      <c r="S765" s="202"/>
      <c r="T765" s="203"/>
      <c r="AT765" s="204" t="s">
        <v>388</v>
      </c>
      <c r="AU765" s="204" t="s">
        <v>82</v>
      </c>
      <c r="AV765" s="13" t="s">
        <v>79</v>
      </c>
      <c r="AW765" s="13" t="s">
        <v>33</v>
      </c>
      <c r="AX765" s="13" t="s">
        <v>72</v>
      </c>
      <c r="AY765" s="204" t="s">
        <v>380</v>
      </c>
    </row>
    <row r="766" spans="1:65" s="14" customFormat="1" ht="11.25">
      <c r="B766" s="205"/>
      <c r="C766" s="206"/>
      <c r="D766" s="196" t="s">
        <v>388</v>
      </c>
      <c r="E766" s="207" t="s">
        <v>19</v>
      </c>
      <c r="F766" s="208" t="s">
        <v>1160</v>
      </c>
      <c r="G766" s="206"/>
      <c r="H766" s="209">
        <v>65.790000000000006</v>
      </c>
      <c r="I766" s="210"/>
      <c r="J766" s="206"/>
      <c r="K766" s="206"/>
      <c r="L766" s="211"/>
      <c r="M766" s="212"/>
      <c r="N766" s="213"/>
      <c r="O766" s="213"/>
      <c r="P766" s="213"/>
      <c r="Q766" s="213"/>
      <c r="R766" s="213"/>
      <c r="S766" s="213"/>
      <c r="T766" s="214"/>
      <c r="AT766" s="215" t="s">
        <v>388</v>
      </c>
      <c r="AU766" s="215" t="s">
        <v>82</v>
      </c>
      <c r="AV766" s="14" t="s">
        <v>82</v>
      </c>
      <c r="AW766" s="14" t="s">
        <v>33</v>
      </c>
      <c r="AX766" s="14" t="s">
        <v>79</v>
      </c>
      <c r="AY766" s="215" t="s">
        <v>380</v>
      </c>
    </row>
    <row r="767" spans="1:65" s="2" customFormat="1" ht="24.2" customHeight="1">
      <c r="A767" s="36"/>
      <c r="B767" s="37"/>
      <c r="C767" s="181" t="s">
        <v>1161</v>
      </c>
      <c r="D767" s="181" t="s">
        <v>382</v>
      </c>
      <c r="E767" s="182" t="s">
        <v>1162</v>
      </c>
      <c r="F767" s="183" t="s">
        <v>1163</v>
      </c>
      <c r="G767" s="184" t="s">
        <v>398</v>
      </c>
      <c r="H767" s="185">
        <v>133.1</v>
      </c>
      <c r="I767" s="186"/>
      <c r="J767" s="187">
        <f>ROUND(I767*H767,2)</f>
        <v>0</v>
      </c>
      <c r="K767" s="183" t="s">
        <v>399</v>
      </c>
      <c r="L767" s="41"/>
      <c r="M767" s="188" t="s">
        <v>19</v>
      </c>
      <c r="N767" s="189" t="s">
        <v>43</v>
      </c>
      <c r="O767" s="66"/>
      <c r="P767" s="190">
        <f>O767*H767</f>
        <v>0</v>
      </c>
      <c r="Q767" s="190">
        <v>2.6800000000000001E-3</v>
      </c>
      <c r="R767" s="190">
        <f>Q767*H767</f>
        <v>0.35670799999999997</v>
      </c>
      <c r="S767" s="190">
        <v>0</v>
      </c>
      <c r="T767" s="191">
        <f>S767*H767</f>
        <v>0</v>
      </c>
      <c r="U767" s="36"/>
      <c r="V767" s="36"/>
      <c r="W767" s="36"/>
      <c r="X767" s="36"/>
      <c r="Y767" s="36"/>
      <c r="Z767" s="36"/>
      <c r="AA767" s="36"/>
      <c r="AB767" s="36"/>
      <c r="AC767" s="36"/>
      <c r="AD767" s="36"/>
      <c r="AE767" s="36"/>
      <c r="AR767" s="192" t="s">
        <v>386</v>
      </c>
      <c r="AT767" s="192" t="s">
        <v>382</v>
      </c>
      <c r="AU767" s="192" t="s">
        <v>82</v>
      </c>
      <c r="AY767" s="19" t="s">
        <v>380</v>
      </c>
      <c r="BE767" s="193">
        <f>IF(N767="základní",J767,0)</f>
        <v>0</v>
      </c>
      <c r="BF767" s="193">
        <f>IF(N767="snížená",J767,0)</f>
        <v>0</v>
      </c>
      <c r="BG767" s="193">
        <f>IF(N767="zákl. přenesená",J767,0)</f>
        <v>0</v>
      </c>
      <c r="BH767" s="193">
        <f>IF(N767="sníž. přenesená",J767,0)</f>
        <v>0</v>
      </c>
      <c r="BI767" s="193">
        <f>IF(N767="nulová",J767,0)</f>
        <v>0</v>
      </c>
      <c r="BJ767" s="19" t="s">
        <v>79</v>
      </c>
      <c r="BK767" s="193">
        <f>ROUND(I767*H767,2)</f>
        <v>0</v>
      </c>
      <c r="BL767" s="19" t="s">
        <v>386</v>
      </c>
      <c r="BM767" s="192" t="s">
        <v>1164</v>
      </c>
    </row>
    <row r="768" spans="1:65" s="13" customFormat="1" ht="11.25">
      <c r="B768" s="194"/>
      <c r="C768" s="195"/>
      <c r="D768" s="196" t="s">
        <v>388</v>
      </c>
      <c r="E768" s="197" t="s">
        <v>19</v>
      </c>
      <c r="F768" s="198" t="s">
        <v>1144</v>
      </c>
      <c r="G768" s="195"/>
      <c r="H768" s="197" t="s">
        <v>19</v>
      </c>
      <c r="I768" s="199"/>
      <c r="J768" s="195"/>
      <c r="K768" s="195"/>
      <c r="L768" s="200"/>
      <c r="M768" s="201"/>
      <c r="N768" s="202"/>
      <c r="O768" s="202"/>
      <c r="P768" s="202"/>
      <c r="Q768" s="202"/>
      <c r="R768" s="202"/>
      <c r="S768" s="202"/>
      <c r="T768" s="203"/>
      <c r="AT768" s="204" t="s">
        <v>388</v>
      </c>
      <c r="AU768" s="204" t="s">
        <v>82</v>
      </c>
      <c r="AV768" s="13" t="s">
        <v>79</v>
      </c>
      <c r="AW768" s="13" t="s">
        <v>33</v>
      </c>
      <c r="AX768" s="13" t="s">
        <v>72</v>
      </c>
      <c r="AY768" s="204" t="s">
        <v>380</v>
      </c>
    </row>
    <row r="769" spans="1:65" s="14" customFormat="1" ht="11.25">
      <c r="B769" s="205"/>
      <c r="C769" s="206"/>
      <c r="D769" s="196" t="s">
        <v>388</v>
      </c>
      <c r="E769" s="207" t="s">
        <v>19</v>
      </c>
      <c r="F769" s="208" t="s">
        <v>1145</v>
      </c>
      <c r="G769" s="206"/>
      <c r="H769" s="209">
        <v>64.5</v>
      </c>
      <c r="I769" s="210"/>
      <c r="J769" s="206"/>
      <c r="K769" s="206"/>
      <c r="L769" s="211"/>
      <c r="M769" s="212"/>
      <c r="N769" s="213"/>
      <c r="O769" s="213"/>
      <c r="P769" s="213"/>
      <c r="Q769" s="213"/>
      <c r="R769" s="213"/>
      <c r="S769" s="213"/>
      <c r="T769" s="214"/>
      <c r="AT769" s="215" t="s">
        <v>388</v>
      </c>
      <c r="AU769" s="215" t="s">
        <v>82</v>
      </c>
      <c r="AV769" s="14" t="s">
        <v>82</v>
      </c>
      <c r="AW769" s="14" t="s">
        <v>33</v>
      </c>
      <c r="AX769" s="14" t="s">
        <v>72</v>
      </c>
      <c r="AY769" s="215" t="s">
        <v>380</v>
      </c>
    </row>
    <row r="770" spans="1:65" s="13" customFormat="1" ht="11.25">
      <c r="B770" s="194"/>
      <c r="C770" s="195"/>
      <c r="D770" s="196" t="s">
        <v>388</v>
      </c>
      <c r="E770" s="197" t="s">
        <v>19</v>
      </c>
      <c r="F770" s="198" t="s">
        <v>1146</v>
      </c>
      <c r="G770" s="195"/>
      <c r="H770" s="197" t="s">
        <v>19</v>
      </c>
      <c r="I770" s="199"/>
      <c r="J770" s="195"/>
      <c r="K770" s="195"/>
      <c r="L770" s="200"/>
      <c r="M770" s="201"/>
      <c r="N770" s="202"/>
      <c r="O770" s="202"/>
      <c r="P770" s="202"/>
      <c r="Q770" s="202"/>
      <c r="R770" s="202"/>
      <c r="S770" s="202"/>
      <c r="T770" s="203"/>
      <c r="AT770" s="204" t="s">
        <v>388</v>
      </c>
      <c r="AU770" s="204" t="s">
        <v>82</v>
      </c>
      <c r="AV770" s="13" t="s">
        <v>79</v>
      </c>
      <c r="AW770" s="13" t="s">
        <v>33</v>
      </c>
      <c r="AX770" s="13" t="s">
        <v>72</v>
      </c>
      <c r="AY770" s="204" t="s">
        <v>380</v>
      </c>
    </row>
    <row r="771" spans="1:65" s="14" customFormat="1" ht="11.25">
      <c r="B771" s="205"/>
      <c r="C771" s="206"/>
      <c r="D771" s="196" t="s">
        <v>388</v>
      </c>
      <c r="E771" s="207" t="s">
        <v>19</v>
      </c>
      <c r="F771" s="208" t="s">
        <v>1147</v>
      </c>
      <c r="G771" s="206"/>
      <c r="H771" s="209">
        <v>68.599999999999994</v>
      </c>
      <c r="I771" s="210"/>
      <c r="J771" s="206"/>
      <c r="K771" s="206"/>
      <c r="L771" s="211"/>
      <c r="M771" s="212"/>
      <c r="N771" s="213"/>
      <c r="O771" s="213"/>
      <c r="P771" s="213"/>
      <c r="Q771" s="213"/>
      <c r="R771" s="213"/>
      <c r="S771" s="213"/>
      <c r="T771" s="214"/>
      <c r="AT771" s="215" t="s">
        <v>388</v>
      </c>
      <c r="AU771" s="215" t="s">
        <v>82</v>
      </c>
      <c r="AV771" s="14" t="s">
        <v>82</v>
      </c>
      <c r="AW771" s="14" t="s">
        <v>33</v>
      </c>
      <c r="AX771" s="14" t="s">
        <v>72</v>
      </c>
      <c r="AY771" s="215" t="s">
        <v>380</v>
      </c>
    </row>
    <row r="772" spans="1:65" s="15" customFormat="1" ht="11.25">
      <c r="B772" s="216"/>
      <c r="C772" s="217"/>
      <c r="D772" s="196" t="s">
        <v>388</v>
      </c>
      <c r="E772" s="218" t="s">
        <v>19</v>
      </c>
      <c r="F772" s="219" t="s">
        <v>419</v>
      </c>
      <c r="G772" s="217"/>
      <c r="H772" s="220">
        <v>133.1</v>
      </c>
      <c r="I772" s="221"/>
      <c r="J772" s="217"/>
      <c r="K772" s="217"/>
      <c r="L772" s="222"/>
      <c r="M772" s="223"/>
      <c r="N772" s="224"/>
      <c r="O772" s="224"/>
      <c r="P772" s="224"/>
      <c r="Q772" s="224"/>
      <c r="R772" s="224"/>
      <c r="S772" s="224"/>
      <c r="T772" s="225"/>
      <c r="AT772" s="226" t="s">
        <v>388</v>
      </c>
      <c r="AU772" s="226" t="s">
        <v>82</v>
      </c>
      <c r="AV772" s="15" t="s">
        <v>386</v>
      </c>
      <c r="AW772" s="15" t="s">
        <v>33</v>
      </c>
      <c r="AX772" s="15" t="s">
        <v>79</v>
      </c>
      <c r="AY772" s="226" t="s">
        <v>380</v>
      </c>
    </row>
    <row r="773" spans="1:65" s="2" customFormat="1" ht="37.9" customHeight="1">
      <c r="A773" s="36"/>
      <c r="B773" s="37"/>
      <c r="C773" s="181" t="s">
        <v>1165</v>
      </c>
      <c r="D773" s="181" t="s">
        <v>382</v>
      </c>
      <c r="E773" s="182" t="s">
        <v>1166</v>
      </c>
      <c r="F773" s="183" t="s">
        <v>1167</v>
      </c>
      <c r="G773" s="184" t="s">
        <v>398</v>
      </c>
      <c r="H773" s="185">
        <v>363.685</v>
      </c>
      <c r="I773" s="186"/>
      <c r="J773" s="187">
        <f>ROUND(I773*H773,2)</f>
        <v>0</v>
      </c>
      <c r="K773" s="183" t="s">
        <v>19</v>
      </c>
      <c r="L773" s="41"/>
      <c r="M773" s="188" t="s">
        <v>19</v>
      </c>
      <c r="N773" s="189" t="s">
        <v>43</v>
      </c>
      <c r="O773" s="66"/>
      <c r="P773" s="190">
        <f>O773*H773</f>
        <v>0</v>
      </c>
      <c r="Q773" s="190">
        <v>8.6E-3</v>
      </c>
      <c r="R773" s="190">
        <f>Q773*H773</f>
        <v>3.127691</v>
      </c>
      <c r="S773" s="190">
        <v>0</v>
      </c>
      <c r="T773" s="191">
        <f>S773*H773</f>
        <v>0</v>
      </c>
      <c r="U773" s="36"/>
      <c r="V773" s="36"/>
      <c r="W773" s="36"/>
      <c r="X773" s="36"/>
      <c r="Y773" s="36"/>
      <c r="Z773" s="36"/>
      <c r="AA773" s="36"/>
      <c r="AB773" s="36"/>
      <c r="AC773" s="36"/>
      <c r="AD773" s="36"/>
      <c r="AE773" s="36"/>
      <c r="AR773" s="192" t="s">
        <v>386</v>
      </c>
      <c r="AT773" s="192" t="s">
        <v>382</v>
      </c>
      <c r="AU773" s="192" t="s">
        <v>82</v>
      </c>
      <c r="AY773" s="19" t="s">
        <v>380</v>
      </c>
      <c r="BE773" s="193">
        <f>IF(N773="základní",J773,0)</f>
        <v>0</v>
      </c>
      <c r="BF773" s="193">
        <f>IF(N773="snížená",J773,0)</f>
        <v>0</v>
      </c>
      <c r="BG773" s="193">
        <f>IF(N773="zákl. přenesená",J773,0)</f>
        <v>0</v>
      </c>
      <c r="BH773" s="193">
        <f>IF(N773="sníž. přenesená",J773,0)</f>
        <v>0</v>
      </c>
      <c r="BI773" s="193">
        <f>IF(N773="nulová",J773,0)</f>
        <v>0</v>
      </c>
      <c r="BJ773" s="19" t="s">
        <v>79</v>
      </c>
      <c r="BK773" s="193">
        <f>ROUND(I773*H773,2)</f>
        <v>0</v>
      </c>
      <c r="BL773" s="19" t="s">
        <v>386</v>
      </c>
      <c r="BM773" s="192" t="s">
        <v>1168</v>
      </c>
    </row>
    <row r="774" spans="1:65" s="13" customFormat="1" ht="11.25">
      <c r="B774" s="194"/>
      <c r="C774" s="195"/>
      <c r="D774" s="196" t="s">
        <v>388</v>
      </c>
      <c r="E774" s="197" t="s">
        <v>19</v>
      </c>
      <c r="F774" s="198" t="s">
        <v>1169</v>
      </c>
      <c r="G774" s="195"/>
      <c r="H774" s="197" t="s">
        <v>19</v>
      </c>
      <c r="I774" s="199"/>
      <c r="J774" s="195"/>
      <c r="K774" s="195"/>
      <c r="L774" s="200"/>
      <c r="M774" s="201"/>
      <c r="N774" s="202"/>
      <c r="O774" s="202"/>
      <c r="P774" s="202"/>
      <c r="Q774" s="202"/>
      <c r="R774" s="202"/>
      <c r="S774" s="202"/>
      <c r="T774" s="203"/>
      <c r="AT774" s="204" t="s">
        <v>388</v>
      </c>
      <c r="AU774" s="204" t="s">
        <v>82</v>
      </c>
      <c r="AV774" s="13" t="s">
        <v>79</v>
      </c>
      <c r="AW774" s="13" t="s">
        <v>33</v>
      </c>
      <c r="AX774" s="13" t="s">
        <v>72</v>
      </c>
      <c r="AY774" s="204" t="s">
        <v>380</v>
      </c>
    </row>
    <row r="775" spans="1:65" s="13" customFormat="1" ht="11.25">
      <c r="B775" s="194"/>
      <c r="C775" s="195"/>
      <c r="D775" s="196" t="s">
        <v>388</v>
      </c>
      <c r="E775" s="197" t="s">
        <v>19</v>
      </c>
      <c r="F775" s="198" t="s">
        <v>1170</v>
      </c>
      <c r="G775" s="195"/>
      <c r="H775" s="197" t="s">
        <v>19</v>
      </c>
      <c r="I775" s="199"/>
      <c r="J775" s="195"/>
      <c r="K775" s="195"/>
      <c r="L775" s="200"/>
      <c r="M775" s="201"/>
      <c r="N775" s="202"/>
      <c r="O775" s="202"/>
      <c r="P775" s="202"/>
      <c r="Q775" s="202"/>
      <c r="R775" s="202"/>
      <c r="S775" s="202"/>
      <c r="T775" s="203"/>
      <c r="AT775" s="204" t="s">
        <v>388</v>
      </c>
      <c r="AU775" s="204" t="s">
        <v>82</v>
      </c>
      <c r="AV775" s="13" t="s">
        <v>79</v>
      </c>
      <c r="AW775" s="13" t="s">
        <v>33</v>
      </c>
      <c r="AX775" s="13" t="s">
        <v>72</v>
      </c>
      <c r="AY775" s="204" t="s">
        <v>380</v>
      </c>
    </row>
    <row r="776" spans="1:65" s="13" customFormat="1" ht="11.25">
      <c r="B776" s="194"/>
      <c r="C776" s="195"/>
      <c r="D776" s="196" t="s">
        <v>388</v>
      </c>
      <c r="E776" s="197" t="s">
        <v>19</v>
      </c>
      <c r="F776" s="198" t="s">
        <v>1171</v>
      </c>
      <c r="G776" s="195"/>
      <c r="H776" s="197" t="s">
        <v>19</v>
      </c>
      <c r="I776" s="199"/>
      <c r="J776" s="195"/>
      <c r="K776" s="195"/>
      <c r="L776" s="200"/>
      <c r="M776" s="201"/>
      <c r="N776" s="202"/>
      <c r="O776" s="202"/>
      <c r="P776" s="202"/>
      <c r="Q776" s="202"/>
      <c r="R776" s="202"/>
      <c r="S776" s="202"/>
      <c r="T776" s="203"/>
      <c r="AT776" s="204" t="s">
        <v>388</v>
      </c>
      <c r="AU776" s="204" t="s">
        <v>82</v>
      </c>
      <c r="AV776" s="13" t="s">
        <v>79</v>
      </c>
      <c r="AW776" s="13" t="s">
        <v>33</v>
      </c>
      <c r="AX776" s="13" t="s">
        <v>72</v>
      </c>
      <c r="AY776" s="204" t="s">
        <v>380</v>
      </c>
    </row>
    <row r="777" spans="1:65" s="14" customFormat="1" ht="11.25">
      <c r="B777" s="205"/>
      <c r="C777" s="206"/>
      <c r="D777" s="196" t="s">
        <v>388</v>
      </c>
      <c r="E777" s="207" t="s">
        <v>19</v>
      </c>
      <c r="F777" s="208" t="s">
        <v>1172</v>
      </c>
      <c r="G777" s="206"/>
      <c r="H777" s="209">
        <v>319.8</v>
      </c>
      <c r="I777" s="210"/>
      <c r="J777" s="206"/>
      <c r="K777" s="206"/>
      <c r="L777" s="211"/>
      <c r="M777" s="212"/>
      <c r="N777" s="213"/>
      <c r="O777" s="213"/>
      <c r="P777" s="213"/>
      <c r="Q777" s="213"/>
      <c r="R777" s="213"/>
      <c r="S777" s="213"/>
      <c r="T777" s="214"/>
      <c r="AT777" s="215" t="s">
        <v>388</v>
      </c>
      <c r="AU777" s="215" t="s">
        <v>82</v>
      </c>
      <c r="AV777" s="14" t="s">
        <v>82</v>
      </c>
      <c r="AW777" s="14" t="s">
        <v>33</v>
      </c>
      <c r="AX777" s="14" t="s">
        <v>72</v>
      </c>
      <c r="AY777" s="215" t="s">
        <v>380</v>
      </c>
    </row>
    <row r="778" spans="1:65" s="14" customFormat="1" ht="11.25">
      <c r="B778" s="205"/>
      <c r="C778" s="206"/>
      <c r="D778" s="196" t="s">
        <v>388</v>
      </c>
      <c r="E778" s="207" t="s">
        <v>19</v>
      </c>
      <c r="F778" s="208" t="s">
        <v>1173</v>
      </c>
      <c r="G778" s="206"/>
      <c r="H778" s="209">
        <v>-23.24</v>
      </c>
      <c r="I778" s="210"/>
      <c r="J778" s="206"/>
      <c r="K778" s="206"/>
      <c r="L778" s="211"/>
      <c r="M778" s="212"/>
      <c r="N778" s="213"/>
      <c r="O778" s="213"/>
      <c r="P778" s="213"/>
      <c r="Q778" s="213"/>
      <c r="R778" s="213"/>
      <c r="S778" s="213"/>
      <c r="T778" s="214"/>
      <c r="AT778" s="215" t="s">
        <v>388</v>
      </c>
      <c r="AU778" s="215" t="s">
        <v>82</v>
      </c>
      <c r="AV778" s="14" t="s">
        <v>82</v>
      </c>
      <c r="AW778" s="14" t="s">
        <v>33</v>
      </c>
      <c r="AX778" s="14" t="s">
        <v>72</v>
      </c>
      <c r="AY778" s="215" t="s">
        <v>380</v>
      </c>
    </row>
    <row r="779" spans="1:65" s="16" customFormat="1" ht="11.25">
      <c r="B779" s="237"/>
      <c r="C779" s="238"/>
      <c r="D779" s="196" t="s">
        <v>388</v>
      </c>
      <c r="E779" s="239" t="s">
        <v>19</v>
      </c>
      <c r="F779" s="240" t="s">
        <v>572</v>
      </c>
      <c r="G779" s="238"/>
      <c r="H779" s="241">
        <v>296.56</v>
      </c>
      <c r="I779" s="242"/>
      <c r="J779" s="238"/>
      <c r="K779" s="238"/>
      <c r="L779" s="243"/>
      <c r="M779" s="244"/>
      <c r="N779" s="245"/>
      <c r="O779" s="245"/>
      <c r="P779" s="245"/>
      <c r="Q779" s="245"/>
      <c r="R779" s="245"/>
      <c r="S779" s="245"/>
      <c r="T779" s="246"/>
      <c r="AT779" s="247" t="s">
        <v>388</v>
      </c>
      <c r="AU779" s="247" t="s">
        <v>82</v>
      </c>
      <c r="AV779" s="16" t="s">
        <v>99</v>
      </c>
      <c r="AW779" s="16" t="s">
        <v>33</v>
      </c>
      <c r="AX779" s="16" t="s">
        <v>72</v>
      </c>
      <c r="AY779" s="247" t="s">
        <v>380</v>
      </c>
    </row>
    <row r="780" spans="1:65" s="13" customFormat="1" ht="11.25">
      <c r="B780" s="194"/>
      <c r="C780" s="195"/>
      <c r="D780" s="196" t="s">
        <v>388</v>
      </c>
      <c r="E780" s="197" t="s">
        <v>19</v>
      </c>
      <c r="F780" s="198" t="s">
        <v>1174</v>
      </c>
      <c r="G780" s="195"/>
      <c r="H780" s="197" t="s">
        <v>19</v>
      </c>
      <c r="I780" s="199"/>
      <c r="J780" s="195"/>
      <c r="K780" s="195"/>
      <c r="L780" s="200"/>
      <c r="M780" s="201"/>
      <c r="N780" s="202"/>
      <c r="O780" s="202"/>
      <c r="P780" s="202"/>
      <c r="Q780" s="202"/>
      <c r="R780" s="202"/>
      <c r="S780" s="202"/>
      <c r="T780" s="203"/>
      <c r="AT780" s="204" t="s">
        <v>388</v>
      </c>
      <c r="AU780" s="204" t="s">
        <v>82</v>
      </c>
      <c r="AV780" s="13" t="s">
        <v>79</v>
      </c>
      <c r="AW780" s="13" t="s">
        <v>33</v>
      </c>
      <c r="AX780" s="13" t="s">
        <v>72</v>
      </c>
      <c r="AY780" s="204" t="s">
        <v>380</v>
      </c>
    </row>
    <row r="781" spans="1:65" s="14" customFormat="1" ht="11.25">
      <c r="B781" s="205"/>
      <c r="C781" s="206"/>
      <c r="D781" s="196" t="s">
        <v>388</v>
      </c>
      <c r="E781" s="207" t="s">
        <v>19</v>
      </c>
      <c r="F781" s="208" t="s">
        <v>1175</v>
      </c>
      <c r="G781" s="206"/>
      <c r="H781" s="209">
        <v>48.765000000000001</v>
      </c>
      <c r="I781" s="210"/>
      <c r="J781" s="206"/>
      <c r="K781" s="206"/>
      <c r="L781" s="211"/>
      <c r="M781" s="212"/>
      <c r="N781" s="213"/>
      <c r="O781" s="213"/>
      <c r="P781" s="213"/>
      <c r="Q781" s="213"/>
      <c r="R781" s="213"/>
      <c r="S781" s="213"/>
      <c r="T781" s="214"/>
      <c r="AT781" s="215" t="s">
        <v>388</v>
      </c>
      <c r="AU781" s="215" t="s">
        <v>82</v>
      </c>
      <c r="AV781" s="14" t="s">
        <v>82</v>
      </c>
      <c r="AW781" s="14" t="s">
        <v>33</v>
      </c>
      <c r="AX781" s="14" t="s">
        <v>72</v>
      </c>
      <c r="AY781" s="215" t="s">
        <v>380</v>
      </c>
    </row>
    <row r="782" spans="1:65" s="16" customFormat="1" ht="11.25">
      <c r="B782" s="237"/>
      <c r="C782" s="238"/>
      <c r="D782" s="196" t="s">
        <v>388</v>
      </c>
      <c r="E782" s="239" t="s">
        <v>19</v>
      </c>
      <c r="F782" s="240" t="s">
        <v>572</v>
      </c>
      <c r="G782" s="238"/>
      <c r="H782" s="241">
        <v>48.765000000000001</v>
      </c>
      <c r="I782" s="242"/>
      <c r="J782" s="238"/>
      <c r="K782" s="238"/>
      <c r="L782" s="243"/>
      <c r="M782" s="244"/>
      <c r="N782" s="245"/>
      <c r="O782" s="245"/>
      <c r="P782" s="245"/>
      <c r="Q782" s="245"/>
      <c r="R782" s="245"/>
      <c r="S782" s="245"/>
      <c r="T782" s="246"/>
      <c r="AT782" s="247" t="s">
        <v>388</v>
      </c>
      <c r="AU782" s="247" t="s">
        <v>82</v>
      </c>
      <c r="AV782" s="16" t="s">
        <v>99</v>
      </c>
      <c r="AW782" s="16" t="s">
        <v>33</v>
      </c>
      <c r="AX782" s="16" t="s">
        <v>72</v>
      </c>
      <c r="AY782" s="247" t="s">
        <v>380</v>
      </c>
    </row>
    <row r="783" spans="1:65" s="13" customFormat="1" ht="11.25">
      <c r="B783" s="194"/>
      <c r="C783" s="195"/>
      <c r="D783" s="196" t="s">
        <v>388</v>
      </c>
      <c r="E783" s="197" t="s">
        <v>19</v>
      </c>
      <c r="F783" s="198" t="s">
        <v>1176</v>
      </c>
      <c r="G783" s="195"/>
      <c r="H783" s="197" t="s">
        <v>19</v>
      </c>
      <c r="I783" s="199"/>
      <c r="J783" s="195"/>
      <c r="K783" s="195"/>
      <c r="L783" s="200"/>
      <c r="M783" s="201"/>
      <c r="N783" s="202"/>
      <c r="O783" s="202"/>
      <c r="P783" s="202"/>
      <c r="Q783" s="202"/>
      <c r="R783" s="202"/>
      <c r="S783" s="202"/>
      <c r="T783" s="203"/>
      <c r="AT783" s="204" t="s">
        <v>388</v>
      </c>
      <c r="AU783" s="204" t="s">
        <v>82</v>
      </c>
      <c r="AV783" s="13" t="s">
        <v>79</v>
      </c>
      <c r="AW783" s="13" t="s">
        <v>33</v>
      </c>
      <c r="AX783" s="13" t="s">
        <v>72</v>
      </c>
      <c r="AY783" s="204" t="s">
        <v>380</v>
      </c>
    </row>
    <row r="784" spans="1:65" s="14" customFormat="1" ht="11.25">
      <c r="B784" s="205"/>
      <c r="C784" s="206"/>
      <c r="D784" s="196" t="s">
        <v>388</v>
      </c>
      <c r="E784" s="207" t="s">
        <v>19</v>
      </c>
      <c r="F784" s="208" t="s">
        <v>1177</v>
      </c>
      <c r="G784" s="206"/>
      <c r="H784" s="209">
        <v>18.36</v>
      </c>
      <c r="I784" s="210"/>
      <c r="J784" s="206"/>
      <c r="K784" s="206"/>
      <c r="L784" s="211"/>
      <c r="M784" s="212"/>
      <c r="N784" s="213"/>
      <c r="O784" s="213"/>
      <c r="P784" s="213"/>
      <c r="Q784" s="213"/>
      <c r="R784" s="213"/>
      <c r="S784" s="213"/>
      <c r="T784" s="214"/>
      <c r="AT784" s="215" t="s">
        <v>388</v>
      </c>
      <c r="AU784" s="215" t="s">
        <v>82</v>
      </c>
      <c r="AV784" s="14" t="s">
        <v>82</v>
      </c>
      <c r="AW784" s="14" t="s">
        <v>33</v>
      </c>
      <c r="AX784" s="14" t="s">
        <v>72</v>
      </c>
      <c r="AY784" s="215" t="s">
        <v>380</v>
      </c>
    </row>
    <row r="785" spans="1:65" s="16" customFormat="1" ht="11.25">
      <c r="B785" s="237"/>
      <c r="C785" s="238"/>
      <c r="D785" s="196" t="s">
        <v>388</v>
      </c>
      <c r="E785" s="239" t="s">
        <v>19</v>
      </c>
      <c r="F785" s="240" t="s">
        <v>572</v>
      </c>
      <c r="G785" s="238"/>
      <c r="H785" s="241">
        <v>18.36</v>
      </c>
      <c r="I785" s="242"/>
      <c r="J785" s="238"/>
      <c r="K785" s="238"/>
      <c r="L785" s="243"/>
      <c r="M785" s="244"/>
      <c r="N785" s="245"/>
      <c r="O785" s="245"/>
      <c r="P785" s="245"/>
      <c r="Q785" s="245"/>
      <c r="R785" s="245"/>
      <c r="S785" s="245"/>
      <c r="T785" s="246"/>
      <c r="AT785" s="247" t="s">
        <v>388</v>
      </c>
      <c r="AU785" s="247" t="s">
        <v>82</v>
      </c>
      <c r="AV785" s="16" t="s">
        <v>99</v>
      </c>
      <c r="AW785" s="16" t="s">
        <v>33</v>
      </c>
      <c r="AX785" s="16" t="s">
        <v>72</v>
      </c>
      <c r="AY785" s="247" t="s">
        <v>380</v>
      </c>
    </row>
    <row r="786" spans="1:65" s="15" customFormat="1" ht="11.25">
      <c r="B786" s="216"/>
      <c r="C786" s="217"/>
      <c r="D786" s="196" t="s">
        <v>388</v>
      </c>
      <c r="E786" s="218" t="s">
        <v>19</v>
      </c>
      <c r="F786" s="219" t="s">
        <v>419</v>
      </c>
      <c r="G786" s="217"/>
      <c r="H786" s="220">
        <v>363.685</v>
      </c>
      <c r="I786" s="221"/>
      <c r="J786" s="217"/>
      <c r="K786" s="217"/>
      <c r="L786" s="222"/>
      <c r="M786" s="223"/>
      <c r="N786" s="224"/>
      <c r="O786" s="224"/>
      <c r="P786" s="224"/>
      <c r="Q786" s="224"/>
      <c r="R786" s="224"/>
      <c r="S786" s="224"/>
      <c r="T786" s="225"/>
      <c r="AT786" s="226" t="s">
        <v>388</v>
      </c>
      <c r="AU786" s="226" t="s">
        <v>82</v>
      </c>
      <c r="AV786" s="15" t="s">
        <v>386</v>
      </c>
      <c r="AW786" s="15" t="s">
        <v>33</v>
      </c>
      <c r="AX786" s="15" t="s">
        <v>79</v>
      </c>
      <c r="AY786" s="226" t="s">
        <v>380</v>
      </c>
    </row>
    <row r="787" spans="1:65" s="2" customFormat="1" ht="21.75" customHeight="1">
      <c r="A787" s="36"/>
      <c r="B787" s="37"/>
      <c r="C787" s="227" t="s">
        <v>1178</v>
      </c>
      <c r="D787" s="227" t="s">
        <v>465</v>
      </c>
      <c r="E787" s="228" t="s">
        <v>1179</v>
      </c>
      <c r="F787" s="229" t="s">
        <v>1180</v>
      </c>
      <c r="G787" s="230" t="s">
        <v>398</v>
      </c>
      <c r="H787" s="231">
        <v>302.49099999999999</v>
      </c>
      <c r="I787" s="232"/>
      <c r="J787" s="233">
        <f>ROUND(I787*H787,2)</f>
        <v>0</v>
      </c>
      <c r="K787" s="229" t="s">
        <v>19</v>
      </c>
      <c r="L787" s="234"/>
      <c r="M787" s="235" t="s">
        <v>19</v>
      </c>
      <c r="N787" s="236" t="s">
        <v>43</v>
      </c>
      <c r="O787" s="66"/>
      <c r="P787" s="190">
        <f>O787*H787</f>
        <v>0</v>
      </c>
      <c r="Q787" s="190">
        <v>2.7200000000000002E-3</v>
      </c>
      <c r="R787" s="190">
        <f>Q787*H787</f>
        <v>0.82277551999999998</v>
      </c>
      <c r="S787" s="190">
        <v>0</v>
      </c>
      <c r="T787" s="191">
        <f>S787*H787</f>
        <v>0</v>
      </c>
      <c r="U787" s="36"/>
      <c r="V787" s="36"/>
      <c r="W787" s="36"/>
      <c r="X787" s="36"/>
      <c r="Y787" s="36"/>
      <c r="Z787" s="36"/>
      <c r="AA787" s="36"/>
      <c r="AB787" s="36"/>
      <c r="AC787" s="36"/>
      <c r="AD787" s="36"/>
      <c r="AE787" s="36"/>
      <c r="AR787" s="192" t="s">
        <v>424</v>
      </c>
      <c r="AT787" s="192" t="s">
        <v>465</v>
      </c>
      <c r="AU787" s="192" t="s">
        <v>82</v>
      </c>
      <c r="AY787" s="19" t="s">
        <v>380</v>
      </c>
      <c r="BE787" s="193">
        <f>IF(N787="základní",J787,0)</f>
        <v>0</v>
      </c>
      <c r="BF787" s="193">
        <f>IF(N787="snížená",J787,0)</f>
        <v>0</v>
      </c>
      <c r="BG787" s="193">
        <f>IF(N787="zákl. přenesená",J787,0)</f>
        <v>0</v>
      </c>
      <c r="BH787" s="193">
        <f>IF(N787="sníž. přenesená",J787,0)</f>
        <v>0</v>
      </c>
      <c r="BI787" s="193">
        <f>IF(N787="nulová",J787,0)</f>
        <v>0</v>
      </c>
      <c r="BJ787" s="19" t="s">
        <v>79</v>
      </c>
      <c r="BK787" s="193">
        <f>ROUND(I787*H787,2)</f>
        <v>0</v>
      </c>
      <c r="BL787" s="19" t="s">
        <v>386</v>
      </c>
      <c r="BM787" s="192" t="s">
        <v>1181</v>
      </c>
    </row>
    <row r="788" spans="1:65" s="14" customFormat="1" ht="11.25">
      <c r="B788" s="205"/>
      <c r="C788" s="206"/>
      <c r="D788" s="196" t="s">
        <v>388</v>
      </c>
      <c r="E788" s="207" t="s">
        <v>19</v>
      </c>
      <c r="F788" s="208" t="s">
        <v>1182</v>
      </c>
      <c r="G788" s="206"/>
      <c r="H788" s="209">
        <v>302.49099999999999</v>
      </c>
      <c r="I788" s="210"/>
      <c r="J788" s="206"/>
      <c r="K788" s="206"/>
      <c r="L788" s="211"/>
      <c r="M788" s="212"/>
      <c r="N788" s="213"/>
      <c r="O788" s="213"/>
      <c r="P788" s="213"/>
      <c r="Q788" s="213"/>
      <c r="R788" s="213"/>
      <c r="S788" s="213"/>
      <c r="T788" s="214"/>
      <c r="AT788" s="215" t="s">
        <v>388</v>
      </c>
      <c r="AU788" s="215" t="s">
        <v>82</v>
      </c>
      <c r="AV788" s="14" t="s">
        <v>82</v>
      </c>
      <c r="AW788" s="14" t="s">
        <v>33</v>
      </c>
      <c r="AX788" s="14" t="s">
        <v>79</v>
      </c>
      <c r="AY788" s="215" t="s">
        <v>380</v>
      </c>
    </row>
    <row r="789" spans="1:65" s="2" customFormat="1" ht="16.5" customHeight="1">
      <c r="A789" s="36"/>
      <c r="B789" s="37"/>
      <c r="C789" s="227" t="s">
        <v>1183</v>
      </c>
      <c r="D789" s="227" t="s">
        <v>465</v>
      </c>
      <c r="E789" s="228" t="s">
        <v>1184</v>
      </c>
      <c r="F789" s="229" t="s">
        <v>1185</v>
      </c>
      <c r="G789" s="230" t="s">
        <v>398</v>
      </c>
      <c r="H789" s="231">
        <v>18.727</v>
      </c>
      <c r="I789" s="232"/>
      <c r="J789" s="233">
        <f>ROUND(I789*H789,2)</f>
        <v>0</v>
      </c>
      <c r="K789" s="229" t="s">
        <v>399</v>
      </c>
      <c r="L789" s="234"/>
      <c r="M789" s="235" t="s">
        <v>19</v>
      </c>
      <c r="N789" s="236" t="s">
        <v>43</v>
      </c>
      <c r="O789" s="66"/>
      <c r="P789" s="190">
        <f>O789*H789</f>
        <v>0</v>
      </c>
      <c r="Q789" s="190">
        <v>5.5999999999999999E-3</v>
      </c>
      <c r="R789" s="190">
        <f>Q789*H789</f>
        <v>0.1048712</v>
      </c>
      <c r="S789" s="190">
        <v>0</v>
      </c>
      <c r="T789" s="191">
        <f>S789*H789</f>
        <v>0</v>
      </c>
      <c r="U789" s="36"/>
      <c r="V789" s="36"/>
      <c r="W789" s="36"/>
      <c r="X789" s="36"/>
      <c r="Y789" s="36"/>
      <c r="Z789" s="36"/>
      <c r="AA789" s="36"/>
      <c r="AB789" s="36"/>
      <c r="AC789" s="36"/>
      <c r="AD789" s="36"/>
      <c r="AE789" s="36"/>
      <c r="AR789" s="192" t="s">
        <v>424</v>
      </c>
      <c r="AT789" s="192" t="s">
        <v>465</v>
      </c>
      <c r="AU789" s="192" t="s">
        <v>82</v>
      </c>
      <c r="AY789" s="19" t="s">
        <v>380</v>
      </c>
      <c r="BE789" s="193">
        <f>IF(N789="základní",J789,0)</f>
        <v>0</v>
      </c>
      <c r="BF789" s="193">
        <f>IF(N789="snížená",J789,0)</f>
        <v>0</v>
      </c>
      <c r="BG789" s="193">
        <f>IF(N789="zákl. přenesená",J789,0)</f>
        <v>0</v>
      </c>
      <c r="BH789" s="193">
        <f>IF(N789="sníž. přenesená",J789,0)</f>
        <v>0</v>
      </c>
      <c r="BI789" s="193">
        <f>IF(N789="nulová",J789,0)</f>
        <v>0</v>
      </c>
      <c r="BJ789" s="19" t="s">
        <v>79</v>
      </c>
      <c r="BK789" s="193">
        <f>ROUND(I789*H789,2)</f>
        <v>0</v>
      </c>
      <c r="BL789" s="19" t="s">
        <v>386</v>
      </c>
      <c r="BM789" s="192" t="s">
        <v>1186</v>
      </c>
    </row>
    <row r="790" spans="1:65" s="13" customFormat="1" ht="11.25">
      <c r="B790" s="194"/>
      <c r="C790" s="195"/>
      <c r="D790" s="196" t="s">
        <v>388</v>
      </c>
      <c r="E790" s="197" t="s">
        <v>19</v>
      </c>
      <c r="F790" s="198" t="s">
        <v>1176</v>
      </c>
      <c r="G790" s="195"/>
      <c r="H790" s="197" t="s">
        <v>19</v>
      </c>
      <c r="I790" s="199"/>
      <c r="J790" s="195"/>
      <c r="K790" s="195"/>
      <c r="L790" s="200"/>
      <c r="M790" s="201"/>
      <c r="N790" s="202"/>
      <c r="O790" s="202"/>
      <c r="P790" s="202"/>
      <c r="Q790" s="202"/>
      <c r="R790" s="202"/>
      <c r="S790" s="202"/>
      <c r="T790" s="203"/>
      <c r="AT790" s="204" t="s">
        <v>388</v>
      </c>
      <c r="AU790" s="204" t="s">
        <v>82</v>
      </c>
      <c r="AV790" s="13" t="s">
        <v>79</v>
      </c>
      <c r="AW790" s="13" t="s">
        <v>33</v>
      </c>
      <c r="AX790" s="13" t="s">
        <v>72</v>
      </c>
      <c r="AY790" s="204" t="s">
        <v>380</v>
      </c>
    </row>
    <row r="791" spans="1:65" s="14" customFormat="1" ht="11.25">
      <c r="B791" s="205"/>
      <c r="C791" s="206"/>
      <c r="D791" s="196" t="s">
        <v>388</v>
      </c>
      <c r="E791" s="207" t="s">
        <v>19</v>
      </c>
      <c r="F791" s="208" t="s">
        <v>1187</v>
      </c>
      <c r="G791" s="206"/>
      <c r="H791" s="209">
        <v>18.727</v>
      </c>
      <c r="I791" s="210"/>
      <c r="J791" s="206"/>
      <c r="K791" s="206"/>
      <c r="L791" s="211"/>
      <c r="M791" s="212"/>
      <c r="N791" s="213"/>
      <c r="O791" s="213"/>
      <c r="P791" s="213"/>
      <c r="Q791" s="213"/>
      <c r="R791" s="213"/>
      <c r="S791" s="213"/>
      <c r="T791" s="214"/>
      <c r="AT791" s="215" t="s">
        <v>388</v>
      </c>
      <c r="AU791" s="215" t="s">
        <v>82</v>
      </c>
      <c r="AV791" s="14" t="s">
        <v>82</v>
      </c>
      <c r="AW791" s="14" t="s">
        <v>33</v>
      </c>
      <c r="AX791" s="14" t="s">
        <v>79</v>
      </c>
      <c r="AY791" s="215" t="s">
        <v>380</v>
      </c>
    </row>
    <row r="792" spans="1:65" s="2" customFormat="1" ht="16.5" customHeight="1">
      <c r="A792" s="36"/>
      <c r="B792" s="37"/>
      <c r="C792" s="227" t="s">
        <v>1188</v>
      </c>
      <c r="D792" s="227" t="s">
        <v>465</v>
      </c>
      <c r="E792" s="228" t="s">
        <v>1189</v>
      </c>
      <c r="F792" s="229" t="s">
        <v>1190</v>
      </c>
      <c r="G792" s="230" t="s">
        <v>398</v>
      </c>
      <c r="H792" s="231">
        <v>49.74</v>
      </c>
      <c r="I792" s="232"/>
      <c r="J792" s="233">
        <f>ROUND(I792*H792,2)</f>
        <v>0</v>
      </c>
      <c r="K792" s="229" t="s">
        <v>399</v>
      </c>
      <c r="L792" s="234"/>
      <c r="M792" s="235" t="s">
        <v>19</v>
      </c>
      <c r="N792" s="236" t="s">
        <v>43</v>
      </c>
      <c r="O792" s="66"/>
      <c r="P792" s="190">
        <f>O792*H792</f>
        <v>0</v>
      </c>
      <c r="Q792" s="190">
        <v>4.8999999999999998E-3</v>
      </c>
      <c r="R792" s="190">
        <f>Q792*H792</f>
        <v>0.243726</v>
      </c>
      <c r="S792" s="190">
        <v>0</v>
      </c>
      <c r="T792" s="191">
        <f>S792*H792</f>
        <v>0</v>
      </c>
      <c r="U792" s="36"/>
      <c r="V792" s="36"/>
      <c r="W792" s="36"/>
      <c r="X792" s="36"/>
      <c r="Y792" s="36"/>
      <c r="Z792" s="36"/>
      <c r="AA792" s="36"/>
      <c r="AB792" s="36"/>
      <c r="AC792" s="36"/>
      <c r="AD792" s="36"/>
      <c r="AE792" s="36"/>
      <c r="AR792" s="192" t="s">
        <v>424</v>
      </c>
      <c r="AT792" s="192" t="s">
        <v>465</v>
      </c>
      <c r="AU792" s="192" t="s">
        <v>82</v>
      </c>
      <c r="AY792" s="19" t="s">
        <v>380</v>
      </c>
      <c r="BE792" s="193">
        <f>IF(N792="základní",J792,0)</f>
        <v>0</v>
      </c>
      <c r="BF792" s="193">
        <f>IF(N792="snížená",J792,0)</f>
        <v>0</v>
      </c>
      <c r="BG792" s="193">
        <f>IF(N792="zákl. přenesená",J792,0)</f>
        <v>0</v>
      </c>
      <c r="BH792" s="193">
        <f>IF(N792="sníž. přenesená",J792,0)</f>
        <v>0</v>
      </c>
      <c r="BI792" s="193">
        <f>IF(N792="nulová",J792,0)</f>
        <v>0</v>
      </c>
      <c r="BJ792" s="19" t="s">
        <v>79</v>
      </c>
      <c r="BK792" s="193">
        <f>ROUND(I792*H792,2)</f>
        <v>0</v>
      </c>
      <c r="BL792" s="19" t="s">
        <v>386</v>
      </c>
      <c r="BM792" s="192" t="s">
        <v>1191</v>
      </c>
    </row>
    <row r="793" spans="1:65" s="13" customFormat="1" ht="11.25">
      <c r="B793" s="194"/>
      <c r="C793" s="195"/>
      <c r="D793" s="196" t="s">
        <v>388</v>
      </c>
      <c r="E793" s="197" t="s">
        <v>19</v>
      </c>
      <c r="F793" s="198" t="s">
        <v>1174</v>
      </c>
      <c r="G793" s="195"/>
      <c r="H793" s="197" t="s">
        <v>19</v>
      </c>
      <c r="I793" s="199"/>
      <c r="J793" s="195"/>
      <c r="K793" s="195"/>
      <c r="L793" s="200"/>
      <c r="M793" s="201"/>
      <c r="N793" s="202"/>
      <c r="O793" s="202"/>
      <c r="P793" s="202"/>
      <c r="Q793" s="202"/>
      <c r="R793" s="202"/>
      <c r="S793" s="202"/>
      <c r="T793" s="203"/>
      <c r="AT793" s="204" t="s">
        <v>388</v>
      </c>
      <c r="AU793" s="204" t="s">
        <v>82</v>
      </c>
      <c r="AV793" s="13" t="s">
        <v>79</v>
      </c>
      <c r="AW793" s="13" t="s">
        <v>33</v>
      </c>
      <c r="AX793" s="13" t="s">
        <v>72</v>
      </c>
      <c r="AY793" s="204" t="s">
        <v>380</v>
      </c>
    </row>
    <row r="794" spans="1:65" s="14" customFormat="1" ht="11.25">
      <c r="B794" s="205"/>
      <c r="C794" s="206"/>
      <c r="D794" s="196" t="s">
        <v>388</v>
      </c>
      <c r="E794" s="207" t="s">
        <v>19</v>
      </c>
      <c r="F794" s="208" t="s">
        <v>1192</v>
      </c>
      <c r="G794" s="206"/>
      <c r="H794" s="209">
        <v>49.74</v>
      </c>
      <c r="I794" s="210"/>
      <c r="J794" s="206"/>
      <c r="K794" s="206"/>
      <c r="L794" s="211"/>
      <c r="M794" s="212"/>
      <c r="N794" s="213"/>
      <c r="O794" s="213"/>
      <c r="P794" s="213"/>
      <c r="Q794" s="213"/>
      <c r="R794" s="213"/>
      <c r="S794" s="213"/>
      <c r="T794" s="214"/>
      <c r="AT794" s="215" t="s">
        <v>388</v>
      </c>
      <c r="AU794" s="215" t="s">
        <v>82</v>
      </c>
      <c r="AV794" s="14" t="s">
        <v>82</v>
      </c>
      <c r="AW794" s="14" t="s">
        <v>33</v>
      </c>
      <c r="AX794" s="14" t="s">
        <v>79</v>
      </c>
      <c r="AY794" s="215" t="s">
        <v>380</v>
      </c>
    </row>
    <row r="795" spans="1:65" s="2" customFormat="1" ht="37.9" customHeight="1">
      <c r="A795" s="36"/>
      <c r="B795" s="37"/>
      <c r="C795" s="181" t="s">
        <v>1193</v>
      </c>
      <c r="D795" s="181" t="s">
        <v>382</v>
      </c>
      <c r="E795" s="182" t="s">
        <v>1194</v>
      </c>
      <c r="F795" s="183" t="s">
        <v>1195</v>
      </c>
      <c r="G795" s="184" t="s">
        <v>398</v>
      </c>
      <c r="H795" s="185">
        <v>48.470999999999997</v>
      </c>
      <c r="I795" s="186"/>
      <c r="J795" s="187">
        <f>ROUND(I795*H795,2)</f>
        <v>0</v>
      </c>
      <c r="K795" s="183" t="s">
        <v>19</v>
      </c>
      <c r="L795" s="41"/>
      <c r="M795" s="188" t="s">
        <v>19</v>
      </c>
      <c r="N795" s="189" t="s">
        <v>43</v>
      </c>
      <c r="O795" s="66"/>
      <c r="P795" s="190">
        <f>O795*H795</f>
        <v>0</v>
      </c>
      <c r="Q795" s="190">
        <v>8.6800000000000002E-3</v>
      </c>
      <c r="R795" s="190">
        <f>Q795*H795</f>
        <v>0.42072827999999995</v>
      </c>
      <c r="S795" s="190">
        <v>0</v>
      </c>
      <c r="T795" s="191">
        <f>S795*H795</f>
        <v>0</v>
      </c>
      <c r="U795" s="36"/>
      <c r="V795" s="36"/>
      <c r="W795" s="36"/>
      <c r="X795" s="36"/>
      <c r="Y795" s="36"/>
      <c r="Z795" s="36"/>
      <c r="AA795" s="36"/>
      <c r="AB795" s="36"/>
      <c r="AC795" s="36"/>
      <c r="AD795" s="36"/>
      <c r="AE795" s="36"/>
      <c r="AR795" s="192" t="s">
        <v>386</v>
      </c>
      <c r="AT795" s="192" t="s">
        <v>382</v>
      </c>
      <c r="AU795" s="192" t="s">
        <v>82</v>
      </c>
      <c r="AY795" s="19" t="s">
        <v>380</v>
      </c>
      <c r="BE795" s="193">
        <f>IF(N795="základní",J795,0)</f>
        <v>0</v>
      </c>
      <c r="BF795" s="193">
        <f>IF(N795="snížená",J795,0)</f>
        <v>0</v>
      </c>
      <c r="BG795" s="193">
        <f>IF(N795="zákl. přenesená",J795,0)</f>
        <v>0</v>
      </c>
      <c r="BH795" s="193">
        <f>IF(N795="sníž. přenesená",J795,0)</f>
        <v>0</v>
      </c>
      <c r="BI795" s="193">
        <f>IF(N795="nulová",J795,0)</f>
        <v>0</v>
      </c>
      <c r="BJ795" s="19" t="s">
        <v>79</v>
      </c>
      <c r="BK795" s="193">
        <f>ROUND(I795*H795,2)</f>
        <v>0</v>
      </c>
      <c r="BL795" s="19" t="s">
        <v>386</v>
      </c>
      <c r="BM795" s="192" t="s">
        <v>1196</v>
      </c>
    </row>
    <row r="796" spans="1:65" s="13" customFormat="1" ht="11.25">
      <c r="B796" s="194"/>
      <c r="C796" s="195"/>
      <c r="D796" s="196" t="s">
        <v>388</v>
      </c>
      <c r="E796" s="197" t="s">
        <v>19</v>
      </c>
      <c r="F796" s="198" t="s">
        <v>1197</v>
      </c>
      <c r="G796" s="195"/>
      <c r="H796" s="197" t="s">
        <v>19</v>
      </c>
      <c r="I796" s="199"/>
      <c r="J796" s="195"/>
      <c r="K796" s="195"/>
      <c r="L796" s="200"/>
      <c r="M796" s="201"/>
      <c r="N796" s="202"/>
      <c r="O796" s="202"/>
      <c r="P796" s="202"/>
      <c r="Q796" s="202"/>
      <c r="R796" s="202"/>
      <c r="S796" s="202"/>
      <c r="T796" s="203"/>
      <c r="AT796" s="204" t="s">
        <v>388</v>
      </c>
      <c r="AU796" s="204" t="s">
        <v>82</v>
      </c>
      <c r="AV796" s="13" t="s">
        <v>79</v>
      </c>
      <c r="AW796" s="13" t="s">
        <v>33</v>
      </c>
      <c r="AX796" s="13" t="s">
        <v>72</v>
      </c>
      <c r="AY796" s="204" t="s">
        <v>380</v>
      </c>
    </row>
    <row r="797" spans="1:65" s="14" customFormat="1" ht="11.25">
      <c r="B797" s="205"/>
      <c r="C797" s="206"/>
      <c r="D797" s="196" t="s">
        <v>388</v>
      </c>
      <c r="E797" s="207" t="s">
        <v>19</v>
      </c>
      <c r="F797" s="208" t="s">
        <v>1198</v>
      </c>
      <c r="G797" s="206"/>
      <c r="H797" s="209">
        <v>24.375</v>
      </c>
      <c r="I797" s="210"/>
      <c r="J797" s="206"/>
      <c r="K797" s="206"/>
      <c r="L797" s="211"/>
      <c r="M797" s="212"/>
      <c r="N797" s="213"/>
      <c r="O797" s="213"/>
      <c r="P797" s="213"/>
      <c r="Q797" s="213"/>
      <c r="R797" s="213"/>
      <c r="S797" s="213"/>
      <c r="T797" s="214"/>
      <c r="AT797" s="215" t="s">
        <v>388</v>
      </c>
      <c r="AU797" s="215" t="s">
        <v>82</v>
      </c>
      <c r="AV797" s="14" t="s">
        <v>82</v>
      </c>
      <c r="AW797" s="14" t="s">
        <v>33</v>
      </c>
      <c r="AX797" s="14" t="s">
        <v>72</v>
      </c>
      <c r="AY797" s="215" t="s">
        <v>380</v>
      </c>
    </row>
    <row r="798" spans="1:65" s="13" customFormat="1" ht="11.25">
      <c r="B798" s="194"/>
      <c r="C798" s="195"/>
      <c r="D798" s="196" t="s">
        <v>388</v>
      </c>
      <c r="E798" s="197" t="s">
        <v>19</v>
      </c>
      <c r="F798" s="198" t="s">
        <v>1199</v>
      </c>
      <c r="G798" s="195"/>
      <c r="H798" s="197" t="s">
        <v>19</v>
      </c>
      <c r="I798" s="199"/>
      <c r="J798" s="195"/>
      <c r="K798" s="195"/>
      <c r="L798" s="200"/>
      <c r="M798" s="201"/>
      <c r="N798" s="202"/>
      <c r="O798" s="202"/>
      <c r="P798" s="202"/>
      <c r="Q798" s="202"/>
      <c r="R798" s="202"/>
      <c r="S798" s="202"/>
      <c r="T798" s="203"/>
      <c r="AT798" s="204" t="s">
        <v>388</v>
      </c>
      <c r="AU798" s="204" t="s">
        <v>82</v>
      </c>
      <c r="AV798" s="13" t="s">
        <v>79</v>
      </c>
      <c r="AW798" s="13" t="s">
        <v>33</v>
      </c>
      <c r="AX798" s="13" t="s">
        <v>72</v>
      </c>
      <c r="AY798" s="204" t="s">
        <v>380</v>
      </c>
    </row>
    <row r="799" spans="1:65" s="14" customFormat="1" ht="11.25">
      <c r="B799" s="205"/>
      <c r="C799" s="206"/>
      <c r="D799" s="196" t="s">
        <v>388</v>
      </c>
      <c r="E799" s="207" t="s">
        <v>19</v>
      </c>
      <c r="F799" s="208" t="s">
        <v>1200</v>
      </c>
      <c r="G799" s="206"/>
      <c r="H799" s="209">
        <v>9.1519999999999992</v>
      </c>
      <c r="I799" s="210"/>
      <c r="J799" s="206"/>
      <c r="K799" s="206"/>
      <c r="L799" s="211"/>
      <c r="M799" s="212"/>
      <c r="N799" s="213"/>
      <c r="O799" s="213"/>
      <c r="P799" s="213"/>
      <c r="Q799" s="213"/>
      <c r="R799" s="213"/>
      <c r="S799" s="213"/>
      <c r="T799" s="214"/>
      <c r="AT799" s="215" t="s">
        <v>388</v>
      </c>
      <c r="AU799" s="215" t="s">
        <v>82</v>
      </c>
      <c r="AV799" s="14" t="s">
        <v>82</v>
      </c>
      <c r="AW799" s="14" t="s">
        <v>33</v>
      </c>
      <c r="AX799" s="14" t="s">
        <v>72</v>
      </c>
      <c r="AY799" s="215" t="s">
        <v>380</v>
      </c>
    </row>
    <row r="800" spans="1:65" s="13" customFormat="1" ht="11.25">
      <c r="B800" s="194"/>
      <c r="C800" s="195"/>
      <c r="D800" s="196" t="s">
        <v>388</v>
      </c>
      <c r="E800" s="197" t="s">
        <v>19</v>
      </c>
      <c r="F800" s="198" t="s">
        <v>1201</v>
      </c>
      <c r="G800" s="195"/>
      <c r="H800" s="197" t="s">
        <v>19</v>
      </c>
      <c r="I800" s="199"/>
      <c r="J800" s="195"/>
      <c r="K800" s="195"/>
      <c r="L800" s="200"/>
      <c r="M800" s="201"/>
      <c r="N800" s="202"/>
      <c r="O800" s="202"/>
      <c r="P800" s="202"/>
      <c r="Q800" s="202"/>
      <c r="R800" s="202"/>
      <c r="S800" s="202"/>
      <c r="T800" s="203"/>
      <c r="AT800" s="204" t="s">
        <v>388</v>
      </c>
      <c r="AU800" s="204" t="s">
        <v>82</v>
      </c>
      <c r="AV800" s="13" t="s">
        <v>79</v>
      </c>
      <c r="AW800" s="13" t="s">
        <v>33</v>
      </c>
      <c r="AX800" s="13" t="s">
        <v>72</v>
      </c>
      <c r="AY800" s="204" t="s">
        <v>380</v>
      </c>
    </row>
    <row r="801" spans="1:65" s="14" customFormat="1" ht="11.25">
      <c r="B801" s="205"/>
      <c r="C801" s="206"/>
      <c r="D801" s="196" t="s">
        <v>388</v>
      </c>
      <c r="E801" s="207" t="s">
        <v>19</v>
      </c>
      <c r="F801" s="208" t="s">
        <v>1202</v>
      </c>
      <c r="G801" s="206"/>
      <c r="H801" s="209">
        <v>14.944000000000001</v>
      </c>
      <c r="I801" s="210"/>
      <c r="J801" s="206"/>
      <c r="K801" s="206"/>
      <c r="L801" s="211"/>
      <c r="M801" s="212"/>
      <c r="N801" s="213"/>
      <c r="O801" s="213"/>
      <c r="P801" s="213"/>
      <c r="Q801" s="213"/>
      <c r="R801" s="213"/>
      <c r="S801" s="213"/>
      <c r="T801" s="214"/>
      <c r="AT801" s="215" t="s">
        <v>388</v>
      </c>
      <c r="AU801" s="215" t="s">
        <v>82</v>
      </c>
      <c r="AV801" s="14" t="s">
        <v>82</v>
      </c>
      <c r="AW801" s="14" t="s">
        <v>33</v>
      </c>
      <c r="AX801" s="14" t="s">
        <v>72</v>
      </c>
      <c r="AY801" s="215" t="s">
        <v>380</v>
      </c>
    </row>
    <row r="802" spans="1:65" s="15" customFormat="1" ht="11.25">
      <c r="B802" s="216"/>
      <c r="C802" s="217"/>
      <c r="D802" s="196" t="s">
        <v>388</v>
      </c>
      <c r="E802" s="218" t="s">
        <v>19</v>
      </c>
      <c r="F802" s="219" t="s">
        <v>419</v>
      </c>
      <c r="G802" s="217"/>
      <c r="H802" s="220">
        <v>48.470999999999997</v>
      </c>
      <c r="I802" s="221"/>
      <c r="J802" s="217"/>
      <c r="K802" s="217"/>
      <c r="L802" s="222"/>
      <c r="M802" s="223"/>
      <c r="N802" s="224"/>
      <c r="O802" s="224"/>
      <c r="P802" s="224"/>
      <c r="Q802" s="224"/>
      <c r="R802" s="224"/>
      <c r="S802" s="224"/>
      <c r="T802" s="225"/>
      <c r="AT802" s="226" t="s">
        <v>388</v>
      </c>
      <c r="AU802" s="226" t="s">
        <v>82</v>
      </c>
      <c r="AV802" s="15" t="s">
        <v>386</v>
      </c>
      <c r="AW802" s="15" t="s">
        <v>33</v>
      </c>
      <c r="AX802" s="15" t="s">
        <v>79</v>
      </c>
      <c r="AY802" s="226" t="s">
        <v>380</v>
      </c>
    </row>
    <row r="803" spans="1:65" s="2" customFormat="1" ht="16.5" customHeight="1">
      <c r="A803" s="36"/>
      <c r="B803" s="37"/>
      <c r="C803" s="227" t="s">
        <v>1203</v>
      </c>
      <c r="D803" s="227" t="s">
        <v>465</v>
      </c>
      <c r="E803" s="228" t="s">
        <v>1204</v>
      </c>
      <c r="F803" s="229" t="s">
        <v>1205</v>
      </c>
      <c r="G803" s="230" t="s">
        <v>398</v>
      </c>
      <c r="H803" s="231">
        <v>34.198</v>
      </c>
      <c r="I803" s="232"/>
      <c r="J803" s="233">
        <f>ROUND(I803*H803,2)</f>
        <v>0</v>
      </c>
      <c r="K803" s="229" t="s">
        <v>399</v>
      </c>
      <c r="L803" s="234"/>
      <c r="M803" s="235" t="s">
        <v>19</v>
      </c>
      <c r="N803" s="236" t="s">
        <v>43</v>
      </c>
      <c r="O803" s="66"/>
      <c r="P803" s="190">
        <f>O803*H803</f>
        <v>0</v>
      </c>
      <c r="Q803" s="190">
        <v>6.3E-3</v>
      </c>
      <c r="R803" s="190">
        <f>Q803*H803</f>
        <v>0.21544740000000001</v>
      </c>
      <c r="S803" s="190">
        <v>0</v>
      </c>
      <c r="T803" s="191">
        <f>S803*H803</f>
        <v>0</v>
      </c>
      <c r="U803" s="36"/>
      <c r="V803" s="36"/>
      <c r="W803" s="36"/>
      <c r="X803" s="36"/>
      <c r="Y803" s="36"/>
      <c r="Z803" s="36"/>
      <c r="AA803" s="36"/>
      <c r="AB803" s="36"/>
      <c r="AC803" s="36"/>
      <c r="AD803" s="36"/>
      <c r="AE803" s="36"/>
      <c r="AR803" s="192" t="s">
        <v>424</v>
      </c>
      <c r="AT803" s="192" t="s">
        <v>465</v>
      </c>
      <c r="AU803" s="192" t="s">
        <v>82</v>
      </c>
      <c r="AY803" s="19" t="s">
        <v>380</v>
      </c>
      <c r="BE803" s="193">
        <f>IF(N803="základní",J803,0)</f>
        <v>0</v>
      </c>
      <c r="BF803" s="193">
        <f>IF(N803="snížená",J803,0)</f>
        <v>0</v>
      </c>
      <c r="BG803" s="193">
        <f>IF(N803="zákl. přenesená",J803,0)</f>
        <v>0</v>
      </c>
      <c r="BH803" s="193">
        <f>IF(N803="sníž. přenesená",J803,0)</f>
        <v>0</v>
      </c>
      <c r="BI803" s="193">
        <f>IF(N803="nulová",J803,0)</f>
        <v>0</v>
      </c>
      <c r="BJ803" s="19" t="s">
        <v>79</v>
      </c>
      <c r="BK803" s="193">
        <f>ROUND(I803*H803,2)</f>
        <v>0</v>
      </c>
      <c r="BL803" s="19" t="s">
        <v>386</v>
      </c>
      <c r="BM803" s="192" t="s">
        <v>1206</v>
      </c>
    </row>
    <row r="804" spans="1:65" s="13" customFormat="1" ht="11.25">
      <c r="B804" s="194"/>
      <c r="C804" s="195"/>
      <c r="D804" s="196" t="s">
        <v>388</v>
      </c>
      <c r="E804" s="197" t="s">
        <v>19</v>
      </c>
      <c r="F804" s="198" t="s">
        <v>1197</v>
      </c>
      <c r="G804" s="195"/>
      <c r="H804" s="197" t="s">
        <v>19</v>
      </c>
      <c r="I804" s="199"/>
      <c r="J804" s="195"/>
      <c r="K804" s="195"/>
      <c r="L804" s="200"/>
      <c r="M804" s="201"/>
      <c r="N804" s="202"/>
      <c r="O804" s="202"/>
      <c r="P804" s="202"/>
      <c r="Q804" s="202"/>
      <c r="R804" s="202"/>
      <c r="S804" s="202"/>
      <c r="T804" s="203"/>
      <c r="AT804" s="204" t="s">
        <v>388</v>
      </c>
      <c r="AU804" s="204" t="s">
        <v>82</v>
      </c>
      <c r="AV804" s="13" t="s">
        <v>79</v>
      </c>
      <c r="AW804" s="13" t="s">
        <v>33</v>
      </c>
      <c r="AX804" s="13" t="s">
        <v>72</v>
      </c>
      <c r="AY804" s="204" t="s">
        <v>380</v>
      </c>
    </row>
    <row r="805" spans="1:65" s="14" customFormat="1" ht="11.25">
      <c r="B805" s="205"/>
      <c r="C805" s="206"/>
      <c r="D805" s="196" t="s">
        <v>388</v>
      </c>
      <c r="E805" s="207" t="s">
        <v>19</v>
      </c>
      <c r="F805" s="208" t="s">
        <v>1207</v>
      </c>
      <c r="G805" s="206"/>
      <c r="H805" s="209">
        <v>24.863</v>
      </c>
      <c r="I805" s="210"/>
      <c r="J805" s="206"/>
      <c r="K805" s="206"/>
      <c r="L805" s="211"/>
      <c r="M805" s="212"/>
      <c r="N805" s="213"/>
      <c r="O805" s="213"/>
      <c r="P805" s="213"/>
      <c r="Q805" s="213"/>
      <c r="R805" s="213"/>
      <c r="S805" s="213"/>
      <c r="T805" s="214"/>
      <c r="AT805" s="215" t="s">
        <v>388</v>
      </c>
      <c r="AU805" s="215" t="s">
        <v>82</v>
      </c>
      <c r="AV805" s="14" t="s">
        <v>82</v>
      </c>
      <c r="AW805" s="14" t="s">
        <v>33</v>
      </c>
      <c r="AX805" s="14" t="s">
        <v>72</v>
      </c>
      <c r="AY805" s="215" t="s">
        <v>380</v>
      </c>
    </row>
    <row r="806" spans="1:65" s="13" customFormat="1" ht="11.25">
      <c r="B806" s="194"/>
      <c r="C806" s="195"/>
      <c r="D806" s="196" t="s">
        <v>388</v>
      </c>
      <c r="E806" s="197" t="s">
        <v>19</v>
      </c>
      <c r="F806" s="198" t="s">
        <v>1199</v>
      </c>
      <c r="G806" s="195"/>
      <c r="H806" s="197" t="s">
        <v>19</v>
      </c>
      <c r="I806" s="199"/>
      <c r="J806" s="195"/>
      <c r="K806" s="195"/>
      <c r="L806" s="200"/>
      <c r="M806" s="201"/>
      <c r="N806" s="202"/>
      <c r="O806" s="202"/>
      <c r="P806" s="202"/>
      <c r="Q806" s="202"/>
      <c r="R806" s="202"/>
      <c r="S806" s="202"/>
      <c r="T806" s="203"/>
      <c r="AT806" s="204" t="s">
        <v>388</v>
      </c>
      <c r="AU806" s="204" t="s">
        <v>82</v>
      </c>
      <c r="AV806" s="13" t="s">
        <v>79</v>
      </c>
      <c r="AW806" s="13" t="s">
        <v>33</v>
      </c>
      <c r="AX806" s="13" t="s">
        <v>72</v>
      </c>
      <c r="AY806" s="204" t="s">
        <v>380</v>
      </c>
    </row>
    <row r="807" spans="1:65" s="14" customFormat="1" ht="11.25">
      <c r="B807" s="205"/>
      <c r="C807" s="206"/>
      <c r="D807" s="196" t="s">
        <v>388</v>
      </c>
      <c r="E807" s="207" t="s">
        <v>19</v>
      </c>
      <c r="F807" s="208" t="s">
        <v>1208</v>
      </c>
      <c r="G807" s="206"/>
      <c r="H807" s="209">
        <v>9.3350000000000009</v>
      </c>
      <c r="I807" s="210"/>
      <c r="J807" s="206"/>
      <c r="K807" s="206"/>
      <c r="L807" s="211"/>
      <c r="M807" s="212"/>
      <c r="N807" s="213"/>
      <c r="O807" s="213"/>
      <c r="P807" s="213"/>
      <c r="Q807" s="213"/>
      <c r="R807" s="213"/>
      <c r="S807" s="213"/>
      <c r="T807" s="214"/>
      <c r="AT807" s="215" t="s">
        <v>388</v>
      </c>
      <c r="AU807" s="215" t="s">
        <v>82</v>
      </c>
      <c r="AV807" s="14" t="s">
        <v>82</v>
      </c>
      <c r="AW807" s="14" t="s">
        <v>33</v>
      </c>
      <c r="AX807" s="14" t="s">
        <v>72</v>
      </c>
      <c r="AY807" s="215" t="s">
        <v>380</v>
      </c>
    </row>
    <row r="808" spans="1:65" s="15" customFormat="1" ht="11.25">
      <c r="B808" s="216"/>
      <c r="C808" s="217"/>
      <c r="D808" s="196" t="s">
        <v>388</v>
      </c>
      <c r="E808" s="218" t="s">
        <v>19</v>
      </c>
      <c r="F808" s="219" t="s">
        <v>419</v>
      </c>
      <c r="G808" s="217"/>
      <c r="H808" s="220">
        <v>34.198</v>
      </c>
      <c r="I808" s="221"/>
      <c r="J808" s="217"/>
      <c r="K808" s="217"/>
      <c r="L808" s="222"/>
      <c r="M808" s="223"/>
      <c r="N808" s="224"/>
      <c r="O808" s="224"/>
      <c r="P808" s="224"/>
      <c r="Q808" s="224"/>
      <c r="R808" s="224"/>
      <c r="S808" s="224"/>
      <c r="T808" s="225"/>
      <c r="AT808" s="226" t="s">
        <v>388</v>
      </c>
      <c r="AU808" s="226" t="s">
        <v>82</v>
      </c>
      <c r="AV808" s="15" t="s">
        <v>386</v>
      </c>
      <c r="AW808" s="15" t="s">
        <v>33</v>
      </c>
      <c r="AX808" s="15" t="s">
        <v>79</v>
      </c>
      <c r="AY808" s="226" t="s">
        <v>380</v>
      </c>
    </row>
    <row r="809" spans="1:65" s="2" customFormat="1" ht="16.5" customHeight="1">
      <c r="A809" s="36"/>
      <c r="B809" s="37"/>
      <c r="C809" s="227" t="s">
        <v>1209</v>
      </c>
      <c r="D809" s="227" t="s">
        <v>465</v>
      </c>
      <c r="E809" s="228" t="s">
        <v>1210</v>
      </c>
      <c r="F809" s="229" t="s">
        <v>1211</v>
      </c>
      <c r="G809" s="230" t="s">
        <v>398</v>
      </c>
      <c r="H809" s="231">
        <v>15.243</v>
      </c>
      <c r="I809" s="232"/>
      <c r="J809" s="233">
        <f>ROUND(I809*H809,2)</f>
        <v>0</v>
      </c>
      <c r="K809" s="229" t="s">
        <v>399</v>
      </c>
      <c r="L809" s="234"/>
      <c r="M809" s="235" t="s">
        <v>19</v>
      </c>
      <c r="N809" s="236" t="s">
        <v>43</v>
      </c>
      <c r="O809" s="66"/>
      <c r="P809" s="190">
        <f>O809*H809</f>
        <v>0</v>
      </c>
      <c r="Q809" s="190">
        <v>7.0000000000000001E-3</v>
      </c>
      <c r="R809" s="190">
        <f>Q809*H809</f>
        <v>0.106701</v>
      </c>
      <c r="S809" s="190">
        <v>0</v>
      </c>
      <c r="T809" s="191">
        <f>S809*H809</f>
        <v>0</v>
      </c>
      <c r="U809" s="36"/>
      <c r="V809" s="36"/>
      <c r="W809" s="36"/>
      <c r="X809" s="36"/>
      <c r="Y809" s="36"/>
      <c r="Z809" s="36"/>
      <c r="AA809" s="36"/>
      <c r="AB809" s="36"/>
      <c r="AC809" s="36"/>
      <c r="AD809" s="36"/>
      <c r="AE809" s="36"/>
      <c r="AR809" s="192" t="s">
        <v>424</v>
      </c>
      <c r="AT809" s="192" t="s">
        <v>465</v>
      </c>
      <c r="AU809" s="192" t="s">
        <v>82</v>
      </c>
      <c r="AY809" s="19" t="s">
        <v>380</v>
      </c>
      <c r="BE809" s="193">
        <f>IF(N809="základní",J809,0)</f>
        <v>0</v>
      </c>
      <c r="BF809" s="193">
        <f>IF(N809="snížená",J809,0)</f>
        <v>0</v>
      </c>
      <c r="BG809" s="193">
        <f>IF(N809="zákl. přenesená",J809,0)</f>
        <v>0</v>
      </c>
      <c r="BH809" s="193">
        <f>IF(N809="sníž. přenesená",J809,0)</f>
        <v>0</v>
      </c>
      <c r="BI809" s="193">
        <f>IF(N809="nulová",J809,0)</f>
        <v>0</v>
      </c>
      <c r="BJ809" s="19" t="s">
        <v>79</v>
      </c>
      <c r="BK809" s="193">
        <f>ROUND(I809*H809,2)</f>
        <v>0</v>
      </c>
      <c r="BL809" s="19" t="s">
        <v>386</v>
      </c>
      <c r="BM809" s="192" t="s">
        <v>1212</v>
      </c>
    </row>
    <row r="810" spans="1:65" s="13" customFormat="1" ht="11.25">
      <c r="B810" s="194"/>
      <c r="C810" s="195"/>
      <c r="D810" s="196" t="s">
        <v>388</v>
      </c>
      <c r="E810" s="197" t="s">
        <v>19</v>
      </c>
      <c r="F810" s="198" t="s">
        <v>1213</v>
      </c>
      <c r="G810" s="195"/>
      <c r="H810" s="197" t="s">
        <v>19</v>
      </c>
      <c r="I810" s="199"/>
      <c r="J810" s="195"/>
      <c r="K810" s="195"/>
      <c r="L810" s="200"/>
      <c r="M810" s="201"/>
      <c r="N810" s="202"/>
      <c r="O810" s="202"/>
      <c r="P810" s="202"/>
      <c r="Q810" s="202"/>
      <c r="R810" s="202"/>
      <c r="S810" s="202"/>
      <c r="T810" s="203"/>
      <c r="AT810" s="204" t="s">
        <v>388</v>
      </c>
      <c r="AU810" s="204" t="s">
        <v>82</v>
      </c>
      <c r="AV810" s="13" t="s">
        <v>79</v>
      </c>
      <c r="AW810" s="13" t="s">
        <v>33</v>
      </c>
      <c r="AX810" s="13" t="s">
        <v>72</v>
      </c>
      <c r="AY810" s="204" t="s">
        <v>380</v>
      </c>
    </row>
    <row r="811" spans="1:65" s="14" customFormat="1" ht="11.25">
      <c r="B811" s="205"/>
      <c r="C811" s="206"/>
      <c r="D811" s="196" t="s">
        <v>388</v>
      </c>
      <c r="E811" s="207" t="s">
        <v>19</v>
      </c>
      <c r="F811" s="208" t="s">
        <v>1214</v>
      </c>
      <c r="G811" s="206"/>
      <c r="H811" s="209">
        <v>15.243</v>
      </c>
      <c r="I811" s="210"/>
      <c r="J811" s="206"/>
      <c r="K811" s="206"/>
      <c r="L811" s="211"/>
      <c r="M811" s="212"/>
      <c r="N811" s="213"/>
      <c r="O811" s="213"/>
      <c r="P811" s="213"/>
      <c r="Q811" s="213"/>
      <c r="R811" s="213"/>
      <c r="S811" s="213"/>
      <c r="T811" s="214"/>
      <c r="AT811" s="215" t="s">
        <v>388</v>
      </c>
      <c r="AU811" s="215" t="s">
        <v>82</v>
      </c>
      <c r="AV811" s="14" t="s">
        <v>82</v>
      </c>
      <c r="AW811" s="14" t="s">
        <v>33</v>
      </c>
      <c r="AX811" s="14" t="s">
        <v>79</v>
      </c>
      <c r="AY811" s="215" t="s">
        <v>380</v>
      </c>
    </row>
    <row r="812" spans="1:65" s="2" customFormat="1" ht="24.2" customHeight="1">
      <c r="A812" s="36"/>
      <c r="B812" s="37"/>
      <c r="C812" s="181" t="s">
        <v>1215</v>
      </c>
      <c r="D812" s="181" t="s">
        <v>382</v>
      </c>
      <c r="E812" s="182" t="s">
        <v>1216</v>
      </c>
      <c r="F812" s="183" t="s">
        <v>1217</v>
      </c>
      <c r="G812" s="184" t="s">
        <v>398</v>
      </c>
      <c r="H812" s="185">
        <v>337.14</v>
      </c>
      <c r="I812" s="186"/>
      <c r="J812" s="187">
        <f>ROUND(I812*H812,2)</f>
        <v>0</v>
      </c>
      <c r="K812" s="183" t="s">
        <v>399</v>
      </c>
      <c r="L812" s="41"/>
      <c r="M812" s="188" t="s">
        <v>19</v>
      </c>
      <c r="N812" s="189" t="s">
        <v>43</v>
      </c>
      <c r="O812" s="66"/>
      <c r="P812" s="190">
        <f>O812*H812</f>
        <v>0</v>
      </c>
      <c r="Q812" s="190">
        <v>2.6800000000000001E-3</v>
      </c>
      <c r="R812" s="190">
        <f>Q812*H812</f>
        <v>0.90353519999999998</v>
      </c>
      <c r="S812" s="190">
        <v>0</v>
      </c>
      <c r="T812" s="191">
        <f>S812*H812</f>
        <v>0</v>
      </c>
      <c r="U812" s="36"/>
      <c r="V812" s="36"/>
      <c r="W812" s="36"/>
      <c r="X812" s="36"/>
      <c r="Y812" s="36"/>
      <c r="Z812" s="36"/>
      <c r="AA812" s="36"/>
      <c r="AB812" s="36"/>
      <c r="AC812" s="36"/>
      <c r="AD812" s="36"/>
      <c r="AE812" s="36"/>
      <c r="AR812" s="192" t="s">
        <v>386</v>
      </c>
      <c r="AT812" s="192" t="s">
        <v>382</v>
      </c>
      <c r="AU812" s="192" t="s">
        <v>82</v>
      </c>
      <c r="AY812" s="19" t="s">
        <v>380</v>
      </c>
      <c r="BE812" s="193">
        <f>IF(N812="základní",J812,0)</f>
        <v>0</v>
      </c>
      <c r="BF812" s="193">
        <f>IF(N812="snížená",J812,0)</f>
        <v>0</v>
      </c>
      <c r="BG812" s="193">
        <f>IF(N812="zákl. přenesená",J812,0)</f>
        <v>0</v>
      </c>
      <c r="BH812" s="193">
        <f>IF(N812="sníž. přenesená",J812,0)</f>
        <v>0</v>
      </c>
      <c r="BI812" s="193">
        <f>IF(N812="nulová",J812,0)</f>
        <v>0</v>
      </c>
      <c r="BJ812" s="19" t="s">
        <v>79</v>
      </c>
      <c r="BK812" s="193">
        <f>ROUND(I812*H812,2)</f>
        <v>0</v>
      </c>
      <c r="BL812" s="19" t="s">
        <v>386</v>
      </c>
      <c r="BM812" s="192" t="s">
        <v>1218</v>
      </c>
    </row>
    <row r="813" spans="1:65" s="13" customFormat="1" ht="11.25">
      <c r="B813" s="194"/>
      <c r="C813" s="195"/>
      <c r="D813" s="196" t="s">
        <v>388</v>
      </c>
      <c r="E813" s="197" t="s">
        <v>19</v>
      </c>
      <c r="F813" s="198" t="s">
        <v>1219</v>
      </c>
      <c r="G813" s="195"/>
      <c r="H813" s="197" t="s">
        <v>19</v>
      </c>
      <c r="I813" s="199"/>
      <c r="J813" s="195"/>
      <c r="K813" s="195"/>
      <c r="L813" s="200"/>
      <c r="M813" s="201"/>
      <c r="N813" s="202"/>
      <c r="O813" s="202"/>
      <c r="P813" s="202"/>
      <c r="Q813" s="202"/>
      <c r="R813" s="202"/>
      <c r="S813" s="202"/>
      <c r="T813" s="203"/>
      <c r="AT813" s="204" t="s">
        <v>388</v>
      </c>
      <c r="AU813" s="204" t="s">
        <v>82</v>
      </c>
      <c r="AV813" s="13" t="s">
        <v>79</v>
      </c>
      <c r="AW813" s="13" t="s">
        <v>33</v>
      </c>
      <c r="AX813" s="13" t="s">
        <v>72</v>
      </c>
      <c r="AY813" s="204" t="s">
        <v>380</v>
      </c>
    </row>
    <row r="814" spans="1:65" s="13" customFormat="1" ht="11.25">
      <c r="B814" s="194"/>
      <c r="C814" s="195"/>
      <c r="D814" s="196" t="s">
        <v>388</v>
      </c>
      <c r="E814" s="197" t="s">
        <v>19</v>
      </c>
      <c r="F814" s="198" t="s">
        <v>1170</v>
      </c>
      <c r="G814" s="195"/>
      <c r="H814" s="197" t="s">
        <v>19</v>
      </c>
      <c r="I814" s="199"/>
      <c r="J814" s="195"/>
      <c r="K814" s="195"/>
      <c r="L814" s="200"/>
      <c r="M814" s="201"/>
      <c r="N814" s="202"/>
      <c r="O814" s="202"/>
      <c r="P814" s="202"/>
      <c r="Q814" s="202"/>
      <c r="R814" s="202"/>
      <c r="S814" s="202"/>
      <c r="T814" s="203"/>
      <c r="AT814" s="204" t="s">
        <v>388</v>
      </c>
      <c r="AU814" s="204" t="s">
        <v>82</v>
      </c>
      <c r="AV814" s="13" t="s">
        <v>79</v>
      </c>
      <c r="AW814" s="13" t="s">
        <v>33</v>
      </c>
      <c r="AX814" s="13" t="s">
        <v>72</v>
      </c>
      <c r="AY814" s="204" t="s">
        <v>380</v>
      </c>
    </row>
    <row r="815" spans="1:65" s="13" customFormat="1" ht="11.25">
      <c r="B815" s="194"/>
      <c r="C815" s="195"/>
      <c r="D815" s="196" t="s">
        <v>388</v>
      </c>
      <c r="E815" s="197" t="s">
        <v>19</v>
      </c>
      <c r="F815" s="198" t="s">
        <v>1171</v>
      </c>
      <c r="G815" s="195"/>
      <c r="H815" s="197" t="s">
        <v>19</v>
      </c>
      <c r="I815" s="199"/>
      <c r="J815" s="195"/>
      <c r="K815" s="195"/>
      <c r="L815" s="200"/>
      <c r="M815" s="201"/>
      <c r="N815" s="202"/>
      <c r="O815" s="202"/>
      <c r="P815" s="202"/>
      <c r="Q815" s="202"/>
      <c r="R815" s="202"/>
      <c r="S815" s="202"/>
      <c r="T815" s="203"/>
      <c r="AT815" s="204" t="s">
        <v>388</v>
      </c>
      <c r="AU815" s="204" t="s">
        <v>82</v>
      </c>
      <c r="AV815" s="13" t="s">
        <v>79</v>
      </c>
      <c r="AW815" s="13" t="s">
        <v>33</v>
      </c>
      <c r="AX815" s="13" t="s">
        <v>72</v>
      </c>
      <c r="AY815" s="204" t="s">
        <v>380</v>
      </c>
    </row>
    <row r="816" spans="1:65" s="14" customFormat="1" ht="11.25">
      <c r="B816" s="205"/>
      <c r="C816" s="206"/>
      <c r="D816" s="196" t="s">
        <v>388</v>
      </c>
      <c r="E816" s="207" t="s">
        <v>19</v>
      </c>
      <c r="F816" s="208" t="s">
        <v>1172</v>
      </c>
      <c r="G816" s="206"/>
      <c r="H816" s="209">
        <v>319.8</v>
      </c>
      <c r="I816" s="210"/>
      <c r="J816" s="206"/>
      <c r="K816" s="206"/>
      <c r="L816" s="211"/>
      <c r="M816" s="212"/>
      <c r="N816" s="213"/>
      <c r="O816" s="213"/>
      <c r="P816" s="213"/>
      <c r="Q816" s="213"/>
      <c r="R816" s="213"/>
      <c r="S816" s="213"/>
      <c r="T816" s="214"/>
      <c r="AT816" s="215" t="s">
        <v>388</v>
      </c>
      <c r="AU816" s="215" t="s">
        <v>82</v>
      </c>
      <c r="AV816" s="14" t="s">
        <v>82</v>
      </c>
      <c r="AW816" s="14" t="s">
        <v>33</v>
      </c>
      <c r="AX816" s="14" t="s">
        <v>72</v>
      </c>
      <c r="AY816" s="215" t="s">
        <v>380</v>
      </c>
    </row>
    <row r="817" spans="1:65" s="13" customFormat="1" ht="11.25">
      <c r="B817" s="194"/>
      <c r="C817" s="195"/>
      <c r="D817" s="196" t="s">
        <v>388</v>
      </c>
      <c r="E817" s="197" t="s">
        <v>19</v>
      </c>
      <c r="F817" s="198" t="s">
        <v>1220</v>
      </c>
      <c r="G817" s="195"/>
      <c r="H817" s="197" t="s">
        <v>19</v>
      </c>
      <c r="I817" s="199"/>
      <c r="J817" s="195"/>
      <c r="K817" s="195"/>
      <c r="L817" s="200"/>
      <c r="M817" s="201"/>
      <c r="N817" s="202"/>
      <c r="O817" s="202"/>
      <c r="P817" s="202"/>
      <c r="Q817" s="202"/>
      <c r="R817" s="202"/>
      <c r="S817" s="202"/>
      <c r="T817" s="203"/>
      <c r="AT817" s="204" t="s">
        <v>388</v>
      </c>
      <c r="AU817" s="204" t="s">
        <v>82</v>
      </c>
      <c r="AV817" s="13" t="s">
        <v>79</v>
      </c>
      <c r="AW817" s="13" t="s">
        <v>33</v>
      </c>
      <c r="AX817" s="13" t="s">
        <v>72</v>
      </c>
      <c r="AY817" s="204" t="s">
        <v>380</v>
      </c>
    </row>
    <row r="818" spans="1:65" s="14" customFormat="1" ht="11.25">
      <c r="B818" s="205"/>
      <c r="C818" s="206"/>
      <c r="D818" s="196" t="s">
        <v>388</v>
      </c>
      <c r="E818" s="207" t="s">
        <v>19</v>
      </c>
      <c r="F818" s="208" t="s">
        <v>1221</v>
      </c>
      <c r="G818" s="206"/>
      <c r="H818" s="209">
        <v>17.34</v>
      </c>
      <c r="I818" s="210"/>
      <c r="J818" s="206"/>
      <c r="K818" s="206"/>
      <c r="L818" s="211"/>
      <c r="M818" s="212"/>
      <c r="N818" s="213"/>
      <c r="O818" s="213"/>
      <c r="P818" s="213"/>
      <c r="Q818" s="213"/>
      <c r="R818" s="213"/>
      <c r="S818" s="213"/>
      <c r="T818" s="214"/>
      <c r="AT818" s="215" t="s">
        <v>388</v>
      </c>
      <c r="AU818" s="215" t="s">
        <v>82</v>
      </c>
      <c r="AV818" s="14" t="s">
        <v>82</v>
      </c>
      <c r="AW818" s="14" t="s">
        <v>33</v>
      </c>
      <c r="AX818" s="14" t="s">
        <v>72</v>
      </c>
      <c r="AY818" s="215" t="s">
        <v>380</v>
      </c>
    </row>
    <row r="819" spans="1:65" s="15" customFormat="1" ht="11.25">
      <c r="B819" s="216"/>
      <c r="C819" s="217"/>
      <c r="D819" s="196" t="s">
        <v>388</v>
      </c>
      <c r="E819" s="218" t="s">
        <v>19</v>
      </c>
      <c r="F819" s="219" t="s">
        <v>419</v>
      </c>
      <c r="G819" s="217"/>
      <c r="H819" s="220">
        <v>337.14</v>
      </c>
      <c r="I819" s="221"/>
      <c r="J819" s="217"/>
      <c r="K819" s="217"/>
      <c r="L819" s="222"/>
      <c r="M819" s="223"/>
      <c r="N819" s="224"/>
      <c r="O819" s="224"/>
      <c r="P819" s="224"/>
      <c r="Q819" s="224"/>
      <c r="R819" s="224"/>
      <c r="S819" s="224"/>
      <c r="T819" s="225"/>
      <c r="AT819" s="226" t="s">
        <v>388</v>
      </c>
      <c r="AU819" s="226" t="s">
        <v>82</v>
      </c>
      <c r="AV819" s="15" t="s">
        <v>386</v>
      </c>
      <c r="AW819" s="15" t="s">
        <v>33</v>
      </c>
      <c r="AX819" s="15" t="s">
        <v>79</v>
      </c>
      <c r="AY819" s="226" t="s">
        <v>380</v>
      </c>
    </row>
    <row r="820" spans="1:65" s="2" customFormat="1" ht="24.2" customHeight="1">
      <c r="A820" s="36"/>
      <c r="B820" s="37"/>
      <c r="C820" s="181" t="s">
        <v>1222</v>
      </c>
      <c r="D820" s="181" t="s">
        <v>382</v>
      </c>
      <c r="E820" s="182" t="s">
        <v>1223</v>
      </c>
      <c r="F820" s="183" t="s">
        <v>1224</v>
      </c>
      <c r="G820" s="184" t="s">
        <v>398</v>
      </c>
      <c r="H820" s="185">
        <v>1245.1320000000001</v>
      </c>
      <c r="I820" s="186"/>
      <c r="J820" s="187">
        <f>ROUND(I820*H820,2)</f>
        <v>0</v>
      </c>
      <c r="K820" s="183" t="s">
        <v>19</v>
      </c>
      <c r="L820" s="41"/>
      <c r="M820" s="188" t="s">
        <v>19</v>
      </c>
      <c r="N820" s="189" t="s">
        <v>43</v>
      </c>
      <c r="O820" s="66"/>
      <c r="P820" s="190">
        <f>O820*H820</f>
        <v>0</v>
      </c>
      <c r="Q820" s="190">
        <v>8.0000000000000002E-3</v>
      </c>
      <c r="R820" s="190">
        <f>Q820*H820</f>
        <v>9.961056000000001</v>
      </c>
      <c r="S820" s="190">
        <v>0</v>
      </c>
      <c r="T820" s="191">
        <f>S820*H820</f>
        <v>0</v>
      </c>
      <c r="U820" s="36"/>
      <c r="V820" s="36"/>
      <c r="W820" s="36"/>
      <c r="X820" s="36"/>
      <c r="Y820" s="36"/>
      <c r="Z820" s="36"/>
      <c r="AA820" s="36"/>
      <c r="AB820" s="36"/>
      <c r="AC820" s="36"/>
      <c r="AD820" s="36"/>
      <c r="AE820" s="36"/>
      <c r="AR820" s="192" t="s">
        <v>386</v>
      </c>
      <c r="AT820" s="192" t="s">
        <v>382</v>
      </c>
      <c r="AU820" s="192" t="s">
        <v>82</v>
      </c>
      <c r="AY820" s="19" t="s">
        <v>380</v>
      </c>
      <c r="BE820" s="193">
        <f>IF(N820="základní",J820,0)</f>
        <v>0</v>
      </c>
      <c r="BF820" s="193">
        <f>IF(N820="snížená",J820,0)</f>
        <v>0</v>
      </c>
      <c r="BG820" s="193">
        <f>IF(N820="zákl. přenesená",J820,0)</f>
        <v>0</v>
      </c>
      <c r="BH820" s="193">
        <f>IF(N820="sníž. přenesená",J820,0)</f>
        <v>0</v>
      </c>
      <c r="BI820" s="193">
        <f>IF(N820="nulová",J820,0)</f>
        <v>0</v>
      </c>
      <c r="BJ820" s="19" t="s">
        <v>79</v>
      </c>
      <c r="BK820" s="193">
        <f>ROUND(I820*H820,2)</f>
        <v>0</v>
      </c>
      <c r="BL820" s="19" t="s">
        <v>386</v>
      </c>
      <c r="BM820" s="192" t="s">
        <v>1225</v>
      </c>
    </row>
    <row r="821" spans="1:65" s="2" customFormat="1" ht="78">
      <c r="A821" s="36"/>
      <c r="B821" s="37"/>
      <c r="C821" s="38"/>
      <c r="D821" s="196" t="s">
        <v>1226</v>
      </c>
      <c r="E821" s="38"/>
      <c r="F821" s="248" t="s">
        <v>1227</v>
      </c>
      <c r="G821" s="38"/>
      <c r="H821" s="38"/>
      <c r="I821" s="249"/>
      <c r="J821" s="38"/>
      <c r="K821" s="38"/>
      <c r="L821" s="41"/>
      <c r="M821" s="250"/>
      <c r="N821" s="251"/>
      <c r="O821" s="66"/>
      <c r="P821" s="66"/>
      <c r="Q821" s="66"/>
      <c r="R821" s="66"/>
      <c r="S821" s="66"/>
      <c r="T821" s="67"/>
      <c r="U821" s="36"/>
      <c r="V821" s="36"/>
      <c r="W821" s="36"/>
      <c r="X821" s="36"/>
      <c r="Y821" s="36"/>
      <c r="Z821" s="36"/>
      <c r="AA821" s="36"/>
      <c r="AB821" s="36"/>
      <c r="AC821" s="36"/>
      <c r="AD821" s="36"/>
      <c r="AE821" s="36"/>
      <c r="AT821" s="19" t="s">
        <v>1226</v>
      </c>
      <c r="AU821" s="19" t="s">
        <v>82</v>
      </c>
    </row>
    <row r="822" spans="1:65" s="13" customFormat="1" ht="11.25">
      <c r="B822" s="194"/>
      <c r="C822" s="195"/>
      <c r="D822" s="196" t="s">
        <v>388</v>
      </c>
      <c r="E822" s="197" t="s">
        <v>19</v>
      </c>
      <c r="F822" s="198" t="s">
        <v>1170</v>
      </c>
      <c r="G822" s="195"/>
      <c r="H822" s="197" t="s">
        <v>19</v>
      </c>
      <c r="I822" s="199"/>
      <c r="J822" s="195"/>
      <c r="K822" s="195"/>
      <c r="L822" s="200"/>
      <c r="M822" s="201"/>
      <c r="N822" s="202"/>
      <c r="O822" s="202"/>
      <c r="P822" s="202"/>
      <c r="Q822" s="202"/>
      <c r="R822" s="202"/>
      <c r="S822" s="202"/>
      <c r="T822" s="203"/>
      <c r="AT822" s="204" t="s">
        <v>388</v>
      </c>
      <c r="AU822" s="204" t="s">
        <v>82</v>
      </c>
      <c r="AV822" s="13" t="s">
        <v>79</v>
      </c>
      <c r="AW822" s="13" t="s">
        <v>33</v>
      </c>
      <c r="AX822" s="13" t="s">
        <v>72</v>
      </c>
      <c r="AY822" s="204" t="s">
        <v>380</v>
      </c>
    </row>
    <row r="823" spans="1:65" s="13" customFormat="1" ht="11.25">
      <c r="B823" s="194"/>
      <c r="C823" s="195"/>
      <c r="D823" s="196" t="s">
        <v>388</v>
      </c>
      <c r="E823" s="197" t="s">
        <v>19</v>
      </c>
      <c r="F823" s="198" t="s">
        <v>1228</v>
      </c>
      <c r="G823" s="195"/>
      <c r="H823" s="197" t="s">
        <v>19</v>
      </c>
      <c r="I823" s="199"/>
      <c r="J823" s="195"/>
      <c r="K823" s="195"/>
      <c r="L823" s="200"/>
      <c r="M823" s="201"/>
      <c r="N823" s="202"/>
      <c r="O823" s="202"/>
      <c r="P823" s="202"/>
      <c r="Q823" s="202"/>
      <c r="R823" s="202"/>
      <c r="S823" s="202"/>
      <c r="T823" s="203"/>
      <c r="AT823" s="204" t="s">
        <v>388</v>
      </c>
      <c r="AU823" s="204" t="s">
        <v>82</v>
      </c>
      <c r="AV823" s="13" t="s">
        <v>79</v>
      </c>
      <c r="AW823" s="13" t="s">
        <v>33</v>
      </c>
      <c r="AX823" s="13" t="s">
        <v>72</v>
      </c>
      <c r="AY823" s="204" t="s">
        <v>380</v>
      </c>
    </row>
    <row r="824" spans="1:65" s="14" customFormat="1" ht="11.25">
      <c r="B824" s="205"/>
      <c r="C824" s="206"/>
      <c r="D824" s="196" t="s">
        <v>388</v>
      </c>
      <c r="E824" s="207" t="s">
        <v>19</v>
      </c>
      <c r="F824" s="208" t="s">
        <v>1229</v>
      </c>
      <c r="G824" s="206"/>
      <c r="H824" s="209">
        <v>283.83800000000002</v>
      </c>
      <c r="I824" s="210"/>
      <c r="J824" s="206"/>
      <c r="K824" s="206"/>
      <c r="L824" s="211"/>
      <c r="M824" s="212"/>
      <c r="N824" s="213"/>
      <c r="O824" s="213"/>
      <c r="P824" s="213"/>
      <c r="Q824" s="213"/>
      <c r="R824" s="213"/>
      <c r="S824" s="213"/>
      <c r="T824" s="214"/>
      <c r="AT824" s="215" t="s">
        <v>388</v>
      </c>
      <c r="AU824" s="215" t="s">
        <v>82</v>
      </c>
      <c r="AV824" s="14" t="s">
        <v>82</v>
      </c>
      <c r="AW824" s="14" t="s">
        <v>33</v>
      </c>
      <c r="AX824" s="14" t="s">
        <v>72</v>
      </c>
      <c r="AY824" s="215" t="s">
        <v>380</v>
      </c>
    </row>
    <row r="825" spans="1:65" s="13" customFormat="1" ht="11.25">
      <c r="B825" s="194"/>
      <c r="C825" s="195"/>
      <c r="D825" s="196" t="s">
        <v>388</v>
      </c>
      <c r="E825" s="197" t="s">
        <v>19</v>
      </c>
      <c r="F825" s="198" t="s">
        <v>1230</v>
      </c>
      <c r="G825" s="195"/>
      <c r="H825" s="197" t="s">
        <v>19</v>
      </c>
      <c r="I825" s="199"/>
      <c r="J825" s="195"/>
      <c r="K825" s="195"/>
      <c r="L825" s="200"/>
      <c r="M825" s="201"/>
      <c r="N825" s="202"/>
      <c r="O825" s="202"/>
      <c r="P825" s="202"/>
      <c r="Q825" s="202"/>
      <c r="R825" s="202"/>
      <c r="S825" s="202"/>
      <c r="T825" s="203"/>
      <c r="AT825" s="204" t="s">
        <v>388</v>
      </c>
      <c r="AU825" s="204" t="s">
        <v>82</v>
      </c>
      <c r="AV825" s="13" t="s">
        <v>79</v>
      </c>
      <c r="AW825" s="13" t="s">
        <v>33</v>
      </c>
      <c r="AX825" s="13" t="s">
        <v>72</v>
      </c>
      <c r="AY825" s="204" t="s">
        <v>380</v>
      </c>
    </row>
    <row r="826" spans="1:65" s="14" customFormat="1" ht="11.25">
      <c r="B826" s="205"/>
      <c r="C826" s="206"/>
      <c r="D826" s="196" t="s">
        <v>388</v>
      </c>
      <c r="E826" s="207" t="s">
        <v>19</v>
      </c>
      <c r="F826" s="208" t="s">
        <v>1229</v>
      </c>
      <c r="G826" s="206"/>
      <c r="H826" s="209">
        <v>283.83800000000002</v>
      </c>
      <c r="I826" s="210"/>
      <c r="J826" s="206"/>
      <c r="K826" s="206"/>
      <c r="L826" s="211"/>
      <c r="M826" s="212"/>
      <c r="N826" s="213"/>
      <c r="O826" s="213"/>
      <c r="P826" s="213"/>
      <c r="Q826" s="213"/>
      <c r="R826" s="213"/>
      <c r="S826" s="213"/>
      <c r="T826" s="214"/>
      <c r="AT826" s="215" t="s">
        <v>388</v>
      </c>
      <c r="AU826" s="215" t="s">
        <v>82</v>
      </c>
      <c r="AV826" s="14" t="s">
        <v>82</v>
      </c>
      <c r="AW826" s="14" t="s">
        <v>33</v>
      </c>
      <c r="AX826" s="14" t="s">
        <v>72</v>
      </c>
      <c r="AY826" s="215" t="s">
        <v>380</v>
      </c>
    </row>
    <row r="827" spans="1:65" s="13" customFormat="1" ht="11.25">
      <c r="B827" s="194"/>
      <c r="C827" s="195"/>
      <c r="D827" s="196" t="s">
        <v>388</v>
      </c>
      <c r="E827" s="197" t="s">
        <v>19</v>
      </c>
      <c r="F827" s="198" t="s">
        <v>1171</v>
      </c>
      <c r="G827" s="195"/>
      <c r="H827" s="197" t="s">
        <v>19</v>
      </c>
      <c r="I827" s="199"/>
      <c r="J827" s="195"/>
      <c r="K827" s="195"/>
      <c r="L827" s="200"/>
      <c r="M827" s="201"/>
      <c r="N827" s="202"/>
      <c r="O827" s="202"/>
      <c r="P827" s="202"/>
      <c r="Q827" s="202"/>
      <c r="R827" s="202"/>
      <c r="S827" s="202"/>
      <c r="T827" s="203"/>
      <c r="AT827" s="204" t="s">
        <v>388</v>
      </c>
      <c r="AU827" s="204" t="s">
        <v>82</v>
      </c>
      <c r="AV827" s="13" t="s">
        <v>79</v>
      </c>
      <c r="AW827" s="13" t="s">
        <v>33</v>
      </c>
      <c r="AX827" s="13" t="s">
        <v>72</v>
      </c>
      <c r="AY827" s="204" t="s">
        <v>380</v>
      </c>
    </row>
    <row r="828" spans="1:65" s="14" customFormat="1" ht="11.25">
      <c r="B828" s="205"/>
      <c r="C828" s="206"/>
      <c r="D828" s="196" t="s">
        <v>388</v>
      </c>
      <c r="E828" s="207" t="s">
        <v>19</v>
      </c>
      <c r="F828" s="208" t="s">
        <v>1231</v>
      </c>
      <c r="G828" s="206"/>
      <c r="H828" s="209">
        <v>239.376</v>
      </c>
      <c r="I828" s="210"/>
      <c r="J828" s="206"/>
      <c r="K828" s="206"/>
      <c r="L828" s="211"/>
      <c r="M828" s="212"/>
      <c r="N828" s="213"/>
      <c r="O828" s="213"/>
      <c r="P828" s="213"/>
      <c r="Q828" s="213"/>
      <c r="R828" s="213"/>
      <c r="S828" s="213"/>
      <c r="T828" s="214"/>
      <c r="AT828" s="215" t="s">
        <v>388</v>
      </c>
      <c r="AU828" s="215" t="s">
        <v>82</v>
      </c>
      <c r="AV828" s="14" t="s">
        <v>82</v>
      </c>
      <c r="AW828" s="14" t="s">
        <v>33</v>
      </c>
      <c r="AX828" s="14" t="s">
        <v>72</v>
      </c>
      <c r="AY828" s="215" t="s">
        <v>380</v>
      </c>
    </row>
    <row r="829" spans="1:65" s="13" customFormat="1" ht="11.25">
      <c r="B829" s="194"/>
      <c r="C829" s="195"/>
      <c r="D829" s="196" t="s">
        <v>388</v>
      </c>
      <c r="E829" s="197" t="s">
        <v>19</v>
      </c>
      <c r="F829" s="198" t="s">
        <v>1232</v>
      </c>
      <c r="G829" s="195"/>
      <c r="H829" s="197" t="s">
        <v>19</v>
      </c>
      <c r="I829" s="199"/>
      <c r="J829" s="195"/>
      <c r="K829" s="195"/>
      <c r="L829" s="200"/>
      <c r="M829" s="201"/>
      <c r="N829" s="202"/>
      <c r="O829" s="202"/>
      <c r="P829" s="202"/>
      <c r="Q829" s="202"/>
      <c r="R829" s="202"/>
      <c r="S829" s="202"/>
      <c r="T829" s="203"/>
      <c r="AT829" s="204" t="s">
        <v>388</v>
      </c>
      <c r="AU829" s="204" t="s">
        <v>82</v>
      </c>
      <c r="AV829" s="13" t="s">
        <v>79</v>
      </c>
      <c r="AW829" s="13" t="s">
        <v>33</v>
      </c>
      <c r="AX829" s="13" t="s">
        <v>72</v>
      </c>
      <c r="AY829" s="204" t="s">
        <v>380</v>
      </c>
    </row>
    <row r="830" spans="1:65" s="14" customFormat="1" ht="11.25">
      <c r="B830" s="205"/>
      <c r="C830" s="206"/>
      <c r="D830" s="196" t="s">
        <v>388</v>
      </c>
      <c r="E830" s="207" t="s">
        <v>19</v>
      </c>
      <c r="F830" s="208" t="s">
        <v>1233</v>
      </c>
      <c r="G830" s="206"/>
      <c r="H830" s="209">
        <v>438.08</v>
      </c>
      <c r="I830" s="210"/>
      <c r="J830" s="206"/>
      <c r="K830" s="206"/>
      <c r="L830" s="211"/>
      <c r="M830" s="212"/>
      <c r="N830" s="213"/>
      <c r="O830" s="213"/>
      <c r="P830" s="213"/>
      <c r="Q830" s="213"/>
      <c r="R830" s="213"/>
      <c r="S830" s="213"/>
      <c r="T830" s="214"/>
      <c r="AT830" s="215" t="s">
        <v>388</v>
      </c>
      <c r="AU830" s="215" t="s">
        <v>82</v>
      </c>
      <c r="AV830" s="14" t="s">
        <v>82</v>
      </c>
      <c r="AW830" s="14" t="s">
        <v>33</v>
      </c>
      <c r="AX830" s="14" t="s">
        <v>72</v>
      </c>
      <c r="AY830" s="215" t="s">
        <v>380</v>
      </c>
    </row>
    <row r="831" spans="1:65" s="15" customFormat="1" ht="11.25">
      <c r="B831" s="216"/>
      <c r="C831" s="217"/>
      <c r="D831" s="196" t="s">
        <v>388</v>
      </c>
      <c r="E831" s="218" t="s">
        <v>19</v>
      </c>
      <c r="F831" s="219" t="s">
        <v>419</v>
      </c>
      <c r="G831" s="217"/>
      <c r="H831" s="220">
        <v>1245.1320000000001</v>
      </c>
      <c r="I831" s="221"/>
      <c r="J831" s="217"/>
      <c r="K831" s="217"/>
      <c r="L831" s="222"/>
      <c r="M831" s="223"/>
      <c r="N831" s="224"/>
      <c r="O831" s="224"/>
      <c r="P831" s="224"/>
      <c r="Q831" s="224"/>
      <c r="R831" s="224"/>
      <c r="S831" s="224"/>
      <c r="T831" s="225"/>
      <c r="AT831" s="226" t="s">
        <v>388</v>
      </c>
      <c r="AU831" s="226" t="s">
        <v>82</v>
      </c>
      <c r="AV831" s="15" t="s">
        <v>386</v>
      </c>
      <c r="AW831" s="15" t="s">
        <v>33</v>
      </c>
      <c r="AX831" s="15" t="s">
        <v>79</v>
      </c>
      <c r="AY831" s="226" t="s">
        <v>380</v>
      </c>
    </row>
    <row r="832" spans="1:65" s="2" customFormat="1" ht="24.2" customHeight="1">
      <c r="A832" s="36"/>
      <c r="B832" s="37"/>
      <c r="C832" s="181" t="s">
        <v>1234</v>
      </c>
      <c r="D832" s="181" t="s">
        <v>382</v>
      </c>
      <c r="E832" s="182" t="s">
        <v>1235</v>
      </c>
      <c r="F832" s="183" t="s">
        <v>1236</v>
      </c>
      <c r="G832" s="184" t="s">
        <v>398</v>
      </c>
      <c r="H832" s="185">
        <v>319.8</v>
      </c>
      <c r="I832" s="186"/>
      <c r="J832" s="187">
        <f>ROUND(I832*H832,2)</f>
        <v>0</v>
      </c>
      <c r="K832" s="183" t="s">
        <v>19</v>
      </c>
      <c r="L832" s="41"/>
      <c r="M832" s="188" t="s">
        <v>19</v>
      </c>
      <c r="N832" s="189" t="s">
        <v>43</v>
      </c>
      <c r="O832" s="66"/>
      <c r="P832" s="190">
        <f>O832*H832</f>
        <v>0</v>
      </c>
      <c r="Q832" s="190">
        <v>8.0000000000000002E-3</v>
      </c>
      <c r="R832" s="190">
        <f>Q832*H832</f>
        <v>2.5584000000000002</v>
      </c>
      <c r="S832" s="190">
        <v>0</v>
      </c>
      <c r="T832" s="191">
        <f>S832*H832</f>
        <v>0</v>
      </c>
      <c r="U832" s="36"/>
      <c r="V832" s="36"/>
      <c r="W832" s="36"/>
      <c r="X832" s="36"/>
      <c r="Y832" s="36"/>
      <c r="Z832" s="36"/>
      <c r="AA832" s="36"/>
      <c r="AB832" s="36"/>
      <c r="AC832" s="36"/>
      <c r="AD832" s="36"/>
      <c r="AE832" s="36"/>
      <c r="AR832" s="192" t="s">
        <v>386</v>
      </c>
      <c r="AT832" s="192" t="s">
        <v>382</v>
      </c>
      <c r="AU832" s="192" t="s">
        <v>82</v>
      </c>
      <c r="AY832" s="19" t="s">
        <v>380</v>
      </c>
      <c r="BE832" s="193">
        <f>IF(N832="základní",J832,0)</f>
        <v>0</v>
      </c>
      <c r="BF832" s="193">
        <f>IF(N832="snížená",J832,0)</f>
        <v>0</v>
      </c>
      <c r="BG832" s="193">
        <f>IF(N832="zákl. přenesená",J832,0)</f>
        <v>0</v>
      </c>
      <c r="BH832" s="193">
        <f>IF(N832="sníž. přenesená",J832,0)</f>
        <v>0</v>
      </c>
      <c r="BI832" s="193">
        <f>IF(N832="nulová",J832,0)</f>
        <v>0</v>
      </c>
      <c r="BJ832" s="19" t="s">
        <v>79</v>
      </c>
      <c r="BK832" s="193">
        <f>ROUND(I832*H832,2)</f>
        <v>0</v>
      </c>
      <c r="BL832" s="19" t="s">
        <v>386</v>
      </c>
      <c r="BM832" s="192" t="s">
        <v>1237</v>
      </c>
    </row>
    <row r="833" spans="1:65" s="2" customFormat="1" ht="58.5">
      <c r="A833" s="36"/>
      <c r="B833" s="37"/>
      <c r="C833" s="38"/>
      <c r="D833" s="196" t="s">
        <v>1226</v>
      </c>
      <c r="E833" s="38"/>
      <c r="F833" s="248" t="s">
        <v>1238</v>
      </c>
      <c r="G833" s="38"/>
      <c r="H833" s="38"/>
      <c r="I833" s="249"/>
      <c r="J833" s="38"/>
      <c r="K833" s="38"/>
      <c r="L833" s="41"/>
      <c r="M833" s="250"/>
      <c r="N833" s="251"/>
      <c r="O833" s="66"/>
      <c r="P833" s="66"/>
      <c r="Q833" s="66"/>
      <c r="R833" s="66"/>
      <c r="S833" s="66"/>
      <c r="T833" s="67"/>
      <c r="U833" s="36"/>
      <c r="V833" s="36"/>
      <c r="W833" s="36"/>
      <c r="X833" s="36"/>
      <c r="Y833" s="36"/>
      <c r="Z833" s="36"/>
      <c r="AA833" s="36"/>
      <c r="AB833" s="36"/>
      <c r="AC833" s="36"/>
      <c r="AD833" s="36"/>
      <c r="AE833" s="36"/>
      <c r="AT833" s="19" t="s">
        <v>1226</v>
      </c>
      <c r="AU833" s="19" t="s">
        <v>82</v>
      </c>
    </row>
    <row r="834" spans="1:65" s="13" customFormat="1" ht="11.25">
      <c r="B834" s="194"/>
      <c r="C834" s="195"/>
      <c r="D834" s="196" t="s">
        <v>388</v>
      </c>
      <c r="E834" s="197" t="s">
        <v>19</v>
      </c>
      <c r="F834" s="198" t="s">
        <v>1170</v>
      </c>
      <c r="G834" s="195"/>
      <c r="H834" s="197" t="s">
        <v>19</v>
      </c>
      <c r="I834" s="199"/>
      <c r="J834" s="195"/>
      <c r="K834" s="195"/>
      <c r="L834" s="200"/>
      <c r="M834" s="201"/>
      <c r="N834" s="202"/>
      <c r="O834" s="202"/>
      <c r="P834" s="202"/>
      <c r="Q834" s="202"/>
      <c r="R834" s="202"/>
      <c r="S834" s="202"/>
      <c r="T834" s="203"/>
      <c r="AT834" s="204" t="s">
        <v>388</v>
      </c>
      <c r="AU834" s="204" t="s">
        <v>82</v>
      </c>
      <c r="AV834" s="13" t="s">
        <v>79</v>
      </c>
      <c r="AW834" s="13" t="s">
        <v>33</v>
      </c>
      <c r="AX834" s="13" t="s">
        <v>72</v>
      </c>
      <c r="AY834" s="204" t="s">
        <v>380</v>
      </c>
    </row>
    <row r="835" spans="1:65" s="13" customFormat="1" ht="11.25">
      <c r="B835" s="194"/>
      <c r="C835" s="195"/>
      <c r="D835" s="196" t="s">
        <v>388</v>
      </c>
      <c r="E835" s="197" t="s">
        <v>19</v>
      </c>
      <c r="F835" s="198" t="s">
        <v>1171</v>
      </c>
      <c r="G835" s="195"/>
      <c r="H835" s="197" t="s">
        <v>19</v>
      </c>
      <c r="I835" s="199"/>
      <c r="J835" s="195"/>
      <c r="K835" s="195"/>
      <c r="L835" s="200"/>
      <c r="M835" s="201"/>
      <c r="N835" s="202"/>
      <c r="O835" s="202"/>
      <c r="P835" s="202"/>
      <c r="Q835" s="202"/>
      <c r="R835" s="202"/>
      <c r="S835" s="202"/>
      <c r="T835" s="203"/>
      <c r="AT835" s="204" t="s">
        <v>388</v>
      </c>
      <c r="AU835" s="204" t="s">
        <v>82</v>
      </c>
      <c r="AV835" s="13" t="s">
        <v>79</v>
      </c>
      <c r="AW835" s="13" t="s">
        <v>33</v>
      </c>
      <c r="AX835" s="13" t="s">
        <v>72</v>
      </c>
      <c r="AY835" s="204" t="s">
        <v>380</v>
      </c>
    </row>
    <row r="836" spans="1:65" s="14" customFormat="1" ht="11.25">
      <c r="B836" s="205"/>
      <c r="C836" s="206"/>
      <c r="D836" s="196" t="s">
        <v>388</v>
      </c>
      <c r="E836" s="207" t="s">
        <v>19</v>
      </c>
      <c r="F836" s="208" t="s">
        <v>1172</v>
      </c>
      <c r="G836" s="206"/>
      <c r="H836" s="209">
        <v>319.8</v>
      </c>
      <c r="I836" s="210"/>
      <c r="J836" s="206"/>
      <c r="K836" s="206"/>
      <c r="L836" s="211"/>
      <c r="M836" s="212"/>
      <c r="N836" s="213"/>
      <c r="O836" s="213"/>
      <c r="P836" s="213"/>
      <c r="Q836" s="213"/>
      <c r="R836" s="213"/>
      <c r="S836" s="213"/>
      <c r="T836" s="214"/>
      <c r="AT836" s="215" t="s">
        <v>388</v>
      </c>
      <c r="AU836" s="215" t="s">
        <v>82</v>
      </c>
      <c r="AV836" s="14" t="s">
        <v>82</v>
      </c>
      <c r="AW836" s="14" t="s">
        <v>33</v>
      </c>
      <c r="AX836" s="14" t="s">
        <v>72</v>
      </c>
      <c r="AY836" s="215" t="s">
        <v>380</v>
      </c>
    </row>
    <row r="837" spans="1:65" s="15" customFormat="1" ht="11.25">
      <c r="B837" s="216"/>
      <c r="C837" s="217"/>
      <c r="D837" s="196" t="s">
        <v>388</v>
      </c>
      <c r="E837" s="218" t="s">
        <v>19</v>
      </c>
      <c r="F837" s="219" t="s">
        <v>419</v>
      </c>
      <c r="G837" s="217"/>
      <c r="H837" s="220">
        <v>319.8</v>
      </c>
      <c r="I837" s="221"/>
      <c r="J837" s="217"/>
      <c r="K837" s="217"/>
      <c r="L837" s="222"/>
      <c r="M837" s="223"/>
      <c r="N837" s="224"/>
      <c r="O837" s="224"/>
      <c r="P837" s="224"/>
      <c r="Q837" s="224"/>
      <c r="R837" s="224"/>
      <c r="S837" s="224"/>
      <c r="T837" s="225"/>
      <c r="AT837" s="226" t="s">
        <v>388</v>
      </c>
      <c r="AU837" s="226" t="s">
        <v>82</v>
      </c>
      <c r="AV837" s="15" t="s">
        <v>386</v>
      </c>
      <c r="AW837" s="15" t="s">
        <v>33</v>
      </c>
      <c r="AX837" s="15" t="s">
        <v>79</v>
      </c>
      <c r="AY837" s="226" t="s">
        <v>380</v>
      </c>
    </row>
    <row r="838" spans="1:65" s="2" customFormat="1" ht="21.75" customHeight="1">
      <c r="A838" s="36"/>
      <c r="B838" s="37"/>
      <c r="C838" s="181" t="s">
        <v>1239</v>
      </c>
      <c r="D838" s="181" t="s">
        <v>382</v>
      </c>
      <c r="E838" s="182" t="s">
        <v>1240</v>
      </c>
      <c r="F838" s="183" t="s">
        <v>1241</v>
      </c>
      <c r="G838" s="184" t="s">
        <v>385</v>
      </c>
      <c r="H838" s="185">
        <v>114.756</v>
      </c>
      <c r="I838" s="186"/>
      <c r="J838" s="187">
        <f>ROUND(I838*H838,2)</f>
        <v>0</v>
      </c>
      <c r="K838" s="183" t="s">
        <v>399</v>
      </c>
      <c r="L838" s="41"/>
      <c r="M838" s="188" t="s">
        <v>19</v>
      </c>
      <c r="N838" s="189" t="s">
        <v>43</v>
      </c>
      <c r="O838" s="66"/>
      <c r="P838" s="190">
        <f>O838*H838</f>
        <v>0</v>
      </c>
      <c r="Q838" s="190">
        <v>2.2563399999999998</v>
      </c>
      <c r="R838" s="190">
        <f>Q838*H838</f>
        <v>258.92855304</v>
      </c>
      <c r="S838" s="190">
        <v>0</v>
      </c>
      <c r="T838" s="191">
        <f>S838*H838</f>
        <v>0</v>
      </c>
      <c r="U838" s="36"/>
      <c r="V838" s="36"/>
      <c r="W838" s="36"/>
      <c r="X838" s="36"/>
      <c r="Y838" s="36"/>
      <c r="Z838" s="36"/>
      <c r="AA838" s="36"/>
      <c r="AB838" s="36"/>
      <c r="AC838" s="36"/>
      <c r="AD838" s="36"/>
      <c r="AE838" s="36"/>
      <c r="AR838" s="192" t="s">
        <v>386</v>
      </c>
      <c r="AT838" s="192" t="s">
        <v>382</v>
      </c>
      <c r="AU838" s="192" t="s">
        <v>82</v>
      </c>
      <c r="AY838" s="19" t="s">
        <v>380</v>
      </c>
      <c r="BE838" s="193">
        <f>IF(N838="základní",J838,0)</f>
        <v>0</v>
      </c>
      <c r="BF838" s="193">
        <f>IF(N838="snížená",J838,0)</f>
        <v>0</v>
      </c>
      <c r="BG838" s="193">
        <f>IF(N838="zákl. přenesená",J838,0)</f>
        <v>0</v>
      </c>
      <c r="BH838" s="193">
        <f>IF(N838="sníž. přenesená",J838,0)</f>
        <v>0</v>
      </c>
      <c r="BI838" s="193">
        <f>IF(N838="nulová",J838,0)</f>
        <v>0</v>
      </c>
      <c r="BJ838" s="19" t="s">
        <v>79</v>
      </c>
      <c r="BK838" s="193">
        <f>ROUND(I838*H838,2)</f>
        <v>0</v>
      </c>
      <c r="BL838" s="19" t="s">
        <v>386</v>
      </c>
      <c r="BM838" s="192" t="s">
        <v>1242</v>
      </c>
    </row>
    <row r="839" spans="1:65" s="13" customFormat="1" ht="11.25">
      <c r="B839" s="194"/>
      <c r="C839" s="195"/>
      <c r="D839" s="196" t="s">
        <v>388</v>
      </c>
      <c r="E839" s="197" t="s">
        <v>19</v>
      </c>
      <c r="F839" s="198" t="s">
        <v>1243</v>
      </c>
      <c r="G839" s="195"/>
      <c r="H839" s="197" t="s">
        <v>19</v>
      </c>
      <c r="I839" s="199"/>
      <c r="J839" s="195"/>
      <c r="K839" s="195"/>
      <c r="L839" s="200"/>
      <c r="M839" s="201"/>
      <c r="N839" s="202"/>
      <c r="O839" s="202"/>
      <c r="P839" s="202"/>
      <c r="Q839" s="202"/>
      <c r="R839" s="202"/>
      <c r="S839" s="202"/>
      <c r="T839" s="203"/>
      <c r="AT839" s="204" t="s">
        <v>388</v>
      </c>
      <c r="AU839" s="204" t="s">
        <v>82</v>
      </c>
      <c r="AV839" s="13" t="s">
        <v>79</v>
      </c>
      <c r="AW839" s="13" t="s">
        <v>33</v>
      </c>
      <c r="AX839" s="13" t="s">
        <v>72</v>
      </c>
      <c r="AY839" s="204" t="s">
        <v>380</v>
      </c>
    </row>
    <row r="840" spans="1:65" s="14" customFormat="1" ht="11.25">
      <c r="B840" s="205"/>
      <c r="C840" s="206"/>
      <c r="D840" s="196" t="s">
        <v>388</v>
      </c>
      <c r="E840" s="207" t="s">
        <v>19</v>
      </c>
      <c r="F840" s="208" t="s">
        <v>1244</v>
      </c>
      <c r="G840" s="206"/>
      <c r="H840" s="209">
        <v>114.756</v>
      </c>
      <c r="I840" s="210"/>
      <c r="J840" s="206"/>
      <c r="K840" s="206"/>
      <c r="L840" s="211"/>
      <c r="M840" s="212"/>
      <c r="N840" s="213"/>
      <c r="O840" s="213"/>
      <c r="P840" s="213"/>
      <c r="Q840" s="213"/>
      <c r="R840" s="213"/>
      <c r="S840" s="213"/>
      <c r="T840" s="214"/>
      <c r="AT840" s="215" t="s">
        <v>388</v>
      </c>
      <c r="AU840" s="215" t="s">
        <v>82</v>
      </c>
      <c r="AV840" s="14" t="s">
        <v>82</v>
      </c>
      <c r="AW840" s="14" t="s">
        <v>33</v>
      </c>
      <c r="AX840" s="14" t="s">
        <v>79</v>
      </c>
      <c r="AY840" s="215" t="s">
        <v>380</v>
      </c>
    </row>
    <row r="841" spans="1:65" s="2" customFormat="1" ht="21.75" customHeight="1">
      <c r="A841" s="36"/>
      <c r="B841" s="37"/>
      <c r="C841" s="181" t="s">
        <v>1245</v>
      </c>
      <c r="D841" s="181" t="s">
        <v>382</v>
      </c>
      <c r="E841" s="182" t="s">
        <v>1246</v>
      </c>
      <c r="F841" s="183" t="s">
        <v>1247</v>
      </c>
      <c r="G841" s="184" t="s">
        <v>385</v>
      </c>
      <c r="H841" s="185">
        <v>0.7</v>
      </c>
      <c r="I841" s="186"/>
      <c r="J841" s="187">
        <f>ROUND(I841*H841,2)</f>
        <v>0</v>
      </c>
      <c r="K841" s="183" t="s">
        <v>399</v>
      </c>
      <c r="L841" s="41"/>
      <c r="M841" s="188" t="s">
        <v>19</v>
      </c>
      <c r="N841" s="189" t="s">
        <v>43</v>
      </c>
      <c r="O841" s="66"/>
      <c r="P841" s="190">
        <f>O841*H841</f>
        <v>0</v>
      </c>
      <c r="Q841" s="190">
        <v>2.45329</v>
      </c>
      <c r="R841" s="190">
        <f>Q841*H841</f>
        <v>1.7173029999999998</v>
      </c>
      <c r="S841" s="190">
        <v>0</v>
      </c>
      <c r="T841" s="191">
        <f>S841*H841</f>
        <v>0</v>
      </c>
      <c r="U841" s="36"/>
      <c r="V841" s="36"/>
      <c r="W841" s="36"/>
      <c r="X841" s="36"/>
      <c r="Y841" s="36"/>
      <c r="Z841" s="36"/>
      <c r="AA841" s="36"/>
      <c r="AB841" s="36"/>
      <c r="AC841" s="36"/>
      <c r="AD841" s="36"/>
      <c r="AE841" s="36"/>
      <c r="AR841" s="192" t="s">
        <v>386</v>
      </c>
      <c r="AT841" s="192" t="s">
        <v>382</v>
      </c>
      <c r="AU841" s="192" t="s">
        <v>82</v>
      </c>
      <c r="AY841" s="19" t="s">
        <v>380</v>
      </c>
      <c r="BE841" s="193">
        <f>IF(N841="základní",J841,0)</f>
        <v>0</v>
      </c>
      <c r="BF841" s="193">
        <f>IF(N841="snížená",J841,0)</f>
        <v>0</v>
      </c>
      <c r="BG841" s="193">
        <f>IF(N841="zákl. přenesená",J841,0)</f>
        <v>0</v>
      </c>
      <c r="BH841" s="193">
        <f>IF(N841="sníž. přenesená",J841,0)</f>
        <v>0</v>
      </c>
      <c r="BI841" s="193">
        <f>IF(N841="nulová",J841,0)</f>
        <v>0</v>
      </c>
      <c r="BJ841" s="19" t="s">
        <v>79</v>
      </c>
      <c r="BK841" s="193">
        <f>ROUND(I841*H841,2)</f>
        <v>0</v>
      </c>
      <c r="BL841" s="19" t="s">
        <v>386</v>
      </c>
      <c r="BM841" s="192" t="s">
        <v>1248</v>
      </c>
    </row>
    <row r="842" spans="1:65" s="13" customFormat="1" ht="11.25">
      <c r="B842" s="194"/>
      <c r="C842" s="195"/>
      <c r="D842" s="196" t="s">
        <v>388</v>
      </c>
      <c r="E842" s="197" t="s">
        <v>19</v>
      </c>
      <c r="F842" s="198" t="s">
        <v>1249</v>
      </c>
      <c r="G842" s="195"/>
      <c r="H842" s="197" t="s">
        <v>19</v>
      </c>
      <c r="I842" s="199"/>
      <c r="J842" s="195"/>
      <c r="K842" s="195"/>
      <c r="L842" s="200"/>
      <c r="M842" s="201"/>
      <c r="N842" s="202"/>
      <c r="O842" s="202"/>
      <c r="P842" s="202"/>
      <c r="Q842" s="202"/>
      <c r="R842" s="202"/>
      <c r="S842" s="202"/>
      <c r="T842" s="203"/>
      <c r="AT842" s="204" t="s">
        <v>388</v>
      </c>
      <c r="AU842" s="204" t="s">
        <v>82</v>
      </c>
      <c r="AV842" s="13" t="s">
        <v>79</v>
      </c>
      <c r="AW842" s="13" t="s">
        <v>33</v>
      </c>
      <c r="AX842" s="13" t="s">
        <v>72</v>
      </c>
      <c r="AY842" s="204" t="s">
        <v>380</v>
      </c>
    </row>
    <row r="843" spans="1:65" s="14" customFormat="1" ht="11.25">
      <c r="B843" s="205"/>
      <c r="C843" s="206"/>
      <c r="D843" s="196" t="s">
        <v>388</v>
      </c>
      <c r="E843" s="207" t="s">
        <v>19</v>
      </c>
      <c r="F843" s="208" t="s">
        <v>1250</v>
      </c>
      <c r="G843" s="206"/>
      <c r="H843" s="209">
        <v>0.7</v>
      </c>
      <c r="I843" s="210"/>
      <c r="J843" s="206"/>
      <c r="K843" s="206"/>
      <c r="L843" s="211"/>
      <c r="M843" s="212"/>
      <c r="N843" s="213"/>
      <c r="O843" s="213"/>
      <c r="P843" s="213"/>
      <c r="Q843" s="213"/>
      <c r="R843" s="213"/>
      <c r="S843" s="213"/>
      <c r="T843" s="214"/>
      <c r="AT843" s="215" t="s">
        <v>388</v>
      </c>
      <c r="AU843" s="215" t="s">
        <v>82</v>
      </c>
      <c r="AV843" s="14" t="s">
        <v>82</v>
      </c>
      <c r="AW843" s="14" t="s">
        <v>33</v>
      </c>
      <c r="AX843" s="14" t="s">
        <v>79</v>
      </c>
      <c r="AY843" s="215" t="s">
        <v>380</v>
      </c>
    </row>
    <row r="844" spans="1:65" s="2" customFormat="1" ht="16.5" customHeight="1">
      <c r="A844" s="36"/>
      <c r="B844" s="37"/>
      <c r="C844" s="181" t="s">
        <v>1251</v>
      </c>
      <c r="D844" s="181" t="s">
        <v>382</v>
      </c>
      <c r="E844" s="182" t="s">
        <v>1252</v>
      </c>
      <c r="F844" s="183" t="s">
        <v>1253</v>
      </c>
      <c r="G844" s="184" t="s">
        <v>385</v>
      </c>
      <c r="H844" s="185">
        <v>12.675000000000001</v>
      </c>
      <c r="I844" s="186"/>
      <c r="J844" s="187">
        <f>ROUND(I844*H844,2)</f>
        <v>0</v>
      </c>
      <c r="K844" s="183" t="s">
        <v>19</v>
      </c>
      <c r="L844" s="41"/>
      <c r="M844" s="188" t="s">
        <v>19</v>
      </c>
      <c r="N844" s="189" t="s">
        <v>43</v>
      </c>
      <c r="O844" s="66"/>
      <c r="P844" s="190">
        <f>O844*H844</f>
        <v>0</v>
      </c>
      <c r="Q844" s="190">
        <v>2.45329</v>
      </c>
      <c r="R844" s="190">
        <f>Q844*H844</f>
        <v>31.095450750000001</v>
      </c>
      <c r="S844" s="190">
        <v>0</v>
      </c>
      <c r="T844" s="191">
        <f>S844*H844</f>
        <v>0</v>
      </c>
      <c r="U844" s="36"/>
      <c r="V844" s="36"/>
      <c r="W844" s="36"/>
      <c r="X844" s="36"/>
      <c r="Y844" s="36"/>
      <c r="Z844" s="36"/>
      <c r="AA844" s="36"/>
      <c r="AB844" s="36"/>
      <c r="AC844" s="36"/>
      <c r="AD844" s="36"/>
      <c r="AE844" s="36"/>
      <c r="AR844" s="192" t="s">
        <v>386</v>
      </c>
      <c r="AT844" s="192" t="s">
        <v>382</v>
      </c>
      <c r="AU844" s="192" t="s">
        <v>82</v>
      </c>
      <c r="AY844" s="19" t="s">
        <v>380</v>
      </c>
      <c r="BE844" s="193">
        <f>IF(N844="základní",J844,0)</f>
        <v>0</v>
      </c>
      <c r="BF844" s="193">
        <f>IF(N844="snížená",J844,0)</f>
        <v>0</v>
      </c>
      <c r="BG844" s="193">
        <f>IF(N844="zákl. přenesená",J844,0)</f>
        <v>0</v>
      </c>
      <c r="BH844" s="193">
        <f>IF(N844="sníž. přenesená",J844,0)</f>
        <v>0</v>
      </c>
      <c r="BI844" s="193">
        <f>IF(N844="nulová",J844,0)</f>
        <v>0</v>
      </c>
      <c r="BJ844" s="19" t="s">
        <v>79</v>
      </c>
      <c r="BK844" s="193">
        <f>ROUND(I844*H844,2)</f>
        <v>0</v>
      </c>
      <c r="BL844" s="19" t="s">
        <v>386</v>
      </c>
      <c r="BM844" s="192" t="s">
        <v>1254</v>
      </c>
    </row>
    <row r="845" spans="1:65" s="14" customFormat="1" ht="11.25">
      <c r="B845" s="205"/>
      <c r="C845" s="206"/>
      <c r="D845" s="196" t="s">
        <v>388</v>
      </c>
      <c r="E845" s="207" t="s">
        <v>19</v>
      </c>
      <c r="F845" s="208" t="s">
        <v>1255</v>
      </c>
      <c r="G845" s="206"/>
      <c r="H845" s="209">
        <v>12.675000000000001</v>
      </c>
      <c r="I845" s="210"/>
      <c r="J845" s="206"/>
      <c r="K845" s="206"/>
      <c r="L845" s="211"/>
      <c r="M845" s="212"/>
      <c r="N845" s="213"/>
      <c r="O845" s="213"/>
      <c r="P845" s="213"/>
      <c r="Q845" s="213"/>
      <c r="R845" s="213"/>
      <c r="S845" s="213"/>
      <c r="T845" s="214"/>
      <c r="AT845" s="215" t="s">
        <v>388</v>
      </c>
      <c r="AU845" s="215" t="s">
        <v>82</v>
      </c>
      <c r="AV845" s="14" t="s">
        <v>82</v>
      </c>
      <c r="AW845" s="14" t="s">
        <v>33</v>
      </c>
      <c r="AX845" s="14" t="s">
        <v>79</v>
      </c>
      <c r="AY845" s="215" t="s">
        <v>380</v>
      </c>
    </row>
    <row r="846" spans="1:65" s="2" customFormat="1" ht="24.2" customHeight="1">
      <c r="A846" s="36"/>
      <c r="B846" s="37"/>
      <c r="C846" s="181" t="s">
        <v>1256</v>
      </c>
      <c r="D846" s="181" t="s">
        <v>382</v>
      </c>
      <c r="E846" s="182" t="s">
        <v>1257</v>
      </c>
      <c r="F846" s="183" t="s">
        <v>1258</v>
      </c>
      <c r="G846" s="184" t="s">
        <v>385</v>
      </c>
      <c r="H846" s="185">
        <v>1128.5</v>
      </c>
      <c r="I846" s="186"/>
      <c r="J846" s="187">
        <f>ROUND(I846*H846,2)</f>
        <v>0</v>
      </c>
      <c r="K846" s="183" t="s">
        <v>19</v>
      </c>
      <c r="L846" s="41"/>
      <c r="M846" s="188" t="s">
        <v>19</v>
      </c>
      <c r="N846" s="189" t="s">
        <v>43</v>
      </c>
      <c r="O846" s="66"/>
      <c r="P846" s="190">
        <f>O846*H846</f>
        <v>0</v>
      </c>
      <c r="Q846" s="190">
        <v>0.60599999999999998</v>
      </c>
      <c r="R846" s="190">
        <f>Q846*H846</f>
        <v>683.87099999999998</v>
      </c>
      <c r="S846" s="190">
        <v>0</v>
      </c>
      <c r="T846" s="191">
        <f>S846*H846</f>
        <v>0</v>
      </c>
      <c r="U846" s="36"/>
      <c r="V846" s="36"/>
      <c r="W846" s="36"/>
      <c r="X846" s="36"/>
      <c r="Y846" s="36"/>
      <c r="Z846" s="36"/>
      <c r="AA846" s="36"/>
      <c r="AB846" s="36"/>
      <c r="AC846" s="36"/>
      <c r="AD846" s="36"/>
      <c r="AE846" s="36"/>
      <c r="AR846" s="192" t="s">
        <v>386</v>
      </c>
      <c r="AT846" s="192" t="s">
        <v>382</v>
      </c>
      <c r="AU846" s="192" t="s">
        <v>82</v>
      </c>
      <c r="AY846" s="19" t="s">
        <v>380</v>
      </c>
      <c r="BE846" s="193">
        <f>IF(N846="základní",J846,0)</f>
        <v>0</v>
      </c>
      <c r="BF846" s="193">
        <f>IF(N846="snížená",J846,0)</f>
        <v>0</v>
      </c>
      <c r="BG846" s="193">
        <f>IF(N846="zákl. přenesená",J846,0)</f>
        <v>0</v>
      </c>
      <c r="BH846" s="193">
        <f>IF(N846="sníž. přenesená",J846,0)</f>
        <v>0</v>
      </c>
      <c r="BI846" s="193">
        <f>IF(N846="nulová",J846,0)</f>
        <v>0</v>
      </c>
      <c r="BJ846" s="19" t="s">
        <v>79</v>
      </c>
      <c r="BK846" s="193">
        <f>ROUND(I846*H846,2)</f>
        <v>0</v>
      </c>
      <c r="BL846" s="19" t="s">
        <v>386</v>
      </c>
      <c r="BM846" s="192" t="s">
        <v>1259</v>
      </c>
    </row>
    <row r="847" spans="1:65" s="14" customFormat="1" ht="11.25">
      <c r="B847" s="205"/>
      <c r="C847" s="206"/>
      <c r="D847" s="196" t="s">
        <v>388</v>
      </c>
      <c r="E847" s="207" t="s">
        <v>19</v>
      </c>
      <c r="F847" s="208" t="s">
        <v>1260</v>
      </c>
      <c r="G847" s="206"/>
      <c r="H847" s="209">
        <v>1128.5</v>
      </c>
      <c r="I847" s="210"/>
      <c r="J847" s="206"/>
      <c r="K847" s="206"/>
      <c r="L847" s="211"/>
      <c r="M847" s="212"/>
      <c r="N847" s="213"/>
      <c r="O847" s="213"/>
      <c r="P847" s="213"/>
      <c r="Q847" s="213"/>
      <c r="R847" s="213"/>
      <c r="S847" s="213"/>
      <c r="T847" s="214"/>
      <c r="AT847" s="215" t="s">
        <v>388</v>
      </c>
      <c r="AU847" s="215" t="s">
        <v>82</v>
      </c>
      <c r="AV847" s="14" t="s">
        <v>82</v>
      </c>
      <c r="AW847" s="14" t="s">
        <v>33</v>
      </c>
      <c r="AX847" s="14" t="s">
        <v>79</v>
      </c>
      <c r="AY847" s="215" t="s">
        <v>380</v>
      </c>
    </row>
    <row r="848" spans="1:65" s="2" customFormat="1" ht="16.5" customHeight="1">
      <c r="A848" s="36"/>
      <c r="B848" s="37"/>
      <c r="C848" s="181" t="s">
        <v>1261</v>
      </c>
      <c r="D848" s="181" t="s">
        <v>382</v>
      </c>
      <c r="E848" s="182" t="s">
        <v>1262</v>
      </c>
      <c r="F848" s="183" t="s">
        <v>1263</v>
      </c>
      <c r="G848" s="184" t="s">
        <v>398</v>
      </c>
      <c r="H848" s="185">
        <v>107.7</v>
      </c>
      <c r="I848" s="186"/>
      <c r="J848" s="187">
        <f>ROUND(I848*H848,2)</f>
        <v>0</v>
      </c>
      <c r="K848" s="183" t="s">
        <v>19</v>
      </c>
      <c r="L848" s="41"/>
      <c r="M848" s="188" t="s">
        <v>19</v>
      </c>
      <c r="N848" s="189" t="s">
        <v>43</v>
      </c>
      <c r="O848" s="66"/>
      <c r="P848" s="190">
        <f>O848*H848</f>
        <v>0</v>
      </c>
      <c r="Q848" s="190">
        <v>0.12791</v>
      </c>
      <c r="R848" s="190">
        <f>Q848*H848</f>
        <v>13.775907</v>
      </c>
      <c r="S848" s="190">
        <v>0</v>
      </c>
      <c r="T848" s="191">
        <f>S848*H848</f>
        <v>0</v>
      </c>
      <c r="U848" s="36"/>
      <c r="V848" s="36"/>
      <c r="W848" s="36"/>
      <c r="X848" s="36"/>
      <c r="Y848" s="36"/>
      <c r="Z848" s="36"/>
      <c r="AA848" s="36"/>
      <c r="AB848" s="36"/>
      <c r="AC848" s="36"/>
      <c r="AD848" s="36"/>
      <c r="AE848" s="36"/>
      <c r="AR848" s="192" t="s">
        <v>386</v>
      </c>
      <c r="AT848" s="192" t="s">
        <v>382</v>
      </c>
      <c r="AU848" s="192" t="s">
        <v>82</v>
      </c>
      <c r="AY848" s="19" t="s">
        <v>380</v>
      </c>
      <c r="BE848" s="193">
        <f>IF(N848="základní",J848,0)</f>
        <v>0</v>
      </c>
      <c r="BF848" s="193">
        <f>IF(N848="snížená",J848,0)</f>
        <v>0</v>
      </c>
      <c r="BG848" s="193">
        <f>IF(N848="zákl. přenesená",J848,0)</f>
        <v>0</v>
      </c>
      <c r="BH848" s="193">
        <f>IF(N848="sníž. přenesená",J848,0)</f>
        <v>0</v>
      </c>
      <c r="BI848" s="193">
        <f>IF(N848="nulová",J848,0)</f>
        <v>0</v>
      </c>
      <c r="BJ848" s="19" t="s">
        <v>79</v>
      </c>
      <c r="BK848" s="193">
        <f>ROUND(I848*H848,2)</f>
        <v>0</v>
      </c>
      <c r="BL848" s="19" t="s">
        <v>386</v>
      </c>
      <c r="BM848" s="192" t="s">
        <v>1264</v>
      </c>
    </row>
    <row r="849" spans="1:65" s="14" customFormat="1" ht="11.25">
      <c r="B849" s="205"/>
      <c r="C849" s="206"/>
      <c r="D849" s="196" t="s">
        <v>388</v>
      </c>
      <c r="E849" s="207" t="s">
        <v>19</v>
      </c>
      <c r="F849" s="208" t="s">
        <v>1265</v>
      </c>
      <c r="G849" s="206"/>
      <c r="H849" s="209">
        <v>107.7</v>
      </c>
      <c r="I849" s="210"/>
      <c r="J849" s="206"/>
      <c r="K849" s="206"/>
      <c r="L849" s="211"/>
      <c r="M849" s="212"/>
      <c r="N849" s="213"/>
      <c r="O849" s="213"/>
      <c r="P849" s="213"/>
      <c r="Q849" s="213"/>
      <c r="R849" s="213"/>
      <c r="S849" s="213"/>
      <c r="T849" s="214"/>
      <c r="AT849" s="215" t="s">
        <v>388</v>
      </c>
      <c r="AU849" s="215" t="s">
        <v>82</v>
      </c>
      <c r="AV849" s="14" t="s">
        <v>82</v>
      </c>
      <c r="AW849" s="14" t="s">
        <v>33</v>
      </c>
      <c r="AX849" s="14" t="s">
        <v>79</v>
      </c>
      <c r="AY849" s="215" t="s">
        <v>380</v>
      </c>
    </row>
    <row r="850" spans="1:65" s="2" customFormat="1" ht="16.5" customHeight="1">
      <c r="A850" s="36"/>
      <c r="B850" s="37"/>
      <c r="C850" s="181" t="s">
        <v>1266</v>
      </c>
      <c r="D850" s="181" t="s">
        <v>382</v>
      </c>
      <c r="E850" s="182" t="s">
        <v>1267</v>
      </c>
      <c r="F850" s="183" t="s">
        <v>1268</v>
      </c>
      <c r="G850" s="184" t="s">
        <v>398</v>
      </c>
      <c r="H850" s="185">
        <v>2236.4</v>
      </c>
      <c r="I850" s="186"/>
      <c r="J850" s="187">
        <f>ROUND(I850*H850,2)</f>
        <v>0</v>
      </c>
      <c r="K850" s="183" t="s">
        <v>19</v>
      </c>
      <c r="L850" s="41"/>
      <c r="M850" s="188" t="s">
        <v>19</v>
      </c>
      <c r="N850" s="189" t="s">
        <v>43</v>
      </c>
      <c r="O850" s="66"/>
      <c r="P850" s="190">
        <f>O850*H850</f>
        <v>0</v>
      </c>
      <c r="Q850" s="190">
        <v>0.15708</v>
      </c>
      <c r="R850" s="190">
        <f>Q850*H850</f>
        <v>351.29371200000003</v>
      </c>
      <c r="S850" s="190">
        <v>0</v>
      </c>
      <c r="T850" s="191">
        <f>S850*H850</f>
        <v>0</v>
      </c>
      <c r="U850" s="36"/>
      <c r="V850" s="36"/>
      <c r="W850" s="36"/>
      <c r="X850" s="36"/>
      <c r="Y850" s="36"/>
      <c r="Z850" s="36"/>
      <c r="AA850" s="36"/>
      <c r="AB850" s="36"/>
      <c r="AC850" s="36"/>
      <c r="AD850" s="36"/>
      <c r="AE850" s="36"/>
      <c r="AR850" s="192" t="s">
        <v>386</v>
      </c>
      <c r="AT850" s="192" t="s">
        <v>382</v>
      </c>
      <c r="AU850" s="192" t="s">
        <v>82</v>
      </c>
      <c r="AY850" s="19" t="s">
        <v>380</v>
      </c>
      <c r="BE850" s="193">
        <f>IF(N850="základní",J850,0)</f>
        <v>0</v>
      </c>
      <c r="BF850" s="193">
        <f>IF(N850="snížená",J850,0)</f>
        <v>0</v>
      </c>
      <c r="BG850" s="193">
        <f>IF(N850="zákl. přenesená",J850,0)</f>
        <v>0</v>
      </c>
      <c r="BH850" s="193">
        <f>IF(N850="sníž. přenesená",J850,0)</f>
        <v>0</v>
      </c>
      <c r="BI850" s="193">
        <f>IF(N850="nulová",J850,0)</f>
        <v>0</v>
      </c>
      <c r="BJ850" s="19" t="s">
        <v>79</v>
      </c>
      <c r="BK850" s="193">
        <f>ROUND(I850*H850,2)</f>
        <v>0</v>
      </c>
      <c r="BL850" s="19" t="s">
        <v>386</v>
      </c>
      <c r="BM850" s="192" t="s">
        <v>1269</v>
      </c>
    </row>
    <row r="851" spans="1:65" s="14" customFormat="1" ht="11.25">
      <c r="B851" s="205"/>
      <c r="C851" s="206"/>
      <c r="D851" s="196" t="s">
        <v>388</v>
      </c>
      <c r="E851" s="207" t="s">
        <v>19</v>
      </c>
      <c r="F851" s="208" t="s">
        <v>1270</v>
      </c>
      <c r="G851" s="206"/>
      <c r="H851" s="209">
        <v>2236.4</v>
      </c>
      <c r="I851" s="210"/>
      <c r="J851" s="206"/>
      <c r="K851" s="206"/>
      <c r="L851" s="211"/>
      <c r="M851" s="212"/>
      <c r="N851" s="213"/>
      <c r="O851" s="213"/>
      <c r="P851" s="213"/>
      <c r="Q851" s="213"/>
      <c r="R851" s="213"/>
      <c r="S851" s="213"/>
      <c r="T851" s="214"/>
      <c r="AT851" s="215" t="s">
        <v>388</v>
      </c>
      <c r="AU851" s="215" t="s">
        <v>82</v>
      </c>
      <c r="AV851" s="14" t="s">
        <v>82</v>
      </c>
      <c r="AW851" s="14" t="s">
        <v>33</v>
      </c>
      <c r="AX851" s="14" t="s">
        <v>79</v>
      </c>
      <c r="AY851" s="215" t="s">
        <v>380</v>
      </c>
    </row>
    <row r="852" spans="1:65" s="2" customFormat="1" ht="16.5" customHeight="1">
      <c r="A852" s="36"/>
      <c r="B852" s="37"/>
      <c r="C852" s="181" t="s">
        <v>1271</v>
      </c>
      <c r="D852" s="181" t="s">
        <v>382</v>
      </c>
      <c r="E852" s="182" t="s">
        <v>1272</v>
      </c>
      <c r="F852" s="183" t="s">
        <v>1273</v>
      </c>
      <c r="G852" s="184" t="s">
        <v>398</v>
      </c>
      <c r="H852" s="185">
        <v>841.1</v>
      </c>
      <c r="I852" s="186"/>
      <c r="J852" s="187">
        <f>ROUND(I852*H852,2)</f>
        <v>0</v>
      </c>
      <c r="K852" s="183" t="s">
        <v>19</v>
      </c>
      <c r="L852" s="41"/>
      <c r="M852" s="188" t="s">
        <v>19</v>
      </c>
      <c r="N852" s="189" t="s">
        <v>43</v>
      </c>
      <c r="O852" s="66"/>
      <c r="P852" s="190">
        <f>O852*H852</f>
        <v>0</v>
      </c>
      <c r="Q852" s="190">
        <v>0.25581999999999999</v>
      </c>
      <c r="R852" s="190">
        <f>Q852*H852</f>
        <v>215.17020199999999</v>
      </c>
      <c r="S852" s="190">
        <v>0</v>
      </c>
      <c r="T852" s="191">
        <f>S852*H852</f>
        <v>0</v>
      </c>
      <c r="U852" s="36"/>
      <c r="V852" s="36"/>
      <c r="W852" s="36"/>
      <c r="X852" s="36"/>
      <c r="Y852" s="36"/>
      <c r="Z852" s="36"/>
      <c r="AA852" s="36"/>
      <c r="AB852" s="36"/>
      <c r="AC852" s="36"/>
      <c r="AD852" s="36"/>
      <c r="AE852" s="36"/>
      <c r="AR852" s="192" t="s">
        <v>386</v>
      </c>
      <c r="AT852" s="192" t="s">
        <v>382</v>
      </c>
      <c r="AU852" s="192" t="s">
        <v>82</v>
      </c>
      <c r="AY852" s="19" t="s">
        <v>380</v>
      </c>
      <c r="BE852" s="193">
        <f>IF(N852="základní",J852,0)</f>
        <v>0</v>
      </c>
      <c r="BF852" s="193">
        <f>IF(N852="snížená",J852,0)</f>
        <v>0</v>
      </c>
      <c r="BG852" s="193">
        <f>IF(N852="zákl. přenesená",J852,0)</f>
        <v>0</v>
      </c>
      <c r="BH852" s="193">
        <f>IF(N852="sníž. přenesená",J852,0)</f>
        <v>0</v>
      </c>
      <c r="BI852" s="193">
        <f>IF(N852="nulová",J852,0)</f>
        <v>0</v>
      </c>
      <c r="BJ852" s="19" t="s">
        <v>79</v>
      </c>
      <c r="BK852" s="193">
        <f>ROUND(I852*H852,2)</f>
        <v>0</v>
      </c>
      <c r="BL852" s="19" t="s">
        <v>386</v>
      </c>
      <c r="BM852" s="192" t="s">
        <v>1274</v>
      </c>
    </row>
    <row r="853" spans="1:65" s="14" customFormat="1" ht="11.25">
      <c r="B853" s="205"/>
      <c r="C853" s="206"/>
      <c r="D853" s="196" t="s">
        <v>388</v>
      </c>
      <c r="E853" s="207" t="s">
        <v>19</v>
      </c>
      <c r="F853" s="208" t="s">
        <v>292</v>
      </c>
      <c r="G853" s="206"/>
      <c r="H853" s="209">
        <v>841.1</v>
      </c>
      <c r="I853" s="210"/>
      <c r="J853" s="206"/>
      <c r="K853" s="206"/>
      <c r="L853" s="211"/>
      <c r="M853" s="212"/>
      <c r="N853" s="213"/>
      <c r="O853" s="213"/>
      <c r="P853" s="213"/>
      <c r="Q853" s="213"/>
      <c r="R853" s="213"/>
      <c r="S853" s="213"/>
      <c r="T853" s="214"/>
      <c r="AT853" s="215" t="s">
        <v>388</v>
      </c>
      <c r="AU853" s="215" t="s">
        <v>82</v>
      </c>
      <c r="AV853" s="14" t="s">
        <v>82</v>
      </c>
      <c r="AW853" s="14" t="s">
        <v>33</v>
      </c>
      <c r="AX853" s="14" t="s">
        <v>79</v>
      </c>
      <c r="AY853" s="215" t="s">
        <v>380</v>
      </c>
    </row>
    <row r="854" spans="1:65" s="2" customFormat="1" ht="16.5" customHeight="1">
      <c r="A854" s="36"/>
      <c r="B854" s="37"/>
      <c r="C854" s="181" t="s">
        <v>1275</v>
      </c>
      <c r="D854" s="181" t="s">
        <v>382</v>
      </c>
      <c r="E854" s="182" t="s">
        <v>1276</v>
      </c>
      <c r="F854" s="183" t="s">
        <v>1277</v>
      </c>
      <c r="G854" s="184" t="s">
        <v>385</v>
      </c>
      <c r="H854" s="185">
        <v>1.51</v>
      </c>
      <c r="I854" s="186"/>
      <c r="J854" s="187">
        <f>ROUND(I854*H854,2)</f>
        <v>0</v>
      </c>
      <c r="K854" s="183" t="s">
        <v>19</v>
      </c>
      <c r="L854" s="41"/>
      <c r="M854" s="188" t="s">
        <v>19</v>
      </c>
      <c r="N854" s="189" t="s">
        <v>43</v>
      </c>
      <c r="O854" s="66"/>
      <c r="P854" s="190">
        <f>O854*H854</f>
        <v>0</v>
      </c>
      <c r="Q854" s="190">
        <v>2.2000000000000002</v>
      </c>
      <c r="R854" s="190">
        <f>Q854*H854</f>
        <v>3.3220000000000005</v>
      </c>
      <c r="S854" s="190">
        <v>0</v>
      </c>
      <c r="T854" s="191">
        <f>S854*H854</f>
        <v>0</v>
      </c>
      <c r="U854" s="36"/>
      <c r="V854" s="36"/>
      <c r="W854" s="36"/>
      <c r="X854" s="36"/>
      <c r="Y854" s="36"/>
      <c r="Z854" s="36"/>
      <c r="AA854" s="36"/>
      <c r="AB854" s="36"/>
      <c r="AC854" s="36"/>
      <c r="AD854" s="36"/>
      <c r="AE854" s="36"/>
      <c r="AR854" s="192" t="s">
        <v>386</v>
      </c>
      <c r="AT854" s="192" t="s">
        <v>382</v>
      </c>
      <c r="AU854" s="192" t="s">
        <v>82</v>
      </c>
      <c r="AY854" s="19" t="s">
        <v>380</v>
      </c>
      <c r="BE854" s="193">
        <f>IF(N854="základní",J854,0)</f>
        <v>0</v>
      </c>
      <c r="BF854" s="193">
        <f>IF(N854="snížená",J854,0)</f>
        <v>0</v>
      </c>
      <c r="BG854" s="193">
        <f>IF(N854="zákl. přenesená",J854,0)</f>
        <v>0</v>
      </c>
      <c r="BH854" s="193">
        <f>IF(N854="sníž. přenesená",J854,0)</f>
        <v>0</v>
      </c>
      <c r="BI854" s="193">
        <f>IF(N854="nulová",J854,0)</f>
        <v>0</v>
      </c>
      <c r="BJ854" s="19" t="s">
        <v>79</v>
      </c>
      <c r="BK854" s="193">
        <f>ROUND(I854*H854,2)</f>
        <v>0</v>
      </c>
      <c r="BL854" s="19" t="s">
        <v>386</v>
      </c>
      <c r="BM854" s="192" t="s">
        <v>1278</v>
      </c>
    </row>
    <row r="855" spans="1:65" s="13" customFormat="1" ht="11.25">
      <c r="B855" s="194"/>
      <c r="C855" s="195"/>
      <c r="D855" s="196" t="s">
        <v>388</v>
      </c>
      <c r="E855" s="197" t="s">
        <v>19</v>
      </c>
      <c r="F855" s="198" t="s">
        <v>569</v>
      </c>
      <c r="G855" s="195"/>
      <c r="H855" s="197" t="s">
        <v>19</v>
      </c>
      <c r="I855" s="199"/>
      <c r="J855" s="195"/>
      <c r="K855" s="195"/>
      <c r="L855" s="200"/>
      <c r="M855" s="201"/>
      <c r="N855" s="202"/>
      <c r="O855" s="202"/>
      <c r="P855" s="202"/>
      <c r="Q855" s="202"/>
      <c r="R855" s="202"/>
      <c r="S855" s="202"/>
      <c r="T855" s="203"/>
      <c r="AT855" s="204" t="s">
        <v>388</v>
      </c>
      <c r="AU855" s="204" t="s">
        <v>82</v>
      </c>
      <c r="AV855" s="13" t="s">
        <v>79</v>
      </c>
      <c r="AW855" s="13" t="s">
        <v>33</v>
      </c>
      <c r="AX855" s="13" t="s">
        <v>72</v>
      </c>
      <c r="AY855" s="204" t="s">
        <v>380</v>
      </c>
    </row>
    <row r="856" spans="1:65" s="14" customFormat="1" ht="11.25">
      <c r="B856" s="205"/>
      <c r="C856" s="206"/>
      <c r="D856" s="196" t="s">
        <v>388</v>
      </c>
      <c r="E856" s="207" t="s">
        <v>19</v>
      </c>
      <c r="F856" s="208" t="s">
        <v>1279</v>
      </c>
      <c r="G856" s="206"/>
      <c r="H856" s="209">
        <v>0.755</v>
      </c>
      <c r="I856" s="210"/>
      <c r="J856" s="206"/>
      <c r="K856" s="206"/>
      <c r="L856" s="211"/>
      <c r="M856" s="212"/>
      <c r="N856" s="213"/>
      <c r="O856" s="213"/>
      <c r="P856" s="213"/>
      <c r="Q856" s="213"/>
      <c r="R856" s="213"/>
      <c r="S856" s="213"/>
      <c r="T856" s="214"/>
      <c r="AT856" s="215" t="s">
        <v>388</v>
      </c>
      <c r="AU856" s="215" t="s">
        <v>82</v>
      </c>
      <c r="AV856" s="14" t="s">
        <v>82</v>
      </c>
      <c r="AW856" s="14" t="s">
        <v>33</v>
      </c>
      <c r="AX856" s="14" t="s">
        <v>72</v>
      </c>
      <c r="AY856" s="215" t="s">
        <v>380</v>
      </c>
    </row>
    <row r="857" spans="1:65" s="13" customFormat="1" ht="11.25">
      <c r="B857" s="194"/>
      <c r="C857" s="195"/>
      <c r="D857" s="196" t="s">
        <v>388</v>
      </c>
      <c r="E857" s="197" t="s">
        <v>19</v>
      </c>
      <c r="F857" s="198" t="s">
        <v>573</v>
      </c>
      <c r="G857" s="195"/>
      <c r="H857" s="197" t="s">
        <v>19</v>
      </c>
      <c r="I857" s="199"/>
      <c r="J857" s="195"/>
      <c r="K857" s="195"/>
      <c r="L857" s="200"/>
      <c r="M857" s="201"/>
      <c r="N857" s="202"/>
      <c r="O857" s="202"/>
      <c r="P857" s="202"/>
      <c r="Q857" s="202"/>
      <c r="R857" s="202"/>
      <c r="S857" s="202"/>
      <c r="T857" s="203"/>
      <c r="AT857" s="204" t="s">
        <v>388</v>
      </c>
      <c r="AU857" s="204" t="s">
        <v>82</v>
      </c>
      <c r="AV857" s="13" t="s">
        <v>79</v>
      </c>
      <c r="AW857" s="13" t="s">
        <v>33</v>
      </c>
      <c r="AX857" s="13" t="s">
        <v>72</v>
      </c>
      <c r="AY857" s="204" t="s">
        <v>380</v>
      </c>
    </row>
    <row r="858" spans="1:65" s="14" customFormat="1" ht="11.25">
      <c r="B858" s="205"/>
      <c r="C858" s="206"/>
      <c r="D858" s="196" t="s">
        <v>388</v>
      </c>
      <c r="E858" s="207" t="s">
        <v>19</v>
      </c>
      <c r="F858" s="208" t="s">
        <v>1279</v>
      </c>
      <c r="G858" s="206"/>
      <c r="H858" s="209">
        <v>0.755</v>
      </c>
      <c r="I858" s="210"/>
      <c r="J858" s="206"/>
      <c r="K858" s="206"/>
      <c r="L858" s="211"/>
      <c r="M858" s="212"/>
      <c r="N858" s="213"/>
      <c r="O858" s="213"/>
      <c r="P858" s="213"/>
      <c r="Q858" s="213"/>
      <c r="R858" s="213"/>
      <c r="S858" s="213"/>
      <c r="T858" s="214"/>
      <c r="AT858" s="215" t="s">
        <v>388</v>
      </c>
      <c r="AU858" s="215" t="s">
        <v>82</v>
      </c>
      <c r="AV858" s="14" t="s">
        <v>82</v>
      </c>
      <c r="AW858" s="14" t="s">
        <v>33</v>
      </c>
      <c r="AX858" s="14" t="s">
        <v>72</v>
      </c>
      <c r="AY858" s="215" t="s">
        <v>380</v>
      </c>
    </row>
    <row r="859" spans="1:65" s="15" customFormat="1" ht="11.25">
      <c r="B859" s="216"/>
      <c r="C859" s="217"/>
      <c r="D859" s="196" t="s">
        <v>388</v>
      </c>
      <c r="E859" s="218" t="s">
        <v>19</v>
      </c>
      <c r="F859" s="219" t="s">
        <v>419</v>
      </c>
      <c r="G859" s="217"/>
      <c r="H859" s="220">
        <v>1.51</v>
      </c>
      <c r="I859" s="221"/>
      <c r="J859" s="217"/>
      <c r="K859" s="217"/>
      <c r="L859" s="222"/>
      <c r="M859" s="223"/>
      <c r="N859" s="224"/>
      <c r="O859" s="224"/>
      <c r="P859" s="224"/>
      <c r="Q859" s="224"/>
      <c r="R859" s="224"/>
      <c r="S859" s="224"/>
      <c r="T859" s="225"/>
      <c r="AT859" s="226" t="s">
        <v>388</v>
      </c>
      <c r="AU859" s="226" t="s">
        <v>82</v>
      </c>
      <c r="AV859" s="15" t="s">
        <v>386</v>
      </c>
      <c r="AW859" s="15" t="s">
        <v>33</v>
      </c>
      <c r="AX859" s="15" t="s">
        <v>79</v>
      </c>
      <c r="AY859" s="226" t="s">
        <v>380</v>
      </c>
    </row>
    <row r="860" spans="1:65" s="2" customFormat="1" ht="16.5" customHeight="1">
      <c r="A860" s="36"/>
      <c r="B860" s="37"/>
      <c r="C860" s="181" t="s">
        <v>1280</v>
      </c>
      <c r="D860" s="181" t="s">
        <v>382</v>
      </c>
      <c r="E860" s="182" t="s">
        <v>1281</v>
      </c>
      <c r="F860" s="183" t="s">
        <v>1282</v>
      </c>
      <c r="G860" s="184" t="s">
        <v>398</v>
      </c>
      <c r="H860" s="185">
        <v>3185.2</v>
      </c>
      <c r="I860" s="186"/>
      <c r="J860" s="187">
        <f>ROUND(I860*H860,2)</f>
        <v>0</v>
      </c>
      <c r="K860" s="183" t="s">
        <v>399</v>
      </c>
      <c r="L860" s="41"/>
      <c r="M860" s="188" t="s">
        <v>19</v>
      </c>
      <c r="N860" s="189" t="s">
        <v>43</v>
      </c>
      <c r="O860" s="66"/>
      <c r="P860" s="190">
        <f>O860*H860</f>
        <v>0</v>
      </c>
      <c r="Q860" s="190">
        <v>1.3200000000000001E-4</v>
      </c>
      <c r="R860" s="190">
        <f>Q860*H860</f>
        <v>0.4204464</v>
      </c>
      <c r="S860" s="190">
        <v>0</v>
      </c>
      <c r="T860" s="191">
        <f>S860*H860</f>
        <v>0</v>
      </c>
      <c r="U860" s="36"/>
      <c r="V860" s="36"/>
      <c r="W860" s="36"/>
      <c r="X860" s="36"/>
      <c r="Y860" s="36"/>
      <c r="Z860" s="36"/>
      <c r="AA860" s="36"/>
      <c r="AB860" s="36"/>
      <c r="AC860" s="36"/>
      <c r="AD860" s="36"/>
      <c r="AE860" s="36"/>
      <c r="AR860" s="192" t="s">
        <v>386</v>
      </c>
      <c r="AT860" s="192" t="s">
        <v>382</v>
      </c>
      <c r="AU860" s="192" t="s">
        <v>82</v>
      </c>
      <c r="AY860" s="19" t="s">
        <v>380</v>
      </c>
      <c r="BE860" s="193">
        <f>IF(N860="základní",J860,0)</f>
        <v>0</v>
      </c>
      <c r="BF860" s="193">
        <f>IF(N860="snížená",J860,0)</f>
        <v>0</v>
      </c>
      <c r="BG860" s="193">
        <f>IF(N860="zákl. přenesená",J860,0)</f>
        <v>0</v>
      </c>
      <c r="BH860" s="193">
        <f>IF(N860="sníž. přenesená",J860,0)</f>
        <v>0</v>
      </c>
      <c r="BI860" s="193">
        <f>IF(N860="nulová",J860,0)</f>
        <v>0</v>
      </c>
      <c r="BJ860" s="19" t="s">
        <v>79</v>
      </c>
      <c r="BK860" s="193">
        <f>ROUND(I860*H860,2)</f>
        <v>0</v>
      </c>
      <c r="BL860" s="19" t="s">
        <v>386</v>
      </c>
      <c r="BM860" s="192" t="s">
        <v>1283</v>
      </c>
    </row>
    <row r="861" spans="1:65" s="14" customFormat="1" ht="11.25">
      <c r="B861" s="205"/>
      <c r="C861" s="206"/>
      <c r="D861" s="196" t="s">
        <v>388</v>
      </c>
      <c r="E861" s="207" t="s">
        <v>19</v>
      </c>
      <c r="F861" s="208" t="s">
        <v>1284</v>
      </c>
      <c r="G861" s="206"/>
      <c r="H861" s="209">
        <v>3185.2</v>
      </c>
      <c r="I861" s="210"/>
      <c r="J861" s="206"/>
      <c r="K861" s="206"/>
      <c r="L861" s="211"/>
      <c r="M861" s="212"/>
      <c r="N861" s="213"/>
      <c r="O861" s="213"/>
      <c r="P861" s="213"/>
      <c r="Q861" s="213"/>
      <c r="R861" s="213"/>
      <c r="S861" s="213"/>
      <c r="T861" s="214"/>
      <c r="AT861" s="215" t="s">
        <v>388</v>
      </c>
      <c r="AU861" s="215" t="s">
        <v>82</v>
      </c>
      <c r="AV861" s="14" t="s">
        <v>82</v>
      </c>
      <c r="AW861" s="14" t="s">
        <v>33</v>
      </c>
      <c r="AX861" s="14" t="s">
        <v>79</v>
      </c>
      <c r="AY861" s="215" t="s">
        <v>380</v>
      </c>
    </row>
    <row r="862" spans="1:65" s="12" customFormat="1" ht="22.9" customHeight="1">
      <c r="B862" s="165"/>
      <c r="C862" s="166"/>
      <c r="D862" s="167" t="s">
        <v>71</v>
      </c>
      <c r="E862" s="179" t="s">
        <v>430</v>
      </c>
      <c r="F862" s="179" t="s">
        <v>1285</v>
      </c>
      <c r="G862" s="166"/>
      <c r="H862" s="166"/>
      <c r="I862" s="169"/>
      <c r="J862" s="180">
        <f>BK862</f>
        <v>0</v>
      </c>
      <c r="K862" s="166"/>
      <c r="L862" s="171"/>
      <c r="M862" s="172"/>
      <c r="N862" s="173"/>
      <c r="O862" s="173"/>
      <c r="P862" s="174">
        <f>SUM(P863:P903)</f>
        <v>0</v>
      </c>
      <c r="Q862" s="173"/>
      <c r="R862" s="174">
        <f>SUM(R863:R903)</f>
        <v>0.57246385</v>
      </c>
      <c r="S862" s="173"/>
      <c r="T862" s="175">
        <f>SUM(T863:T903)</f>
        <v>0</v>
      </c>
      <c r="AR862" s="176" t="s">
        <v>79</v>
      </c>
      <c r="AT862" s="177" t="s">
        <v>71</v>
      </c>
      <c r="AU862" s="177" t="s">
        <v>79</v>
      </c>
      <c r="AY862" s="176" t="s">
        <v>380</v>
      </c>
      <c r="BK862" s="178">
        <f>SUM(BK863:BK903)</f>
        <v>0</v>
      </c>
    </row>
    <row r="863" spans="1:65" s="2" customFormat="1" ht="24.2" customHeight="1">
      <c r="A863" s="36"/>
      <c r="B863" s="37"/>
      <c r="C863" s="181" t="s">
        <v>1286</v>
      </c>
      <c r="D863" s="181" t="s">
        <v>382</v>
      </c>
      <c r="E863" s="182" t="s">
        <v>1287</v>
      </c>
      <c r="F863" s="183" t="s">
        <v>1288</v>
      </c>
      <c r="G863" s="184" t="s">
        <v>398</v>
      </c>
      <c r="H863" s="185">
        <v>1968.5920000000001</v>
      </c>
      <c r="I863" s="186"/>
      <c r="J863" s="187">
        <f>ROUND(I863*H863,2)</f>
        <v>0</v>
      </c>
      <c r="K863" s="183" t="s">
        <v>399</v>
      </c>
      <c r="L863" s="41"/>
      <c r="M863" s="188" t="s">
        <v>19</v>
      </c>
      <c r="N863" s="189" t="s">
        <v>43</v>
      </c>
      <c r="O863" s="66"/>
      <c r="P863" s="190">
        <f>O863*H863</f>
        <v>0</v>
      </c>
      <c r="Q863" s="190">
        <v>0</v>
      </c>
      <c r="R863" s="190">
        <f>Q863*H863</f>
        <v>0</v>
      </c>
      <c r="S863" s="190">
        <v>0</v>
      </c>
      <c r="T863" s="191">
        <f>S863*H863</f>
        <v>0</v>
      </c>
      <c r="U863" s="36"/>
      <c r="V863" s="36"/>
      <c r="W863" s="36"/>
      <c r="X863" s="36"/>
      <c r="Y863" s="36"/>
      <c r="Z863" s="36"/>
      <c r="AA863" s="36"/>
      <c r="AB863" s="36"/>
      <c r="AC863" s="36"/>
      <c r="AD863" s="36"/>
      <c r="AE863" s="36"/>
      <c r="AR863" s="192" t="s">
        <v>386</v>
      </c>
      <c r="AT863" s="192" t="s">
        <v>382</v>
      </c>
      <c r="AU863" s="192" t="s">
        <v>82</v>
      </c>
      <c r="AY863" s="19" t="s">
        <v>380</v>
      </c>
      <c r="BE863" s="193">
        <f>IF(N863="základní",J863,0)</f>
        <v>0</v>
      </c>
      <c r="BF863" s="193">
        <f>IF(N863="snížená",J863,0)</f>
        <v>0</v>
      </c>
      <c r="BG863" s="193">
        <f>IF(N863="zákl. přenesená",J863,0)</f>
        <v>0</v>
      </c>
      <c r="BH863" s="193">
        <f>IF(N863="sníž. přenesená",J863,0)</f>
        <v>0</v>
      </c>
      <c r="BI863" s="193">
        <f>IF(N863="nulová",J863,0)</f>
        <v>0</v>
      </c>
      <c r="BJ863" s="19" t="s">
        <v>79</v>
      </c>
      <c r="BK863" s="193">
        <f>ROUND(I863*H863,2)</f>
        <v>0</v>
      </c>
      <c r="BL863" s="19" t="s">
        <v>386</v>
      </c>
      <c r="BM863" s="192" t="s">
        <v>1289</v>
      </c>
    </row>
    <row r="864" spans="1:65" s="13" customFormat="1" ht="11.25">
      <c r="B864" s="194"/>
      <c r="C864" s="195"/>
      <c r="D864" s="196" t="s">
        <v>388</v>
      </c>
      <c r="E864" s="197" t="s">
        <v>19</v>
      </c>
      <c r="F864" s="198" t="s">
        <v>1290</v>
      </c>
      <c r="G864" s="195"/>
      <c r="H864" s="197" t="s">
        <v>19</v>
      </c>
      <c r="I864" s="199"/>
      <c r="J864" s="195"/>
      <c r="K864" s="195"/>
      <c r="L864" s="200"/>
      <c r="M864" s="201"/>
      <c r="N864" s="202"/>
      <c r="O864" s="202"/>
      <c r="P864" s="202"/>
      <c r="Q864" s="202"/>
      <c r="R864" s="202"/>
      <c r="S864" s="202"/>
      <c r="T864" s="203"/>
      <c r="AT864" s="204" t="s">
        <v>388</v>
      </c>
      <c r="AU864" s="204" t="s">
        <v>82</v>
      </c>
      <c r="AV864" s="13" t="s">
        <v>79</v>
      </c>
      <c r="AW864" s="13" t="s">
        <v>33</v>
      </c>
      <c r="AX864" s="13" t="s">
        <v>72</v>
      </c>
      <c r="AY864" s="204" t="s">
        <v>380</v>
      </c>
    </row>
    <row r="865" spans="1:65" s="13" customFormat="1" ht="11.25">
      <c r="B865" s="194"/>
      <c r="C865" s="195"/>
      <c r="D865" s="196" t="s">
        <v>388</v>
      </c>
      <c r="E865" s="197" t="s">
        <v>19</v>
      </c>
      <c r="F865" s="198" t="s">
        <v>1228</v>
      </c>
      <c r="G865" s="195"/>
      <c r="H865" s="197" t="s">
        <v>19</v>
      </c>
      <c r="I865" s="199"/>
      <c r="J865" s="195"/>
      <c r="K865" s="195"/>
      <c r="L865" s="200"/>
      <c r="M865" s="201"/>
      <c r="N865" s="202"/>
      <c r="O865" s="202"/>
      <c r="P865" s="202"/>
      <c r="Q865" s="202"/>
      <c r="R865" s="202"/>
      <c r="S865" s="202"/>
      <c r="T865" s="203"/>
      <c r="AT865" s="204" t="s">
        <v>388</v>
      </c>
      <c r="AU865" s="204" t="s">
        <v>82</v>
      </c>
      <c r="AV865" s="13" t="s">
        <v>79</v>
      </c>
      <c r="AW865" s="13" t="s">
        <v>33</v>
      </c>
      <c r="AX865" s="13" t="s">
        <v>72</v>
      </c>
      <c r="AY865" s="204" t="s">
        <v>380</v>
      </c>
    </row>
    <row r="866" spans="1:65" s="14" customFormat="1" ht="11.25">
      <c r="B866" s="205"/>
      <c r="C866" s="206"/>
      <c r="D866" s="196" t="s">
        <v>388</v>
      </c>
      <c r="E866" s="207" t="s">
        <v>19</v>
      </c>
      <c r="F866" s="208" t="s">
        <v>1291</v>
      </c>
      <c r="G866" s="206"/>
      <c r="H866" s="209">
        <v>350.93599999999998</v>
      </c>
      <c r="I866" s="210"/>
      <c r="J866" s="206"/>
      <c r="K866" s="206"/>
      <c r="L866" s="211"/>
      <c r="M866" s="212"/>
      <c r="N866" s="213"/>
      <c r="O866" s="213"/>
      <c r="P866" s="213"/>
      <c r="Q866" s="213"/>
      <c r="R866" s="213"/>
      <c r="S866" s="213"/>
      <c r="T866" s="214"/>
      <c r="AT866" s="215" t="s">
        <v>388</v>
      </c>
      <c r="AU866" s="215" t="s">
        <v>82</v>
      </c>
      <c r="AV866" s="14" t="s">
        <v>82</v>
      </c>
      <c r="AW866" s="14" t="s">
        <v>33</v>
      </c>
      <c r="AX866" s="14" t="s">
        <v>72</v>
      </c>
      <c r="AY866" s="215" t="s">
        <v>380</v>
      </c>
    </row>
    <row r="867" spans="1:65" s="13" customFormat="1" ht="11.25">
      <c r="B867" s="194"/>
      <c r="C867" s="195"/>
      <c r="D867" s="196" t="s">
        <v>388</v>
      </c>
      <c r="E867" s="197" t="s">
        <v>19</v>
      </c>
      <c r="F867" s="198" t="s">
        <v>1230</v>
      </c>
      <c r="G867" s="195"/>
      <c r="H867" s="197" t="s">
        <v>19</v>
      </c>
      <c r="I867" s="199"/>
      <c r="J867" s="195"/>
      <c r="K867" s="195"/>
      <c r="L867" s="200"/>
      <c r="M867" s="201"/>
      <c r="N867" s="202"/>
      <c r="O867" s="202"/>
      <c r="P867" s="202"/>
      <c r="Q867" s="202"/>
      <c r="R867" s="202"/>
      <c r="S867" s="202"/>
      <c r="T867" s="203"/>
      <c r="AT867" s="204" t="s">
        <v>388</v>
      </c>
      <c r="AU867" s="204" t="s">
        <v>82</v>
      </c>
      <c r="AV867" s="13" t="s">
        <v>79</v>
      </c>
      <c r="AW867" s="13" t="s">
        <v>33</v>
      </c>
      <c r="AX867" s="13" t="s">
        <v>72</v>
      </c>
      <c r="AY867" s="204" t="s">
        <v>380</v>
      </c>
    </row>
    <row r="868" spans="1:65" s="14" customFormat="1" ht="11.25">
      <c r="B868" s="205"/>
      <c r="C868" s="206"/>
      <c r="D868" s="196" t="s">
        <v>388</v>
      </c>
      <c r="E868" s="207" t="s">
        <v>19</v>
      </c>
      <c r="F868" s="208" t="s">
        <v>1291</v>
      </c>
      <c r="G868" s="206"/>
      <c r="H868" s="209">
        <v>350.93599999999998</v>
      </c>
      <c r="I868" s="210"/>
      <c r="J868" s="206"/>
      <c r="K868" s="206"/>
      <c r="L868" s="211"/>
      <c r="M868" s="212"/>
      <c r="N868" s="213"/>
      <c r="O868" s="213"/>
      <c r="P868" s="213"/>
      <c r="Q868" s="213"/>
      <c r="R868" s="213"/>
      <c r="S868" s="213"/>
      <c r="T868" s="214"/>
      <c r="AT868" s="215" t="s">
        <v>388</v>
      </c>
      <c r="AU868" s="215" t="s">
        <v>82</v>
      </c>
      <c r="AV868" s="14" t="s">
        <v>82</v>
      </c>
      <c r="AW868" s="14" t="s">
        <v>33</v>
      </c>
      <c r="AX868" s="14" t="s">
        <v>72</v>
      </c>
      <c r="AY868" s="215" t="s">
        <v>380</v>
      </c>
    </row>
    <row r="869" spans="1:65" s="13" customFormat="1" ht="11.25">
      <c r="B869" s="194"/>
      <c r="C869" s="195"/>
      <c r="D869" s="196" t="s">
        <v>388</v>
      </c>
      <c r="E869" s="197" t="s">
        <v>19</v>
      </c>
      <c r="F869" s="198" t="s">
        <v>1171</v>
      </c>
      <c r="G869" s="195"/>
      <c r="H869" s="197" t="s">
        <v>19</v>
      </c>
      <c r="I869" s="199"/>
      <c r="J869" s="195"/>
      <c r="K869" s="195"/>
      <c r="L869" s="200"/>
      <c r="M869" s="201"/>
      <c r="N869" s="202"/>
      <c r="O869" s="202"/>
      <c r="P869" s="202"/>
      <c r="Q869" s="202"/>
      <c r="R869" s="202"/>
      <c r="S869" s="202"/>
      <c r="T869" s="203"/>
      <c r="AT869" s="204" t="s">
        <v>388</v>
      </c>
      <c r="AU869" s="204" t="s">
        <v>82</v>
      </c>
      <c r="AV869" s="13" t="s">
        <v>79</v>
      </c>
      <c r="AW869" s="13" t="s">
        <v>33</v>
      </c>
      <c r="AX869" s="13" t="s">
        <v>72</v>
      </c>
      <c r="AY869" s="204" t="s">
        <v>380</v>
      </c>
    </row>
    <row r="870" spans="1:65" s="14" customFormat="1" ht="11.25">
      <c r="B870" s="205"/>
      <c r="C870" s="206"/>
      <c r="D870" s="196" t="s">
        <v>388</v>
      </c>
      <c r="E870" s="207" t="s">
        <v>19</v>
      </c>
      <c r="F870" s="208" t="s">
        <v>1292</v>
      </c>
      <c r="G870" s="206"/>
      <c r="H870" s="209">
        <v>633.36</v>
      </c>
      <c r="I870" s="210"/>
      <c r="J870" s="206"/>
      <c r="K870" s="206"/>
      <c r="L870" s="211"/>
      <c r="M870" s="212"/>
      <c r="N870" s="213"/>
      <c r="O870" s="213"/>
      <c r="P870" s="213"/>
      <c r="Q870" s="213"/>
      <c r="R870" s="213"/>
      <c r="S870" s="213"/>
      <c r="T870" s="214"/>
      <c r="AT870" s="215" t="s">
        <v>388</v>
      </c>
      <c r="AU870" s="215" t="s">
        <v>82</v>
      </c>
      <c r="AV870" s="14" t="s">
        <v>82</v>
      </c>
      <c r="AW870" s="14" t="s">
        <v>33</v>
      </c>
      <c r="AX870" s="14" t="s">
        <v>72</v>
      </c>
      <c r="AY870" s="215" t="s">
        <v>380</v>
      </c>
    </row>
    <row r="871" spans="1:65" s="13" customFormat="1" ht="11.25">
      <c r="B871" s="194"/>
      <c r="C871" s="195"/>
      <c r="D871" s="196" t="s">
        <v>388</v>
      </c>
      <c r="E871" s="197" t="s">
        <v>19</v>
      </c>
      <c r="F871" s="198" t="s">
        <v>1232</v>
      </c>
      <c r="G871" s="195"/>
      <c r="H871" s="197" t="s">
        <v>19</v>
      </c>
      <c r="I871" s="199"/>
      <c r="J871" s="195"/>
      <c r="K871" s="195"/>
      <c r="L871" s="200"/>
      <c r="M871" s="201"/>
      <c r="N871" s="202"/>
      <c r="O871" s="202"/>
      <c r="P871" s="202"/>
      <c r="Q871" s="202"/>
      <c r="R871" s="202"/>
      <c r="S871" s="202"/>
      <c r="T871" s="203"/>
      <c r="AT871" s="204" t="s">
        <v>388</v>
      </c>
      <c r="AU871" s="204" t="s">
        <v>82</v>
      </c>
      <c r="AV871" s="13" t="s">
        <v>79</v>
      </c>
      <c r="AW871" s="13" t="s">
        <v>33</v>
      </c>
      <c r="AX871" s="13" t="s">
        <v>72</v>
      </c>
      <c r="AY871" s="204" t="s">
        <v>380</v>
      </c>
    </row>
    <row r="872" spans="1:65" s="14" customFormat="1" ht="11.25">
      <c r="B872" s="205"/>
      <c r="C872" s="206"/>
      <c r="D872" s="196" t="s">
        <v>388</v>
      </c>
      <c r="E872" s="207" t="s">
        <v>19</v>
      </c>
      <c r="F872" s="208" t="s">
        <v>1292</v>
      </c>
      <c r="G872" s="206"/>
      <c r="H872" s="209">
        <v>633.36</v>
      </c>
      <c r="I872" s="210"/>
      <c r="J872" s="206"/>
      <c r="K872" s="206"/>
      <c r="L872" s="211"/>
      <c r="M872" s="212"/>
      <c r="N872" s="213"/>
      <c r="O872" s="213"/>
      <c r="P872" s="213"/>
      <c r="Q872" s="213"/>
      <c r="R872" s="213"/>
      <c r="S872" s="213"/>
      <c r="T872" s="214"/>
      <c r="AT872" s="215" t="s">
        <v>388</v>
      </c>
      <c r="AU872" s="215" t="s">
        <v>82</v>
      </c>
      <c r="AV872" s="14" t="s">
        <v>82</v>
      </c>
      <c r="AW872" s="14" t="s">
        <v>33</v>
      </c>
      <c r="AX872" s="14" t="s">
        <v>72</v>
      </c>
      <c r="AY872" s="215" t="s">
        <v>380</v>
      </c>
    </row>
    <row r="873" spans="1:65" s="15" customFormat="1" ht="11.25">
      <c r="B873" s="216"/>
      <c r="C873" s="217"/>
      <c r="D873" s="196" t="s">
        <v>388</v>
      </c>
      <c r="E873" s="218" t="s">
        <v>19</v>
      </c>
      <c r="F873" s="219" t="s">
        <v>419</v>
      </c>
      <c r="G873" s="217"/>
      <c r="H873" s="220">
        <v>1968.5920000000001</v>
      </c>
      <c r="I873" s="221"/>
      <c r="J873" s="217"/>
      <c r="K873" s="217"/>
      <c r="L873" s="222"/>
      <c r="M873" s="223"/>
      <c r="N873" s="224"/>
      <c r="O873" s="224"/>
      <c r="P873" s="224"/>
      <c r="Q873" s="224"/>
      <c r="R873" s="224"/>
      <c r="S873" s="224"/>
      <c r="T873" s="225"/>
      <c r="AT873" s="226" t="s">
        <v>388</v>
      </c>
      <c r="AU873" s="226" t="s">
        <v>82</v>
      </c>
      <c r="AV873" s="15" t="s">
        <v>386</v>
      </c>
      <c r="AW873" s="15" t="s">
        <v>33</v>
      </c>
      <c r="AX873" s="15" t="s">
        <v>79</v>
      </c>
      <c r="AY873" s="226" t="s">
        <v>380</v>
      </c>
    </row>
    <row r="874" spans="1:65" s="2" customFormat="1" ht="24.2" customHeight="1">
      <c r="A874" s="36"/>
      <c r="B874" s="37"/>
      <c r="C874" s="181" t="s">
        <v>1293</v>
      </c>
      <c r="D874" s="181" t="s">
        <v>382</v>
      </c>
      <c r="E874" s="182" t="s">
        <v>1294</v>
      </c>
      <c r="F874" s="183" t="s">
        <v>1295</v>
      </c>
      <c r="G874" s="184" t="s">
        <v>398</v>
      </c>
      <c r="H874" s="185">
        <v>1968.5920000000001</v>
      </c>
      <c r="I874" s="186"/>
      <c r="J874" s="187">
        <f t="shared" ref="J874:J879" si="10">ROUND(I874*H874,2)</f>
        <v>0</v>
      </c>
      <c r="K874" s="183" t="s">
        <v>19</v>
      </c>
      <c r="L874" s="41"/>
      <c r="M874" s="188" t="s">
        <v>19</v>
      </c>
      <c r="N874" s="189" t="s">
        <v>43</v>
      </c>
      <c r="O874" s="66"/>
      <c r="P874" s="190">
        <f t="shared" ref="P874:P879" si="11">O874*H874</f>
        <v>0</v>
      </c>
      <c r="Q874" s="190">
        <v>0</v>
      </c>
      <c r="R874" s="190">
        <f t="shared" ref="R874:R879" si="12">Q874*H874</f>
        <v>0</v>
      </c>
      <c r="S874" s="190">
        <v>0</v>
      </c>
      <c r="T874" s="191">
        <f t="shared" ref="T874:T879" si="13">S874*H874</f>
        <v>0</v>
      </c>
      <c r="U874" s="36"/>
      <c r="V874" s="36"/>
      <c r="W874" s="36"/>
      <c r="X874" s="36"/>
      <c r="Y874" s="36"/>
      <c r="Z874" s="36"/>
      <c r="AA874" s="36"/>
      <c r="AB874" s="36"/>
      <c r="AC874" s="36"/>
      <c r="AD874" s="36"/>
      <c r="AE874" s="36"/>
      <c r="AR874" s="192" t="s">
        <v>386</v>
      </c>
      <c r="AT874" s="192" t="s">
        <v>382</v>
      </c>
      <c r="AU874" s="192" t="s">
        <v>82</v>
      </c>
      <c r="AY874" s="19" t="s">
        <v>380</v>
      </c>
      <c r="BE874" s="193">
        <f t="shared" ref="BE874:BE879" si="14">IF(N874="základní",J874,0)</f>
        <v>0</v>
      </c>
      <c r="BF874" s="193">
        <f t="shared" ref="BF874:BF879" si="15">IF(N874="snížená",J874,0)</f>
        <v>0</v>
      </c>
      <c r="BG874" s="193">
        <f t="shared" ref="BG874:BG879" si="16">IF(N874="zákl. přenesená",J874,0)</f>
        <v>0</v>
      </c>
      <c r="BH874" s="193">
        <f t="shared" ref="BH874:BH879" si="17">IF(N874="sníž. přenesená",J874,0)</f>
        <v>0</v>
      </c>
      <c r="BI874" s="193">
        <f t="shared" ref="BI874:BI879" si="18">IF(N874="nulová",J874,0)</f>
        <v>0</v>
      </c>
      <c r="BJ874" s="19" t="s">
        <v>79</v>
      </c>
      <c r="BK874" s="193">
        <f t="shared" ref="BK874:BK879" si="19">ROUND(I874*H874,2)</f>
        <v>0</v>
      </c>
      <c r="BL874" s="19" t="s">
        <v>386</v>
      </c>
      <c r="BM874" s="192" t="s">
        <v>1296</v>
      </c>
    </row>
    <row r="875" spans="1:65" s="2" customFormat="1" ht="24.2" customHeight="1">
      <c r="A875" s="36"/>
      <c r="B875" s="37"/>
      <c r="C875" s="181" t="s">
        <v>1297</v>
      </c>
      <c r="D875" s="181" t="s">
        <v>382</v>
      </c>
      <c r="E875" s="182" t="s">
        <v>1298</v>
      </c>
      <c r="F875" s="183" t="s">
        <v>1299</v>
      </c>
      <c r="G875" s="184" t="s">
        <v>398</v>
      </c>
      <c r="H875" s="185">
        <v>1968.5920000000001</v>
      </c>
      <c r="I875" s="186"/>
      <c r="J875" s="187">
        <f t="shared" si="10"/>
        <v>0</v>
      </c>
      <c r="K875" s="183" t="s">
        <v>399</v>
      </c>
      <c r="L875" s="41"/>
      <c r="M875" s="188" t="s">
        <v>19</v>
      </c>
      <c r="N875" s="189" t="s">
        <v>43</v>
      </c>
      <c r="O875" s="66"/>
      <c r="P875" s="190">
        <f t="shared" si="11"/>
        <v>0</v>
      </c>
      <c r="Q875" s="190">
        <v>0</v>
      </c>
      <c r="R875" s="190">
        <f t="shared" si="12"/>
        <v>0</v>
      </c>
      <c r="S875" s="190">
        <v>0</v>
      </c>
      <c r="T875" s="191">
        <f t="shared" si="13"/>
        <v>0</v>
      </c>
      <c r="U875" s="36"/>
      <c r="V875" s="36"/>
      <c r="W875" s="36"/>
      <c r="X875" s="36"/>
      <c r="Y875" s="36"/>
      <c r="Z875" s="36"/>
      <c r="AA875" s="36"/>
      <c r="AB875" s="36"/>
      <c r="AC875" s="36"/>
      <c r="AD875" s="36"/>
      <c r="AE875" s="36"/>
      <c r="AR875" s="192" t="s">
        <v>386</v>
      </c>
      <c r="AT875" s="192" t="s">
        <v>382</v>
      </c>
      <c r="AU875" s="192" t="s">
        <v>82</v>
      </c>
      <c r="AY875" s="19" t="s">
        <v>380</v>
      </c>
      <c r="BE875" s="193">
        <f t="shared" si="14"/>
        <v>0</v>
      </c>
      <c r="BF875" s="193">
        <f t="shared" si="15"/>
        <v>0</v>
      </c>
      <c r="BG875" s="193">
        <f t="shared" si="16"/>
        <v>0</v>
      </c>
      <c r="BH875" s="193">
        <f t="shared" si="17"/>
        <v>0</v>
      </c>
      <c r="BI875" s="193">
        <f t="shared" si="18"/>
        <v>0</v>
      </c>
      <c r="BJ875" s="19" t="s">
        <v>79</v>
      </c>
      <c r="BK875" s="193">
        <f t="shared" si="19"/>
        <v>0</v>
      </c>
      <c r="BL875" s="19" t="s">
        <v>386</v>
      </c>
      <c r="BM875" s="192" t="s">
        <v>1300</v>
      </c>
    </row>
    <row r="876" spans="1:65" s="2" customFormat="1" ht="16.5" customHeight="1">
      <c r="A876" s="36"/>
      <c r="B876" s="37"/>
      <c r="C876" s="181" t="s">
        <v>1301</v>
      </c>
      <c r="D876" s="181" t="s">
        <v>382</v>
      </c>
      <c r="E876" s="182" t="s">
        <v>1302</v>
      </c>
      <c r="F876" s="183" t="s">
        <v>1303</v>
      </c>
      <c r="G876" s="184" t="s">
        <v>398</v>
      </c>
      <c r="H876" s="185">
        <v>1968.5920000000001</v>
      </c>
      <c r="I876" s="186"/>
      <c r="J876" s="187">
        <f t="shared" si="10"/>
        <v>0</v>
      </c>
      <c r="K876" s="183" t="s">
        <v>399</v>
      </c>
      <c r="L876" s="41"/>
      <c r="M876" s="188" t="s">
        <v>19</v>
      </c>
      <c r="N876" s="189" t="s">
        <v>43</v>
      </c>
      <c r="O876" s="66"/>
      <c r="P876" s="190">
        <f t="shared" si="11"/>
        <v>0</v>
      </c>
      <c r="Q876" s="190">
        <v>0</v>
      </c>
      <c r="R876" s="190">
        <f t="shared" si="12"/>
        <v>0</v>
      </c>
      <c r="S876" s="190">
        <v>0</v>
      </c>
      <c r="T876" s="191">
        <f t="shared" si="13"/>
        <v>0</v>
      </c>
      <c r="U876" s="36"/>
      <c r="V876" s="36"/>
      <c r="W876" s="36"/>
      <c r="X876" s="36"/>
      <c r="Y876" s="36"/>
      <c r="Z876" s="36"/>
      <c r="AA876" s="36"/>
      <c r="AB876" s="36"/>
      <c r="AC876" s="36"/>
      <c r="AD876" s="36"/>
      <c r="AE876" s="36"/>
      <c r="AR876" s="192" t="s">
        <v>386</v>
      </c>
      <c r="AT876" s="192" t="s">
        <v>382</v>
      </c>
      <c r="AU876" s="192" t="s">
        <v>82</v>
      </c>
      <c r="AY876" s="19" t="s">
        <v>380</v>
      </c>
      <c r="BE876" s="193">
        <f t="shared" si="14"/>
        <v>0</v>
      </c>
      <c r="BF876" s="193">
        <f t="shared" si="15"/>
        <v>0</v>
      </c>
      <c r="BG876" s="193">
        <f t="shared" si="16"/>
        <v>0</v>
      </c>
      <c r="BH876" s="193">
        <f t="shared" si="17"/>
        <v>0</v>
      </c>
      <c r="BI876" s="193">
        <f t="shared" si="18"/>
        <v>0</v>
      </c>
      <c r="BJ876" s="19" t="s">
        <v>79</v>
      </c>
      <c r="BK876" s="193">
        <f t="shared" si="19"/>
        <v>0</v>
      </c>
      <c r="BL876" s="19" t="s">
        <v>386</v>
      </c>
      <c r="BM876" s="192" t="s">
        <v>1304</v>
      </c>
    </row>
    <row r="877" spans="1:65" s="2" customFormat="1" ht="16.5" customHeight="1">
      <c r="A877" s="36"/>
      <c r="B877" s="37"/>
      <c r="C877" s="181" t="s">
        <v>1305</v>
      </c>
      <c r="D877" s="181" t="s">
        <v>382</v>
      </c>
      <c r="E877" s="182" t="s">
        <v>1306</v>
      </c>
      <c r="F877" s="183" t="s">
        <v>1307</v>
      </c>
      <c r="G877" s="184" t="s">
        <v>398</v>
      </c>
      <c r="H877" s="185">
        <v>1968.5920000000001</v>
      </c>
      <c r="I877" s="186"/>
      <c r="J877" s="187">
        <f t="shared" si="10"/>
        <v>0</v>
      </c>
      <c r="K877" s="183" t="s">
        <v>19</v>
      </c>
      <c r="L877" s="41"/>
      <c r="M877" s="188" t="s">
        <v>19</v>
      </c>
      <c r="N877" s="189" t="s">
        <v>43</v>
      </c>
      <c r="O877" s="66"/>
      <c r="P877" s="190">
        <f t="shared" si="11"/>
        <v>0</v>
      </c>
      <c r="Q877" s="190">
        <v>0</v>
      </c>
      <c r="R877" s="190">
        <f t="shared" si="12"/>
        <v>0</v>
      </c>
      <c r="S877" s="190">
        <v>0</v>
      </c>
      <c r="T877" s="191">
        <f t="shared" si="13"/>
        <v>0</v>
      </c>
      <c r="U877" s="36"/>
      <c r="V877" s="36"/>
      <c r="W877" s="36"/>
      <c r="X877" s="36"/>
      <c r="Y877" s="36"/>
      <c r="Z877" s="36"/>
      <c r="AA877" s="36"/>
      <c r="AB877" s="36"/>
      <c r="AC877" s="36"/>
      <c r="AD877" s="36"/>
      <c r="AE877" s="36"/>
      <c r="AR877" s="192" t="s">
        <v>386</v>
      </c>
      <c r="AT877" s="192" t="s">
        <v>382</v>
      </c>
      <c r="AU877" s="192" t="s">
        <v>82</v>
      </c>
      <c r="AY877" s="19" t="s">
        <v>380</v>
      </c>
      <c r="BE877" s="193">
        <f t="shared" si="14"/>
        <v>0</v>
      </c>
      <c r="BF877" s="193">
        <f t="shared" si="15"/>
        <v>0</v>
      </c>
      <c r="BG877" s="193">
        <f t="shared" si="16"/>
        <v>0</v>
      </c>
      <c r="BH877" s="193">
        <f t="shared" si="17"/>
        <v>0</v>
      </c>
      <c r="BI877" s="193">
        <f t="shared" si="18"/>
        <v>0</v>
      </c>
      <c r="BJ877" s="19" t="s">
        <v>79</v>
      </c>
      <c r="BK877" s="193">
        <f t="shared" si="19"/>
        <v>0</v>
      </c>
      <c r="BL877" s="19" t="s">
        <v>386</v>
      </c>
      <c r="BM877" s="192" t="s">
        <v>1308</v>
      </c>
    </row>
    <row r="878" spans="1:65" s="2" customFormat="1" ht="16.5" customHeight="1">
      <c r="A878" s="36"/>
      <c r="B878" s="37"/>
      <c r="C878" s="181" t="s">
        <v>1309</v>
      </c>
      <c r="D878" s="181" t="s">
        <v>382</v>
      </c>
      <c r="E878" s="182" t="s">
        <v>1310</v>
      </c>
      <c r="F878" s="183" t="s">
        <v>1311</v>
      </c>
      <c r="G878" s="184" t="s">
        <v>398</v>
      </c>
      <c r="H878" s="185">
        <v>1968.5920000000001</v>
      </c>
      <c r="I878" s="186"/>
      <c r="J878" s="187">
        <f t="shared" si="10"/>
        <v>0</v>
      </c>
      <c r="K878" s="183" t="s">
        <v>399</v>
      </c>
      <c r="L878" s="41"/>
      <c r="M878" s="188" t="s">
        <v>19</v>
      </c>
      <c r="N878" s="189" t="s">
        <v>43</v>
      </c>
      <c r="O878" s="66"/>
      <c r="P878" s="190">
        <f t="shared" si="11"/>
        <v>0</v>
      </c>
      <c r="Q878" s="190">
        <v>0</v>
      </c>
      <c r="R878" s="190">
        <f t="shared" si="12"/>
        <v>0</v>
      </c>
      <c r="S878" s="190">
        <v>0</v>
      </c>
      <c r="T878" s="191">
        <f t="shared" si="13"/>
        <v>0</v>
      </c>
      <c r="U878" s="36"/>
      <c r="V878" s="36"/>
      <c r="W878" s="36"/>
      <c r="X878" s="36"/>
      <c r="Y878" s="36"/>
      <c r="Z878" s="36"/>
      <c r="AA878" s="36"/>
      <c r="AB878" s="36"/>
      <c r="AC878" s="36"/>
      <c r="AD878" s="36"/>
      <c r="AE878" s="36"/>
      <c r="AR878" s="192" t="s">
        <v>386</v>
      </c>
      <c r="AT878" s="192" t="s">
        <v>382</v>
      </c>
      <c r="AU878" s="192" t="s">
        <v>82</v>
      </c>
      <c r="AY878" s="19" t="s">
        <v>380</v>
      </c>
      <c r="BE878" s="193">
        <f t="shared" si="14"/>
        <v>0</v>
      </c>
      <c r="BF878" s="193">
        <f t="shared" si="15"/>
        <v>0</v>
      </c>
      <c r="BG878" s="193">
        <f t="shared" si="16"/>
        <v>0</v>
      </c>
      <c r="BH878" s="193">
        <f t="shared" si="17"/>
        <v>0</v>
      </c>
      <c r="BI878" s="193">
        <f t="shared" si="18"/>
        <v>0</v>
      </c>
      <c r="BJ878" s="19" t="s">
        <v>79</v>
      </c>
      <c r="BK878" s="193">
        <f t="shared" si="19"/>
        <v>0</v>
      </c>
      <c r="BL878" s="19" t="s">
        <v>386</v>
      </c>
      <c r="BM878" s="192" t="s">
        <v>1312</v>
      </c>
    </row>
    <row r="879" spans="1:65" s="2" customFormat="1" ht="24.2" customHeight="1">
      <c r="A879" s="36"/>
      <c r="B879" s="37"/>
      <c r="C879" s="181" t="s">
        <v>1313</v>
      </c>
      <c r="D879" s="181" t="s">
        <v>382</v>
      </c>
      <c r="E879" s="182" t="s">
        <v>1314</v>
      </c>
      <c r="F879" s="183" t="s">
        <v>1315</v>
      </c>
      <c r="G879" s="184" t="s">
        <v>398</v>
      </c>
      <c r="H879" s="185">
        <v>3259.8</v>
      </c>
      <c r="I879" s="186"/>
      <c r="J879" s="187">
        <f t="shared" si="10"/>
        <v>0</v>
      </c>
      <c r="K879" s="183" t="s">
        <v>399</v>
      </c>
      <c r="L879" s="41"/>
      <c r="M879" s="188" t="s">
        <v>19</v>
      </c>
      <c r="N879" s="189" t="s">
        <v>43</v>
      </c>
      <c r="O879" s="66"/>
      <c r="P879" s="190">
        <f t="shared" si="11"/>
        <v>0</v>
      </c>
      <c r="Q879" s="190">
        <v>1.2999999999999999E-4</v>
      </c>
      <c r="R879" s="190">
        <f t="shared" si="12"/>
        <v>0.42377399999999998</v>
      </c>
      <c r="S879" s="190">
        <v>0</v>
      </c>
      <c r="T879" s="191">
        <f t="shared" si="13"/>
        <v>0</v>
      </c>
      <c r="U879" s="36"/>
      <c r="V879" s="36"/>
      <c r="W879" s="36"/>
      <c r="X879" s="36"/>
      <c r="Y879" s="36"/>
      <c r="Z879" s="36"/>
      <c r="AA879" s="36"/>
      <c r="AB879" s="36"/>
      <c r="AC879" s="36"/>
      <c r="AD879" s="36"/>
      <c r="AE879" s="36"/>
      <c r="AR879" s="192" t="s">
        <v>386</v>
      </c>
      <c r="AT879" s="192" t="s">
        <v>382</v>
      </c>
      <c r="AU879" s="192" t="s">
        <v>82</v>
      </c>
      <c r="AY879" s="19" t="s">
        <v>380</v>
      </c>
      <c r="BE879" s="193">
        <f t="shared" si="14"/>
        <v>0</v>
      </c>
      <c r="BF879" s="193">
        <f t="shared" si="15"/>
        <v>0</v>
      </c>
      <c r="BG879" s="193">
        <f t="shared" si="16"/>
        <v>0</v>
      </c>
      <c r="BH879" s="193">
        <f t="shared" si="17"/>
        <v>0</v>
      </c>
      <c r="BI879" s="193">
        <f t="shared" si="18"/>
        <v>0</v>
      </c>
      <c r="BJ879" s="19" t="s">
        <v>79</v>
      </c>
      <c r="BK879" s="193">
        <f t="shared" si="19"/>
        <v>0</v>
      </c>
      <c r="BL879" s="19" t="s">
        <v>386</v>
      </c>
      <c r="BM879" s="192" t="s">
        <v>1316</v>
      </c>
    </row>
    <row r="880" spans="1:65" s="13" customFormat="1" ht="11.25">
      <c r="B880" s="194"/>
      <c r="C880" s="195"/>
      <c r="D880" s="196" t="s">
        <v>388</v>
      </c>
      <c r="E880" s="197" t="s">
        <v>19</v>
      </c>
      <c r="F880" s="198" t="s">
        <v>1317</v>
      </c>
      <c r="G880" s="195"/>
      <c r="H880" s="197" t="s">
        <v>19</v>
      </c>
      <c r="I880" s="199"/>
      <c r="J880" s="195"/>
      <c r="K880" s="195"/>
      <c r="L880" s="200"/>
      <c r="M880" s="201"/>
      <c r="N880" s="202"/>
      <c r="O880" s="202"/>
      <c r="P880" s="202"/>
      <c r="Q880" s="202"/>
      <c r="R880" s="202"/>
      <c r="S880" s="202"/>
      <c r="T880" s="203"/>
      <c r="AT880" s="204" t="s">
        <v>388</v>
      </c>
      <c r="AU880" s="204" t="s">
        <v>82</v>
      </c>
      <c r="AV880" s="13" t="s">
        <v>79</v>
      </c>
      <c r="AW880" s="13" t="s">
        <v>33</v>
      </c>
      <c r="AX880" s="13" t="s">
        <v>72</v>
      </c>
      <c r="AY880" s="204" t="s">
        <v>380</v>
      </c>
    </row>
    <row r="881" spans="1:65" s="13" customFormat="1" ht="11.25">
      <c r="B881" s="194"/>
      <c r="C881" s="195"/>
      <c r="D881" s="196" t="s">
        <v>388</v>
      </c>
      <c r="E881" s="197" t="s">
        <v>19</v>
      </c>
      <c r="F881" s="198" t="s">
        <v>583</v>
      </c>
      <c r="G881" s="195"/>
      <c r="H881" s="197" t="s">
        <v>19</v>
      </c>
      <c r="I881" s="199"/>
      <c r="J881" s="195"/>
      <c r="K881" s="195"/>
      <c r="L881" s="200"/>
      <c r="M881" s="201"/>
      <c r="N881" s="202"/>
      <c r="O881" s="202"/>
      <c r="P881" s="202"/>
      <c r="Q881" s="202"/>
      <c r="R881" s="202"/>
      <c r="S881" s="202"/>
      <c r="T881" s="203"/>
      <c r="AT881" s="204" t="s">
        <v>388</v>
      </c>
      <c r="AU881" s="204" t="s">
        <v>82</v>
      </c>
      <c r="AV881" s="13" t="s">
        <v>79</v>
      </c>
      <c r="AW881" s="13" t="s">
        <v>33</v>
      </c>
      <c r="AX881" s="13" t="s">
        <v>72</v>
      </c>
      <c r="AY881" s="204" t="s">
        <v>380</v>
      </c>
    </row>
    <row r="882" spans="1:65" s="14" customFormat="1" ht="11.25">
      <c r="B882" s="205"/>
      <c r="C882" s="206"/>
      <c r="D882" s="196" t="s">
        <v>388</v>
      </c>
      <c r="E882" s="207" t="s">
        <v>19</v>
      </c>
      <c r="F882" s="208" t="s">
        <v>1318</v>
      </c>
      <c r="G882" s="206"/>
      <c r="H882" s="209">
        <v>1023.2</v>
      </c>
      <c r="I882" s="210"/>
      <c r="J882" s="206"/>
      <c r="K882" s="206"/>
      <c r="L882" s="211"/>
      <c r="M882" s="212"/>
      <c r="N882" s="213"/>
      <c r="O882" s="213"/>
      <c r="P882" s="213"/>
      <c r="Q882" s="213"/>
      <c r="R882" s="213"/>
      <c r="S882" s="213"/>
      <c r="T882" s="214"/>
      <c r="AT882" s="215" t="s">
        <v>388</v>
      </c>
      <c r="AU882" s="215" t="s">
        <v>82</v>
      </c>
      <c r="AV882" s="14" t="s">
        <v>82</v>
      </c>
      <c r="AW882" s="14" t="s">
        <v>33</v>
      </c>
      <c r="AX882" s="14" t="s">
        <v>72</v>
      </c>
      <c r="AY882" s="215" t="s">
        <v>380</v>
      </c>
    </row>
    <row r="883" spans="1:65" s="13" customFormat="1" ht="11.25">
      <c r="B883" s="194"/>
      <c r="C883" s="195"/>
      <c r="D883" s="196" t="s">
        <v>388</v>
      </c>
      <c r="E883" s="197" t="s">
        <v>19</v>
      </c>
      <c r="F883" s="198" t="s">
        <v>569</v>
      </c>
      <c r="G883" s="195"/>
      <c r="H883" s="197" t="s">
        <v>19</v>
      </c>
      <c r="I883" s="199"/>
      <c r="J883" s="195"/>
      <c r="K883" s="195"/>
      <c r="L883" s="200"/>
      <c r="M883" s="201"/>
      <c r="N883" s="202"/>
      <c r="O883" s="202"/>
      <c r="P883" s="202"/>
      <c r="Q883" s="202"/>
      <c r="R883" s="202"/>
      <c r="S883" s="202"/>
      <c r="T883" s="203"/>
      <c r="AT883" s="204" t="s">
        <v>388</v>
      </c>
      <c r="AU883" s="204" t="s">
        <v>82</v>
      </c>
      <c r="AV883" s="13" t="s">
        <v>79</v>
      </c>
      <c r="AW883" s="13" t="s">
        <v>33</v>
      </c>
      <c r="AX883" s="13" t="s">
        <v>72</v>
      </c>
      <c r="AY883" s="204" t="s">
        <v>380</v>
      </c>
    </row>
    <row r="884" spans="1:65" s="14" customFormat="1" ht="11.25">
      <c r="B884" s="205"/>
      <c r="C884" s="206"/>
      <c r="D884" s="196" t="s">
        <v>388</v>
      </c>
      <c r="E884" s="207" t="s">
        <v>19</v>
      </c>
      <c r="F884" s="208" t="s">
        <v>1319</v>
      </c>
      <c r="G884" s="206"/>
      <c r="H884" s="209">
        <v>999.1</v>
      </c>
      <c r="I884" s="210"/>
      <c r="J884" s="206"/>
      <c r="K884" s="206"/>
      <c r="L884" s="211"/>
      <c r="M884" s="212"/>
      <c r="N884" s="213"/>
      <c r="O884" s="213"/>
      <c r="P884" s="213"/>
      <c r="Q884" s="213"/>
      <c r="R884" s="213"/>
      <c r="S884" s="213"/>
      <c r="T884" s="214"/>
      <c r="AT884" s="215" t="s">
        <v>388</v>
      </c>
      <c r="AU884" s="215" t="s">
        <v>82</v>
      </c>
      <c r="AV884" s="14" t="s">
        <v>82</v>
      </c>
      <c r="AW884" s="14" t="s">
        <v>33</v>
      </c>
      <c r="AX884" s="14" t="s">
        <v>72</v>
      </c>
      <c r="AY884" s="215" t="s">
        <v>380</v>
      </c>
    </row>
    <row r="885" spans="1:65" s="13" customFormat="1" ht="11.25">
      <c r="B885" s="194"/>
      <c r="C885" s="195"/>
      <c r="D885" s="196" t="s">
        <v>388</v>
      </c>
      <c r="E885" s="197" t="s">
        <v>19</v>
      </c>
      <c r="F885" s="198" t="s">
        <v>573</v>
      </c>
      <c r="G885" s="195"/>
      <c r="H885" s="197" t="s">
        <v>19</v>
      </c>
      <c r="I885" s="199"/>
      <c r="J885" s="195"/>
      <c r="K885" s="195"/>
      <c r="L885" s="200"/>
      <c r="M885" s="201"/>
      <c r="N885" s="202"/>
      <c r="O885" s="202"/>
      <c r="P885" s="202"/>
      <c r="Q885" s="202"/>
      <c r="R885" s="202"/>
      <c r="S885" s="202"/>
      <c r="T885" s="203"/>
      <c r="AT885" s="204" t="s">
        <v>388</v>
      </c>
      <c r="AU885" s="204" t="s">
        <v>82</v>
      </c>
      <c r="AV885" s="13" t="s">
        <v>79</v>
      </c>
      <c r="AW885" s="13" t="s">
        <v>33</v>
      </c>
      <c r="AX885" s="13" t="s">
        <v>72</v>
      </c>
      <c r="AY885" s="204" t="s">
        <v>380</v>
      </c>
    </row>
    <row r="886" spans="1:65" s="14" customFormat="1" ht="11.25">
      <c r="B886" s="205"/>
      <c r="C886" s="206"/>
      <c r="D886" s="196" t="s">
        <v>388</v>
      </c>
      <c r="E886" s="207" t="s">
        <v>19</v>
      </c>
      <c r="F886" s="208" t="s">
        <v>1320</v>
      </c>
      <c r="G886" s="206"/>
      <c r="H886" s="209">
        <v>1014.7</v>
      </c>
      <c r="I886" s="210"/>
      <c r="J886" s="206"/>
      <c r="K886" s="206"/>
      <c r="L886" s="211"/>
      <c r="M886" s="212"/>
      <c r="N886" s="213"/>
      <c r="O886" s="213"/>
      <c r="P886" s="213"/>
      <c r="Q886" s="213"/>
      <c r="R886" s="213"/>
      <c r="S886" s="213"/>
      <c r="T886" s="214"/>
      <c r="AT886" s="215" t="s">
        <v>388</v>
      </c>
      <c r="AU886" s="215" t="s">
        <v>82</v>
      </c>
      <c r="AV886" s="14" t="s">
        <v>82</v>
      </c>
      <c r="AW886" s="14" t="s">
        <v>33</v>
      </c>
      <c r="AX886" s="14" t="s">
        <v>72</v>
      </c>
      <c r="AY886" s="215" t="s">
        <v>380</v>
      </c>
    </row>
    <row r="887" spans="1:65" s="13" customFormat="1" ht="11.25">
      <c r="B887" s="194"/>
      <c r="C887" s="195"/>
      <c r="D887" s="196" t="s">
        <v>388</v>
      </c>
      <c r="E887" s="197" t="s">
        <v>19</v>
      </c>
      <c r="F887" s="198" t="s">
        <v>576</v>
      </c>
      <c r="G887" s="195"/>
      <c r="H887" s="197" t="s">
        <v>19</v>
      </c>
      <c r="I887" s="199"/>
      <c r="J887" s="195"/>
      <c r="K887" s="195"/>
      <c r="L887" s="200"/>
      <c r="M887" s="201"/>
      <c r="N887" s="202"/>
      <c r="O887" s="202"/>
      <c r="P887" s="202"/>
      <c r="Q887" s="202"/>
      <c r="R887" s="202"/>
      <c r="S887" s="202"/>
      <c r="T887" s="203"/>
      <c r="AT887" s="204" t="s">
        <v>388</v>
      </c>
      <c r="AU887" s="204" t="s">
        <v>82</v>
      </c>
      <c r="AV887" s="13" t="s">
        <v>79</v>
      </c>
      <c r="AW887" s="13" t="s">
        <v>33</v>
      </c>
      <c r="AX887" s="13" t="s">
        <v>72</v>
      </c>
      <c r="AY887" s="204" t="s">
        <v>380</v>
      </c>
    </row>
    <row r="888" spans="1:65" s="14" customFormat="1" ht="11.25">
      <c r="B888" s="205"/>
      <c r="C888" s="206"/>
      <c r="D888" s="196" t="s">
        <v>388</v>
      </c>
      <c r="E888" s="207" t="s">
        <v>19</v>
      </c>
      <c r="F888" s="208" t="s">
        <v>1321</v>
      </c>
      <c r="G888" s="206"/>
      <c r="H888" s="209">
        <v>222.8</v>
      </c>
      <c r="I888" s="210"/>
      <c r="J888" s="206"/>
      <c r="K888" s="206"/>
      <c r="L888" s="211"/>
      <c r="M888" s="212"/>
      <c r="N888" s="213"/>
      <c r="O888" s="213"/>
      <c r="P888" s="213"/>
      <c r="Q888" s="213"/>
      <c r="R888" s="213"/>
      <c r="S888" s="213"/>
      <c r="T888" s="214"/>
      <c r="AT888" s="215" t="s">
        <v>388</v>
      </c>
      <c r="AU888" s="215" t="s">
        <v>82</v>
      </c>
      <c r="AV888" s="14" t="s">
        <v>82</v>
      </c>
      <c r="AW888" s="14" t="s">
        <v>33</v>
      </c>
      <c r="AX888" s="14" t="s">
        <v>72</v>
      </c>
      <c r="AY888" s="215" t="s">
        <v>380</v>
      </c>
    </row>
    <row r="889" spans="1:65" s="15" customFormat="1" ht="11.25">
      <c r="B889" s="216"/>
      <c r="C889" s="217"/>
      <c r="D889" s="196" t="s">
        <v>388</v>
      </c>
      <c r="E889" s="218" t="s">
        <v>19</v>
      </c>
      <c r="F889" s="219" t="s">
        <v>419</v>
      </c>
      <c r="G889" s="217"/>
      <c r="H889" s="220">
        <v>3259.8</v>
      </c>
      <c r="I889" s="221"/>
      <c r="J889" s="217"/>
      <c r="K889" s="217"/>
      <c r="L889" s="222"/>
      <c r="M889" s="223"/>
      <c r="N889" s="224"/>
      <c r="O889" s="224"/>
      <c r="P889" s="224"/>
      <c r="Q889" s="224"/>
      <c r="R889" s="224"/>
      <c r="S889" s="224"/>
      <c r="T889" s="225"/>
      <c r="AT889" s="226" t="s">
        <v>388</v>
      </c>
      <c r="AU889" s="226" t="s">
        <v>82</v>
      </c>
      <c r="AV889" s="15" t="s">
        <v>386</v>
      </c>
      <c r="AW889" s="15" t="s">
        <v>33</v>
      </c>
      <c r="AX889" s="15" t="s">
        <v>79</v>
      </c>
      <c r="AY889" s="226" t="s">
        <v>380</v>
      </c>
    </row>
    <row r="890" spans="1:65" s="2" customFormat="1" ht="24.2" customHeight="1">
      <c r="A890" s="36"/>
      <c r="B890" s="37"/>
      <c r="C890" s="181" t="s">
        <v>1322</v>
      </c>
      <c r="D890" s="181" t="s">
        <v>382</v>
      </c>
      <c r="E890" s="182" t="s">
        <v>1323</v>
      </c>
      <c r="F890" s="183" t="s">
        <v>1324</v>
      </c>
      <c r="G890" s="184" t="s">
        <v>398</v>
      </c>
      <c r="H890" s="185">
        <v>3764.3</v>
      </c>
      <c r="I890" s="186"/>
      <c r="J890" s="187">
        <f>ROUND(I890*H890,2)</f>
        <v>0</v>
      </c>
      <c r="K890" s="183" t="s">
        <v>399</v>
      </c>
      <c r="L890" s="41"/>
      <c r="M890" s="188" t="s">
        <v>19</v>
      </c>
      <c r="N890" s="189" t="s">
        <v>43</v>
      </c>
      <c r="O890" s="66"/>
      <c r="P890" s="190">
        <f>O890*H890</f>
        <v>0</v>
      </c>
      <c r="Q890" s="190">
        <v>3.9499999999999998E-5</v>
      </c>
      <c r="R890" s="190">
        <f>Q890*H890</f>
        <v>0.14868985000000001</v>
      </c>
      <c r="S890" s="190">
        <v>0</v>
      </c>
      <c r="T890" s="191">
        <f>S890*H890</f>
        <v>0</v>
      </c>
      <c r="U890" s="36"/>
      <c r="V890" s="36"/>
      <c r="W890" s="36"/>
      <c r="X890" s="36"/>
      <c r="Y890" s="36"/>
      <c r="Z890" s="36"/>
      <c r="AA890" s="36"/>
      <c r="AB890" s="36"/>
      <c r="AC890" s="36"/>
      <c r="AD890" s="36"/>
      <c r="AE890" s="36"/>
      <c r="AR890" s="192" t="s">
        <v>386</v>
      </c>
      <c r="AT890" s="192" t="s">
        <v>382</v>
      </c>
      <c r="AU890" s="192" t="s">
        <v>82</v>
      </c>
      <c r="AY890" s="19" t="s">
        <v>380</v>
      </c>
      <c r="BE890" s="193">
        <f>IF(N890="základní",J890,0)</f>
        <v>0</v>
      </c>
      <c r="BF890" s="193">
        <f>IF(N890="snížená",J890,0)</f>
        <v>0</v>
      </c>
      <c r="BG890" s="193">
        <f>IF(N890="zákl. přenesená",J890,0)</f>
        <v>0</v>
      </c>
      <c r="BH890" s="193">
        <f>IF(N890="sníž. přenesená",J890,0)</f>
        <v>0</v>
      </c>
      <c r="BI890" s="193">
        <f>IF(N890="nulová",J890,0)</f>
        <v>0</v>
      </c>
      <c r="BJ890" s="19" t="s">
        <v>79</v>
      </c>
      <c r="BK890" s="193">
        <f>ROUND(I890*H890,2)</f>
        <v>0</v>
      </c>
      <c r="BL890" s="19" t="s">
        <v>386</v>
      </c>
      <c r="BM890" s="192" t="s">
        <v>1325</v>
      </c>
    </row>
    <row r="891" spans="1:65" s="13" customFormat="1" ht="11.25">
      <c r="B891" s="194"/>
      <c r="C891" s="195"/>
      <c r="D891" s="196" t="s">
        <v>388</v>
      </c>
      <c r="E891" s="197" t="s">
        <v>19</v>
      </c>
      <c r="F891" s="198" t="s">
        <v>1326</v>
      </c>
      <c r="G891" s="195"/>
      <c r="H891" s="197" t="s">
        <v>19</v>
      </c>
      <c r="I891" s="199"/>
      <c r="J891" s="195"/>
      <c r="K891" s="195"/>
      <c r="L891" s="200"/>
      <c r="M891" s="201"/>
      <c r="N891" s="202"/>
      <c r="O891" s="202"/>
      <c r="P891" s="202"/>
      <c r="Q891" s="202"/>
      <c r="R891" s="202"/>
      <c r="S891" s="202"/>
      <c r="T891" s="203"/>
      <c r="AT891" s="204" t="s">
        <v>388</v>
      </c>
      <c r="AU891" s="204" t="s">
        <v>82</v>
      </c>
      <c r="AV891" s="13" t="s">
        <v>79</v>
      </c>
      <c r="AW891" s="13" t="s">
        <v>33</v>
      </c>
      <c r="AX891" s="13" t="s">
        <v>72</v>
      </c>
      <c r="AY891" s="204" t="s">
        <v>380</v>
      </c>
    </row>
    <row r="892" spans="1:65" s="13" customFormat="1" ht="11.25">
      <c r="B892" s="194"/>
      <c r="C892" s="195"/>
      <c r="D892" s="196" t="s">
        <v>388</v>
      </c>
      <c r="E892" s="197" t="s">
        <v>19</v>
      </c>
      <c r="F892" s="198" t="s">
        <v>583</v>
      </c>
      <c r="G892" s="195"/>
      <c r="H892" s="197" t="s">
        <v>19</v>
      </c>
      <c r="I892" s="199"/>
      <c r="J892" s="195"/>
      <c r="K892" s="195"/>
      <c r="L892" s="200"/>
      <c r="M892" s="201"/>
      <c r="N892" s="202"/>
      <c r="O892" s="202"/>
      <c r="P892" s="202"/>
      <c r="Q892" s="202"/>
      <c r="R892" s="202"/>
      <c r="S892" s="202"/>
      <c r="T892" s="203"/>
      <c r="AT892" s="204" t="s">
        <v>388</v>
      </c>
      <c r="AU892" s="204" t="s">
        <v>82</v>
      </c>
      <c r="AV892" s="13" t="s">
        <v>79</v>
      </c>
      <c r="AW892" s="13" t="s">
        <v>33</v>
      </c>
      <c r="AX892" s="13" t="s">
        <v>72</v>
      </c>
      <c r="AY892" s="204" t="s">
        <v>380</v>
      </c>
    </row>
    <row r="893" spans="1:65" s="14" customFormat="1" ht="11.25">
      <c r="B893" s="205"/>
      <c r="C893" s="206"/>
      <c r="D893" s="196" t="s">
        <v>388</v>
      </c>
      <c r="E893" s="207" t="s">
        <v>19</v>
      </c>
      <c r="F893" s="208" t="s">
        <v>1327</v>
      </c>
      <c r="G893" s="206"/>
      <c r="H893" s="209">
        <v>1132.4000000000001</v>
      </c>
      <c r="I893" s="210"/>
      <c r="J893" s="206"/>
      <c r="K893" s="206"/>
      <c r="L893" s="211"/>
      <c r="M893" s="212"/>
      <c r="N893" s="213"/>
      <c r="O893" s="213"/>
      <c r="P893" s="213"/>
      <c r="Q893" s="213"/>
      <c r="R893" s="213"/>
      <c r="S893" s="213"/>
      <c r="T893" s="214"/>
      <c r="AT893" s="215" t="s">
        <v>388</v>
      </c>
      <c r="AU893" s="215" t="s">
        <v>82</v>
      </c>
      <c r="AV893" s="14" t="s">
        <v>82</v>
      </c>
      <c r="AW893" s="14" t="s">
        <v>33</v>
      </c>
      <c r="AX893" s="14" t="s">
        <v>72</v>
      </c>
      <c r="AY893" s="215" t="s">
        <v>380</v>
      </c>
    </row>
    <row r="894" spans="1:65" s="13" customFormat="1" ht="11.25">
      <c r="B894" s="194"/>
      <c r="C894" s="195"/>
      <c r="D894" s="196" t="s">
        <v>388</v>
      </c>
      <c r="E894" s="197" t="s">
        <v>19</v>
      </c>
      <c r="F894" s="198" t="s">
        <v>569</v>
      </c>
      <c r="G894" s="195"/>
      <c r="H894" s="197" t="s">
        <v>19</v>
      </c>
      <c r="I894" s="199"/>
      <c r="J894" s="195"/>
      <c r="K894" s="195"/>
      <c r="L894" s="200"/>
      <c r="M894" s="201"/>
      <c r="N894" s="202"/>
      <c r="O894" s="202"/>
      <c r="P894" s="202"/>
      <c r="Q894" s="202"/>
      <c r="R894" s="202"/>
      <c r="S894" s="202"/>
      <c r="T894" s="203"/>
      <c r="AT894" s="204" t="s">
        <v>388</v>
      </c>
      <c r="AU894" s="204" t="s">
        <v>82</v>
      </c>
      <c r="AV894" s="13" t="s">
        <v>79</v>
      </c>
      <c r="AW894" s="13" t="s">
        <v>33</v>
      </c>
      <c r="AX894" s="13" t="s">
        <v>72</v>
      </c>
      <c r="AY894" s="204" t="s">
        <v>380</v>
      </c>
    </row>
    <row r="895" spans="1:65" s="14" customFormat="1" ht="11.25">
      <c r="B895" s="205"/>
      <c r="C895" s="206"/>
      <c r="D895" s="196" t="s">
        <v>388</v>
      </c>
      <c r="E895" s="207" t="s">
        <v>19</v>
      </c>
      <c r="F895" s="208" t="s">
        <v>1328</v>
      </c>
      <c r="G895" s="206"/>
      <c r="H895" s="209">
        <v>1140.3</v>
      </c>
      <c r="I895" s="210"/>
      <c r="J895" s="206"/>
      <c r="K895" s="206"/>
      <c r="L895" s="211"/>
      <c r="M895" s="212"/>
      <c r="N895" s="213"/>
      <c r="O895" s="213"/>
      <c r="P895" s="213"/>
      <c r="Q895" s="213"/>
      <c r="R895" s="213"/>
      <c r="S895" s="213"/>
      <c r="T895" s="214"/>
      <c r="AT895" s="215" t="s">
        <v>388</v>
      </c>
      <c r="AU895" s="215" t="s">
        <v>82</v>
      </c>
      <c r="AV895" s="14" t="s">
        <v>82</v>
      </c>
      <c r="AW895" s="14" t="s">
        <v>33</v>
      </c>
      <c r="AX895" s="14" t="s">
        <v>72</v>
      </c>
      <c r="AY895" s="215" t="s">
        <v>380</v>
      </c>
    </row>
    <row r="896" spans="1:65" s="13" customFormat="1" ht="11.25">
      <c r="B896" s="194"/>
      <c r="C896" s="195"/>
      <c r="D896" s="196" t="s">
        <v>388</v>
      </c>
      <c r="E896" s="197" t="s">
        <v>19</v>
      </c>
      <c r="F896" s="198" t="s">
        <v>573</v>
      </c>
      <c r="G896" s="195"/>
      <c r="H896" s="197" t="s">
        <v>19</v>
      </c>
      <c r="I896" s="199"/>
      <c r="J896" s="195"/>
      <c r="K896" s="195"/>
      <c r="L896" s="200"/>
      <c r="M896" s="201"/>
      <c r="N896" s="202"/>
      <c r="O896" s="202"/>
      <c r="P896" s="202"/>
      <c r="Q896" s="202"/>
      <c r="R896" s="202"/>
      <c r="S896" s="202"/>
      <c r="T896" s="203"/>
      <c r="AT896" s="204" t="s">
        <v>388</v>
      </c>
      <c r="AU896" s="204" t="s">
        <v>82</v>
      </c>
      <c r="AV896" s="13" t="s">
        <v>79</v>
      </c>
      <c r="AW896" s="13" t="s">
        <v>33</v>
      </c>
      <c r="AX896" s="13" t="s">
        <v>72</v>
      </c>
      <c r="AY896" s="204" t="s">
        <v>380</v>
      </c>
    </row>
    <row r="897" spans="1:65" s="14" customFormat="1" ht="11.25">
      <c r="B897" s="205"/>
      <c r="C897" s="206"/>
      <c r="D897" s="196" t="s">
        <v>388</v>
      </c>
      <c r="E897" s="207" t="s">
        <v>19</v>
      </c>
      <c r="F897" s="208" t="s">
        <v>1329</v>
      </c>
      <c r="G897" s="206"/>
      <c r="H897" s="209">
        <v>1140.9000000000001</v>
      </c>
      <c r="I897" s="210"/>
      <c r="J897" s="206"/>
      <c r="K897" s="206"/>
      <c r="L897" s="211"/>
      <c r="M897" s="212"/>
      <c r="N897" s="213"/>
      <c r="O897" s="213"/>
      <c r="P897" s="213"/>
      <c r="Q897" s="213"/>
      <c r="R897" s="213"/>
      <c r="S897" s="213"/>
      <c r="T897" s="214"/>
      <c r="AT897" s="215" t="s">
        <v>388</v>
      </c>
      <c r="AU897" s="215" t="s">
        <v>82</v>
      </c>
      <c r="AV897" s="14" t="s">
        <v>82</v>
      </c>
      <c r="AW897" s="14" t="s">
        <v>33</v>
      </c>
      <c r="AX897" s="14" t="s">
        <v>72</v>
      </c>
      <c r="AY897" s="215" t="s">
        <v>380</v>
      </c>
    </row>
    <row r="898" spans="1:65" s="13" customFormat="1" ht="11.25">
      <c r="B898" s="194"/>
      <c r="C898" s="195"/>
      <c r="D898" s="196" t="s">
        <v>388</v>
      </c>
      <c r="E898" s="197" t="s">
        <v>19</v>
      </c>
      <c r="F898" s="198" t="s">
        <v>576</v>
      </c>
      <c r="G898" s="195"/>
      <c r="H898" s="197" t="s">
        <v>19</v>
      </c>
      <c r="I898" s="199"/>
      <c r="J898" s="195"/>
      <c r="K898" s="195"/>
      <c r="L898" s="200"/>
      <c r="M898" s="201"/>
      <c r="N898" s="202"/>
      <c r="O898" s="202"/>
      <c r="P898" s="202"/>
      <c r="Q898" s="202"/>
      <c r="R898" s="202"/>
      <c r="S898" s="202"/>
      <c r="T898" s="203"/>
      <c r="AT898" s="204" t="s">
        <v>388</v>
      </c>
      <c r="AU898" s="204" t="s">
        <v>82</v>
      </c>
      <c r="AV898" s="13" t="s">
        <v>79</v>
      </c>
      <c r="AW898" s="13" t="s">
        <v>33</v>
      </c>
      <c r="AX898" s="13" t="s">
        <v>72</v>
      </c>
      <c r="AY898" s="204" t="s">
        <v>380</v>
      </c>
    </row>
    <row r="899" spans="1:65" s="14" customFormat="1" ht="11.25">
      <c r="B899" s="205"/>
      <c r="C899" s="206"/>
      <c r="D899" s="196" t="s">
        <v>388</v>
      </c>
      <c r="E899" s="207" t="s">
        <v>19</v>
      </c>
      <c r="F899" s="208" t="s">
        <v>1330</v>
      </c>
      <c r="G899" s="206"/>
      <c r="H899" s="209">
        <v>350.7</v>
      </c>
      <c r="I899" s="210"/>
      <c r="J899" s="206"/>
      <c r="K899" s="206"/>
      <c r="L899" s="211"/>
      <c r="M899" s="212"/>
      <c r="N899" s="213"/>
      <c r="O899" s="213"/>
      <c r="P899" s="213"/>
      <c r="Q899" s="213"/>
      <c r="R899" s="213"/>
      <c r="S899" s="213"/>
      <c r="T899" s="214"/>
      <c r="AT899" s="215" t="s">
        <v>388</v>
      </c>
      <c r="AU899" s="215" t="s">
        <v>82</v>
      </c>
      <c r="AV899" s="14" t="s">
        <v>82</v>
      </c>
      <c r="AW899" s="14" t="s">
        <v>33</v>
      </c>
      <c r="AX899" s="14" t="s">
        <v>72</v>
      </c>
      <c r="AY899" s="215" t="s">
        <v>380</v>
      </c>
    </row>
    <row r="900" spans="1:65" s="15" customFormat="1" ht="11.25">
      <c r="B900" s="216"/>
      <c r="C900" s="217"/>
      <c r="D900" s="196" t="s">
        <v>388</v>
      </c>
      <c r="E900" s="218" t="s">
        <v>19</v>
      </c>
      <c r="F900" s="219" t="s">
        <v>419</v>
      </c>
      <c r="G900" s="217"/>
      <c r="H900" s="220">
        <v>3764.3</v>
      </c>
      <c r="I900" s="221"/>
      <c r="J900" s="217"/>
      <c r="K900" s="217"/>
      <c r="L900" s="222"/>
      <c r="M900" s="223"/>
      <c r="N900" s="224"/>
      <c r="O900" s="224"/>
      <c r="P900" s="224"/>
      <c r="Q900" s="224"/>
      <c r="R900" s="224"/>
      <c r="S900" s="224"/>
      <c r="T900" s="225"/>
      <c r="AT900" s="226" t="s">
        <v>388</v>
      </c>
      <c r="AU900" s="226" t="s">
        <v>82</v>
      </c>
      <c r="AV900" s="15" t="s">
        <v>386</v>
      </c>
      <c r="AW900" s="15" t="s">
        <v>33</v>
      </c>
      <c r="AX900" s="15" t="s">
        <v>79</v>
      </c>
      <c r="AY900" s="226" t="s">
        <v>380</v>
      </c>
    </row>
    <row r="901" spans="1:65" s="2" customFormat="1" ht="21.75" customHeight="1">
      <c r="A901" s="36"/>
      <c r="B901" s="37"/>
      <c r="C901" s="181" t="s">
        <v>1331</v>
      </c>
      <c r="D901" s="181" t="s">
        <v>382</v>
      </c>
      <c r="E901" s="182" t="s">
        <v>1332</v>
      </c>
      <c r="F901" s="183" t="s">
        <v>1333</v>
      </c>
      <c r="G901" s="184" t="s">
        <v>1334</v>
      </c>
      <c r="H901" s="185">
        <v>300</v>
      </c>
      <c r="I901" s="186"/>
      <c r="J901" s="187">
        <f>ROUND(I901*H901,2)</f>
        <v>0</v>
      </c>
      <c r="K901" s="183" t="s">
        <v>19</v>
      </c>
      <c r="L901" s="41"/>
      <c r="M901" s="188" t="s">
        <v>19</v>
      </c>
      <c r="N901" s="189" t="s">
        <v>43</v>
      </c>
      <c r="O901" s="66"/>
      <c r="P901" s="190">
        <f>O901*H901</f>
        <v>0</v>
      </c>
      <c r="Q901" s="190">
        <v>0</v>
      </c>
      <c r="R901" s="190">
        <f>Q901*H901</f>
        <v>0</v>
      </c>
      <c r="S901" s="190">
        <v>0</v>
      </c>
      <c r="T901" s="191">
        <f>S901*H901</f>
        <v>0</v>
      </c>
      <c r="U901" s="36"/>
      <c r="V901" s="36"/>
      <c r="W901" s="36"/>
      <c r="X901" s="36"/>
      <c r="Y901" s="36"/>
      <c r="Z901" s="36"/>
      <c r="AA901" s="36"/>
      <c r="AB901" s="36"/>
      <c r="AC901" s="36"/>
      <c r="AD901" s="36"/>
      <c r="AE901" s="36"/>
      <c r="AR901" s="192" t="s">
        <v>386</v>
      </c>
      <c r="AT901" s="192" t="s">
        <v>382</v>
      </c>
      <c r="AU901" s="192" t="s">
        <v>82</v>
      </c>
      <c r="AY901" s="19" t="s">
        <v>380</v>
      </c>
      <c r="BE901" s="193">
        <f>IF(N901="základní",J901,0)</f>
        <v>0</v>
      </c>
      <c r="BF901" s="193">
        <f>IF(N901="snížená",J901,0)</f>
        <v>0</v>
      </c>
      <c r="BG901" s="193">
        <f>IF(N901="zákl. přenesená",J901,0)</f>
        <v>0</v>
      </c>
      <c r="BH901" s="193">
        <f>IF(N901="sníž. přenesená",J901,0)</f>
        <v>0</v>
      </c>
      <c r="BI901" s="193">
        <f>IF(N901="nulová",J901,0)</f>
        <v>0</v>
      </c>
      <c r="BJ901" s="19" t="s">
        <v>79</v>
      </c>
      <c r="BK901" s="193">
        <f>ROUND(I901*H901,2)</f>
        <v>0</v>
      </c>
      <c r="BL901" s="19" t="s">
        <v>386</v>
      </c>
      <c r="BM901" s="192" t="s">
        <v>1335</v>
      </c>
    </row>
    <row r="902" spans="1:65" s="13" customFormat="1" ht="11.25">
      <c r="B902" s="194"/>
      <c r="C902" s="195"/>
      <c r="D902" s="196" t="s">
        <v>388</v>
      </c>
      <c r="E902" s="197" t="s">
        <v>19</v>
      </c>
      <c r="F902" s="198" t="s">
        <v>1336</v>
      </c>
      <c r="G902" s="195"/>
      <c r="H902" s="197" t="s">
        <v>19</v>
      </c>
      <c r="I902" s="199"/>
      <c r="J902" s="195"/>
      <c r="K902" s="195"/>
      <c r="L902" s="200"/>
      <c r="M902" s="201"/>
      <c r="N902" s="202"/>
      <c r="O902" s="202"/>
      <c r="P902" s="202"/>
      <c r="Q902" s="202"/>
      <c r="R902" s="202"/>
      <c r="S902" s="202"/>
      <c r="T902" s="203"/>
      <c r="AT902" s="204" t="s">
        <v>388</v>
      </c>
      <c r="AU902" s="204" t="s">
        <v>82</v>
      </c>
      <c r="AV902" s="13" t="s">
        <v>79</v>
      </c>
      <c r="AW902" s="13" t="s">
        <v>33</v>
      </c>
      <c r="AX902" s="13" t="s">
        <v>72</v>
      </c>
      <c r="AY902" s="204" t="s">
        <v>380</v>
      </c>
    </row>
    <row r="903" spans="1:65" s="14" customFormat="1" ht="11.25">
      <c r="B903" s="205"/>
      <c r="C903" s="206"/>
      <c r="D903" s="196" t="s">
        <v>388</v>
      </c>
      <c r="E903" s="207" t="s">
        <v>19</v>
      </c>
      <c r="F903" s="208" t="s">
        <v>1337</v>
      </c>
      <c r="G903" s="206"/>
      <c r="H903" s="209">
        <v>300</v>
      </c>
      <c r="I903" s="210"/>
      <c r="J903" s="206"/>
      <c r="K903" s="206"/>
      <c r="L903" s="211"/>
      <c r="M903" s="212"/>
      <c r="N903" s="213"/>
      <c r="O903" s="213"/>
      <c r="P903" s="213"/>
      <c r="Q903" s="213"/>
      <c r="R903" s="213"/>
      <c r="S903" s="213"/>
      <c r="T903" s="214"/>
      <c r="AT903" s="215" t="s">
        <v>388</v>
      </c>
      <c r="AU903" s="215" t="s">
        <v>82</v>
      </c>
      <c r="AV903" s="14" t="s">
        <v>82</v>
      </c>
      <c r="AW903" s="14" t="s">
        <v>33</v>
      </c>
      <c r="AX903" s="14" t="s">
        <v>79</v>
      </c>
      <c r="AY903" s="215" t="s">
        <v>380</v>
      </c>
    </row>
    <row r="904" spans="1:65" s="12" customFormat="1" ht="22.9" customHeight="1">
      <c r="B904" s="165"/>
      <c r="C904" s="166"/>
      <c r="D904" s="167" t="s">
        <v>71</v>
      </c>
      <c r="E904" s="179" t="s">
        <v>1338</v>
      </c>
      <c r="F904" s="179" t="s">
        <v>1339</v>
      </c>
      <c r="G904" s="166"/>
      <c r="H904" s="166"/>
      <c r="I904" s="169"/>
      <c r="J904" s="180">
        <f>BK904</f>
        <v>0</v>
      </c>
      <c r="K904" s="166"/>
      <c r="L904" s="171"/>
      <c r="M904" s="172"/>
      <c r="N904" s="173"/>
      <c r="O904" s="173"/>
      <c r="P904" s="174">
        <f>P905</f>
        <v>0</v>
      </c>
      <c r="Q904" s="173"/>
      <c r="R904" s="174">
        <f>R905</f>
        <v>0</v>
      </c>
      <c r="S904" s="173"/>
      <c r="T904" s="175">
        <f>T905</f>
        <v>0</v>
      </c>
      <c r="AR904" s="176" t="s">
        <v>79</v>
      </c>
      <c r="AT904" s="177" t="s">
        <v>71</v>
      </c>
      <c r="AU904" s="177" t="s">
        <v>79</v>
      </c>
      <c r="AY904" s="176" t="s">
        <v>380</v>
      </c>
      <c r="BK904" s="178">
        <f>BK905</f>
        <v>0</v>
      </c>
    </row>
    <row r="905" spans="1:65" s="2" customFormat="1" ht="37.9" customHeight="1">
      <c r="A905" s="36"/>
      <c r="B905" s="37"/>
      <c r="C905" s="181" t="s">
        <v>1340</v>
      </c>
      <c r="D905" s="181" t="s">
        <v>382</v>
      </c>
      <c r="E905" s="182" t="s">
        <v>1341</v>
      </c>
      <c r="F905" s="183" t="s">
        <v>1342</v>
      </c>
      <c r="G905" s="184" t="s">
        <v>437</v>
      </c>
      <c r="H905" s="185">
        <v>7725.97</v>
      </c>
      <c r="I905" s="186"/>
      <c r="J905" s="187">
        <f>ROUND(I905*H905,2)</f>
        <v>0</v>
      </c>
      <c r="K905" s="183" t="s">
        <v>399</v>
      </c>
      <c r="L905" s="41"/>
      <c r="M905" s="188" t="s">
        <v>19</v>
      </c>
      <c r="N905" s="189" t="s">
        <v>43</v>
      </c>
      <c r="O905" s="66"/>
      <c r="P905" s="190">
        <f>O905*H905</f>
        <v>0</v>
      </c>
      <c r="Q905" s="190">
        <v>0</v>
      </c>
      <c r="R905" s="190">
        <f>Q905*H905</f>
        <v>0</v>
      </c>
      <c r="S905" s="190">
        <v>0</v>
      </c>
      <c r="T905" s="191">
        <f>S905*H905</f>
        <v>0</v>
      </c>
      <c r="U905" s="36"/>
      <c r="V905" s="36"/>
      <c r="W905" s="36"/>
      <c r="X905" s="36"/>
      <c r="Y905" s="36"/>
      <c r="Z905" s="36"/>
      <c r="AA905" s="36"/>
      <c r="AB905" s="36"/>
      <c r="AC905" s="36"/>
      <c r="AD905" s="36"/>
      <c r="AE905" s="36"/>
      <c r="AR905" s="192" t="s">
        <v>386</v>
      </c>
      <c r="AT905" s="192" t="s">
        <v>382</v>
      </c>
      <c r="AU905" s="192" t="s">
        <v>82</v>
      </c>
      <c r="AY905" s="19" t="s">
        <v>380</v>
      </c>
      <c r="BE905" s="193">
        <f>IF(N905="základní",J905,0)</f>
        <v>0</v>
      </c>
      <c r="BF905" s="193">
        <f>IF(N905="snížená",J905,0)</f>
        <v>0</v>
      </c>
      <c r="BG905" s="193">
        <f>IF(N905="zákl. přenesená",J905,0)</f>
        <v>0</v>
      </c>
      <c r="BH905" s="193">
        <f>IF(N905="sníž. přenesená",J905,0)</f>
        <v>0</v>
      </c>
      <c r="BI905" s="193">
        <f>IF(N905="nulová",J905,0)</f>
        <v>0</v>
      </c>
      <c r="BJ905" s="19" t="s">
        <v>79</v>
      </c>
      <c r="BK905" s="193">
        <f>ROUND(I905*H905,2)</f>
        <v>0</v>
      </c>
      <c r="BL905" s="19" t="s">
        <v>386</v>
      </c>
      <c r="BM905" s="192" t="s">
        <v>1343</v>
      </c>
    </row>
    <row r="906" spans="1:65" s="12" customFormat="1" ht="25.9" customHeight="1">
      <c r="B906" s="165"/>
      <c r="C906" s="166"/>
      <c r="D906" s="167" t="s">
        <v>71</v>
      </c>
      <c r="E906" s="168" t="s">
        <v>1344</v>
      </c>
      <c r="F906" s="168" t="s">
        <v>1345</v>
      </c>
      <c r="G906" s="166"/>
      <c r="H906" s="166"/>
      <c r="I906" s="169"/>
      <c r="J906" s="170">
        <f>BK906</f>
        <v>0</v>
      </c>
      <c r="K906" s="166"/>
      <c r="L906" s="171"/>
      <c r="M906" s="172"/>
      <c r="N906" s="173"/>
      <c r="O906" s="173"/>
      <c r="P906" s="174">
        <f>P907+P946+P1122+P1289+P1318+P1347+P1380+P1389+P1393+P1422+P1426+P1440+P1470+P1491+P1506+P1562+P1573+P1596</f>
        <v>0</v>
      </c>
      <c r="Q906" s="173"/>
      <c r="R906" s="174">
        <f>R907+R946+R1122+R1289+R1318+R1347+R1380+R1389+R1393+R1422+R1426+R1440+R1470+R1491+R1506+R1562+R1573+R1596</f>
        <v>125.7691327988184</v>
      </c>
      <c r="S906" s="173"/>
      <c r="T906" s="175">
        <f>T907+T946+T1122+T1289+T1318+T1347+T1380+T1389+T1393+T1422+T1426+T1440+T1470+T1491+T1506+T1562+T1573+T1596</f>
        <v>0</v>
      </c>
      <c r="AR906" s="176" t="s">
        <v>82</v>
      </c>
      <c r="AT906" s="177" t="s">
        <v>71</v>
      </c>
      <c r="AU906" s="177" t="s">
        <v>72</v>
      </c>
      <c r="AY906" s="176" t="s">
        <v>380</v>
      </c>
      <c r="BK906" s="178">
        <f>BK907+BK946+BK1122+BK1289+BK1318+BK1347+BK1380+BK1389+BK1393+BK1422+BK1426+BK1440+BK1470+BK1491+BK1506+BK1562+BK1573+BK1596</f>
        <v>0</v>
      </c>
    </row>
    <row r="907" spans="1:65" s="12" customFormat="1" ht="22.9" customHeight="1">
      <c r="B907" s="165"/>
      <c r="C907" s="166"/>
      <c r="D907" s="167" t="s">
        <v>71</v>
      </c>
      <c r="E907" s="179" t="s">
        <v>1346</v>
      </c>
      <c r="F907" s="179" t="s">
        <v>1347</v>
      </c>
      <c r="G907" s="166"/>
      <c r="H907" s="166"/>
      <c r="I907" s="169"/>
      <c r="J907" s="180">
        <f>BK907</f>
        <v>0</v>
      </c>
      <c r="K907" s="166"/>
      <c r="L907" s="171"/>
      <c r="M907" s="172"/>
      <c r="N907" s="173"/>
      <c r="O907" s="173"/>
      <c r="P907" s="174">
        <f>SUM(P908:P945)</f>
        <v>0</v>
      </c>
      <c r="Q907" s="173"/>
      <c r="R907" s="174">
        <f>SUM(R908:R945)</f>
        <v>3.2924381300000003</v>
      </c>
      <c r="S907" s="173"/>
      <c r="T907" s="175">
        <f>SUM(T908:T945)</f>
        <v>0</v>
      </c>
      <c r="AR907" s="176" t="s">
        <v>82</v>
      </c>
      <c r="AT907" s="177" t="s">
        <v>71</v>
      </c>
      <c r="AU907" s="177" t="s">
        <v>79</v>
      </c>
      <c r="AY907" s="176" t="s">
        <v>380</v>
      </c>
      <c r="BK907" s="178">
        <f>SUM(BK908:BK945)</f>
        <v>0</v>
      </c>
    </row>
    <row r="908" spans="1:65" s="2" customFormat="1" ht="21.75" customHeight="1">
      <c r="A908" s="36"/>
      <c r="B908" s="37"/>
      <c r="C908" s="181" t="s">
        <v>1348</v>
      </c>
      <c r="D908" s="181" t="s">
        <v>382</v>
      </c>
      <c r="E908" s="182" t="s">
        <v>1349</v>
      </c>
      <c r="F908" s="183" t="s">
        <v>1350</v>
      </c>
      <c r="G908" s="184" t="s">
        <v>398</v>
      </c>
      <c r="H908" s="185">
        <v>1111.8</v>
      </c>
      <c r="I908" s="186"/>
      <c r="J908" s="187">
        <f>ROUND(I908*H908,2)</f>
        <v>0</v>
      </c>
      <c r="K908" s="183" t="s">
        <v>399</v>
      </c>
      <c r="L908" s="41"/>
      <c r="M908" s="188" t="s">
        <v>19</v>
      </c>
      <c r="N908" s="189" t="s">
        <v>43</v>
      </c>
      <c r="O908" s="66"/>
      <c r="P908" s="190">
        <f>O908*H908</f>
        <v>0</v>
      </c>
      <c r="Q908" s="190">
        <v>0</v>
      </c>
      <c r="R908" s="190">
        <f>Q908*H908</f>
        <v>0</v>
      </c>
      <c r="S908" s="190">
        <v>0</v>
      </c>
      <c r="T908" s="191">
        <f>S908*H908</f>
        <v>0</v>
      </c>
      <c r="U908" s="36"/>
      <c r="V908" s="36"/>
      <c r="W908" s="36"/>
      <c r="X908" s="36"/>
      <c r="Y908" s="36"/>
      <c r="Z908" s="36"/>
      <c r="AA908" s="36"/>
      <c r="AB908" s="36"/>
      <c r="AC908" s="36"/>
      <c r="AD908" s="36"/>
      <c r="AE908" s="36"/>
      <c r="AR908" s="192" t="s">
        <v>281</v>
      </c>
      <c r="AT908" s="192" t="s">
        <v>382</v>
      </c>
      <c r="AU908" s="192" t="s">
        <v>82</v>
      </c>
      <c r="AY908" s="19" t="s">
        <v>380</v>
      </c>
      <c r="BE908" s="193">
        <f>IF(N908="základní",J908,0)</f>
        <v>0</v>
      </c>
      <c r="BF908" s="193">
        <f>IF(N908="snížená",J908,0)</f>
        <v>0</v>
      </c>
      <c r="BG908" s="193">
        <f>IF(N908="zákl. přenesená",J908,0)</f>
        <v>0</v>
      </c>
      <c r="BH908" s="193">
        <f>IF(N908="sníž. přenesená",J908,0)</f>
        <v>0</v>
      </c>
      <c r="BI908" s="193">
        <f>IF(N908="nulová",J908,0)</f>
        <v>0</v>
      </c>
      <c r="BJ908" s="19" t="s">
        <v>79</v>
      </c>
      <c r="BK908" s="193">
        <f>ROUND(I908*H908,2)</f>
        <v>0</v>
      </c>
      <c r="BL908" s="19" t="s">
        <v>281</v>
      </c>
      <c r="BM908" s="192" t="s">
        <v>1351</v>
      </c>
    </row>
    <row r="909" spans="1:65" s="14" customFormat="1" ht="11.25">
      <c r="B909" s="205"/>
      <c r="C909" s="206"/>
      <c r="D909" s="196" t="s">
        <v>388</v>
      </c>
      <c r="E909" s="207" t="s">
        <v>19</v>
      </c>
      <c r="F909" s="208" t="s">
        <v>1352</v>
      </c>
      <c r="G909" s="206"/>
      <c r="H909" s="209">
        <v>1111.8</v>
      </c>
      <c r="I909" s="210"/>
      <c r="J909" s="206"/>
      <c r="K909" s="206"/>
      <c r="L909" s="211"/>
      <c r="M909" s="212"/>
      <c r="N909" s="213"/>
      <c r="O909" s="213"/>
      <c r="P909" s="213"/>
      <c r="Q909" s="213"/>
      <c r="R909" s="213"/>
      <c r="S909" s="213"/>
      <c r="T909" s="214"/>
      <c r="AT909" s="215" t="s">
        <v>388</v>
      </c>
      <c r="AU909" s="215" t="s">
        <v>82</v>
      </c>
      <c r="AV909" s="14" t="s">
        <v>82</v>
      </c>
      <c r="AW909" s="14" t="s">
        <v>33</v>
      </c>
      <c r="AX909" s="14" t="s">
        <v>79</v>
      </c>
      <c r="AY909" s="215" t="s">
        <v>380</v>
      </c>
    </row>
    <row r="910" spans="1:65" s="2" customFormat="1" ht="21.75" customHeight="1">
      <c r="A910" s="36"/>
      <c r="B910" s="37"/>
      <c r="C910" s="181" t="s">
        <v>1353</v>
      </c>
      <c r="D910" s="181" t="s">
        <v>382</v>
      </c>
      <c r="E910" s="182" t="s">
        <v>1354</v>
      </c>
      <c r="F910" s="183" t="s">
        <v>1355</v>
      </c>
      <c r="G910" s="184" t="s">
        <v>398</v>
      </c>
      <c r="H910" s="185">
        <v>152.91999999999999</v>
      </c>
      <c r="I910" s="186"/>
      <c r="J910" s="187">
        <f>ROUND(I910*H910,2)</f>
        <v>0</v>
      </c>
      <c r="K910" s="183" t="s">
        <v>399</v>
      </c>
      <c r="L910" s="41"/>
      <c r="M910" s="188" t="s">
        <v>19</v>
      </c>
      <c r="N910" s="189" t="s">
        <v>43</v>
      </c>
      <c r="O910" s="66"/>
      <c r="P910" s="190">
        <f>O910*H910</f>
        <v>0</v>
      </c>
      <c r="Q910" s="190">
        <v>0</v>
      </c>
      <c r="R910" s="190">
        <f>Q910*H910</f>
        <v>0</v>
      </c>
      <c r="S910" s="190">
        <v>0</v>
      </c>
      <c r="T910" s="191">
        <f>S910*H910</f>
        <v>0</v>
      </c>
      <c r="U910" s="36"/>
      <c r="V910" s="36"/>
      <c r="W910" s="36"/>
      <c r="X910" s="36"/>
      <c r="Y910" s="36"/>
      <c r="Z910" s="36"/>
      <c r="AA910" s="36"/>
      <c r="AB910" s="36"/>
      <c r="AC910" s="36"/>
      <c r="AD910" s="36"/>
      <c r="AE910" s="36"/>
      <c r="AR910" s="192" t="s">
        <v>281</v>
      </c>
      <c r="AT910" s="192" t="s">
        <v>382</v>
      </c>
      <c r="AU910" s="192" t="s">
        <v>82</v>
      </c>
      <c r="AY910" s="19" t="s">
        <v>380</v>
      </c>
      <c r="BE910" s="193">
        <f>IF(N910="základní",J910,0)</f>
        <v>0</v>
      </c>
      <c r="BF910" s="193">
        <f>IF(N910="snížená",J910,0)</f>
        <v>0</v>
      </c>
      <c r="BG910" s="193">
        <f>IF(N910="zákl. přenesená",J910,0)</f>
        <v>0</v>
      </c>
      <c r="BH910" s="193">
        <f>IF(N910="sníž. přenesená",J910,0)</f>
        <v>0</v>
      </c>
      <c r="BI910" s="193">
        <f>IF(N910="nulová",J910,0)</f>
        <v>0</v>
      </c>
      <c r="BJ910" s="19" t="s">
        <v>79</v>
      </c>
      <c r="BK910" s="193">
        <f>ROUND(I910*H910,2)</f>
        <v>0</v>
      </c>
      <c r="BL910" s="19" t="s">
        <v>281</v>
      </c>
      <c r="BM910" s="192" t="s">
        <v>1356</v>
      </c>
    </row>
    <row r="911" spans="1:65" s="14" customFormat="1" ht="11.25">
      <c r="B911" s="205"/>
      <c r="C911" s="206"/>
      <c r="D911" s="196" t="s">
        <v>388</v>
      </c>
      <c r="E911" s="207" t="s">
        <v>19</v>
      </c>
      <c r="F911" s="208" t="s">
        <v>1357</v>
      </c>
      <c r="G911" s="206"/>
      <c r="H911" s="209">
        <v>121.616</v>
      </c>
      <c r="I911" s="210"/>
      <c r="J911" s="206"/>
      <c r="K911" s="206"/>
      <c r="L911" s="211"/>
      <c r="M911" s="212"/>
      <c r="N911" s="213"/>
      <c r="O911" s="213"/>
      <c r="P911" s="213"/>
      <c r="Q911" s="213"/>
      <c r="R911" s="213"/>
      <c r="S911" s="213"/>
      <c r="T911" s="214"/>
      <c r="AT911" s="215" t="s">
        <v>388</v>
      </c>
      <c r="AU911" s="215" t="s">
        <v>82</v>
      </c>
      <c r="AV911" s="14" t="s">
        <v>82</v>
      </c>
      <c r="AW911" s="14" t="s">
        <v>33</v>
      </c>
      <c r="AX911" s="14" t="s">
        <v>72</v>
      </c>
      <c r="AY911" s="215" t="s">
        <v>380</v>
      </c>
    </row>
    <row r="912" spans="1:65" s="14" customFormat="1" ht="11.25">
      <c r="B912" s="205"/>
      <c r="C912" s="206"/>
      <c r="D912" s="196" t="s">
        <v>388</v>
      </c>
      <c r="E912" s="207" t="s">
        <v>19</v>
      </c>
      <c r="F912" s="208" t="s">
        <v>539</v>
      </c>
      <c r="G912" s="206"/>
      <c r="H912" s="209">
        <v>31.303999999999998</v>
      </c>
      <c r="I912" s="210"/>
      <c r="J912" s="206"/>
      <c r="K912" s="206"/>
      <c r="L912" s="211"/>
      <c r="M912" s="212"/>
      <c r="N912" s="213"/>
      <c r="O912" s="213"/>
      <c r="P912" s="213"/>
      <c r="Q912" s="213"/>
      <c r="R912" s="213"/>
      <c r="S912" s="213"/>
      <c r="T912" s="214"/>
      <c r="AT912" s="215" t="s">
        <v>388</v>
      </c>
      <c r="AU912" s="215" t="s">
        <v>82</v>
      </c>
      <c r="AV912" s="14" t="s">
        <v>82</v>
      </c>
      <c r="AW912" s="14" t="s">
        <v>33</v>
      </c>
      <c r="AX912" s="14" t="s">
        <v>72</v>
      </c>
      <c r="AY912" s="215" t="s">
        <v>380</v>
      </c>
    </row>
    <row r="913" spans="1:65" s="15" customFormat="1" ht="11.25">
      <c r="B913" s="216"/>
      <c r="C913" s="217"/>
      <c r="D913" s="196" t="s">
        <v>388</v>
      </c>
      <c r="E913" s="218" t="s">
        <v>19</v>
      </c>
      <c r="F913" s="219" t="s">
        <v>419</v>
      </c>
      <c r="G913" s="217"/>
      <c r="H913" s="220">
        <v>152.91999999999999</v>
      </c>
      <c r="I913" s="221"/>
      <c r="J913" s="217"/>
      <c r="K913" s="217"/>
      <c r="L913" s="222"/>
      <c r="M913" s="223"/>
      <c r="N913" s="224"/>
      <c r="O913" s="224"/>
      <c r="P913" s="224"/>
      <c r="Q913" s="224"/>
      <c r="R913" s="224"/>
      <c r="S913" s="224"/>
      <c r="T913" s="225"/>
      <c r="AT913" s="226" t="s">
        <v>388</v>
      </c>
      <c r="AU913" s="226" t="s">
        <v>82</v>
      </c>
      <c r="AV913" s="15" t="s">
        <v>386</v>
      </c>
      <c r="AW913" s="15" t="s">
        <v>33</v>
      </c>
      <c r="AX913" s="15" t="s">
        <v>79</v>
      </c>
      <c r="AY913" s="226" t="s">
        <v>380</v>
      </c>
    </row>
    <row r="914" spans="1:65" s="2" customFormat="1" ht="16.5" customHeight="1">
      <c r="A914" s="36"/>
      <c r="B914" s="37"/>
      <c r="C914" s="227" t="s">
        <v>1358</v>
      </c>
      <c r="D914" s="227" t="s">
        <v>465</v>
      </c>
      <c r="E914" s="228" t="s">
        <v>1359</v>
      </c>
      <c r="F914" s="229" t="s">
        <v>1360</v>
      </c>
      <c r="G914" s="230" t="s">
        <v>437</v>
      </c>
      <c r="H914" s="231">
        <v>0.443</v>
      </c>
      <c r="I914" s="232"/>
      <c r="J914" s="233">
        <f>ROUND(I914*H914,2)</f>
        <v>0</v>
      </c>
      <c r="K914" s="229" t="s">
        <v>399</v>
      </c>
      <c r="L914" s="234"/>
      <c r="M914" s="235" t="s">
        <v>19</v>
      </c>
      <c r="N914" s="236" t="s">
        <v>43</v>
      </c>
      <c r="O914" s="66"/>
      <c r="P914" s="190">
        <f>O914*H914</f>
        <v>0</v>
      </c>
      <c r="Q914" s="190">
        <v>1</v>
      </c>
      <c r="R914" s="190">
        <f>Q914*H914</f>
        <v>0.443</v>
      </c>
      <c r="S914" s="190">
        <v>0</v>
      </c>
      <c r="T914" s="191">
        <f>S914*H914</f>
        <v>0</v>
      </c>
      <c r="U914" s="36"/>
      <c r="V914" s="36"/>
      <c r="W914" s="36"/>
      <c r="X914" s="36"/>
      <c r="Y914" s="36"/>
      <c r="Z914" s="36"/>
      <c r="AA914" s="36"/>
      <c r="AB914" s="36"/>
      <c r="AC914" s="36"/>
      <c r="AD914" s="36"/>
      <c r="AE914" s="36"/>
      <c r="AR914" s="192" t="s">
        <v>546</v>
      </c>
      <c r="AT914" s="192" t="s">
        <v>465</v>
      </c>
      <c r="AU914" s="192" t="s">
        <v>82</v>
      </c>
      <c r="AY914" s="19" t="s">
        <v>380</v>
      </c>
      <c r="BE914" s="193">
        <f>IF(N914="základní",J914,0)</f>
        <v>0</v>
      </c>
      <c r="BF914" s="193">
        <f>IF(N914="snížená",J914,0)</f>
        <v>0</v>
      </c>
      <c r="BG914" s="193">
        <f>IF(N914="zákl. přenesená",J914,0)</f>
        <v>0</v>
      </c>
      <c r="BH914" s="193">
        <f>IF(N914="sníž. přenesená",J914,0)</f>
        <v>0</v>
      </c>
      <c r="BI914" s="193">
        <f>IF(N914="nulová",J914,0)</f>
        <v>0</v>
      </c>
      <c r="BJ914" s="19" t="s">
        <v>79</v>
      </c>
      <c r="BK914" s="193">
        <f>ROUND(I914*H914,2)</f>
        <v>0</v>
      </c>
      <c r="BL914" s="19" t="s">
        <v>281</v>
      </c>
      <c r="BM914" s="192" t="s">
        <v>1361</v>
      </c>
    </row>
    <row r="915" spans="1:65" s="14" customFormat="1" ht="11.25">
      <c r="B915" s="205"/>
      <c r="C915" s="206"/>
      <c r="D915" s="196" t="s">
        <v>388</v>
      </c>
      <c r="E915" s="207" t="s">
        <v>19</v>
      </c>
      <c r="F915" s="208" t="s">
        <v>1362</v>
      </c>
      <c r="G915" s="206"/>
      <c r="H915" s="209">
        <v>0.443</v>
      </c>
      <c r="I915" s="210"/>
      <c r="J915" s="206"/>
      <c r="K915" s="206"/>
      <c r="L915" s="211"/>
      <c r="M915" s="212"/>
      <c r="N915" s="213"/>
      <c r="O915" s="213"/>
      <c r="P915" s="213"/>
      <c r="Q915" s="213"/>
      <c r="R915" s="213"/>
      <c r="S915" s="213"/>
      <c r="T915" s="214"/>
      <c r="AT915" s="215" t="s">
        <v>388</v>
      </c>
      <c r="AU915" s="215" t="s">
        <v>82</v>
      </c>
      <c r="AV915" s="14" t="s">
        <v>82</v>
      </c>
      <c r="AW915" s="14" t="s">
        <v>33</v>
      </c>
      <c r="AX915" s="14" t="s">
        <v>79</v>
      </c>
      <c r="AY915" s="215" t="s">
        <v>380</v>
      </c>
    </row>
    <row r="916" spans="1:65" s="2" customFormat="1" ht="16.5" customHeight="1">
      <c r="A916" s="36"/>
      <c r="B916" s="37"/>
      <c r="C916" s="181" t="s">
        <v>1363</v>
      </c>
      <c r="D916" s="181" t="s">
        <v>382</v>
      </c>
      <c r="E916" s="182" t="s">
        <v>1364</v>
      </c>
      <c r="F916" s="183" t="s">
        <v>1365</v>
      </c>
      <c r="G916" s="184" t="s">
        <v>398</v>
      </c>
      <c r="H916" s="185">
        <v>1111.8</v>
      </c>
      <c r="I916" s="186"/>
      <c r="J916" s="187">
        <f>ROUND(I916*H916,2)</f>
        <v>0</v>
      </c>
      <c r="K916" s="183" t="s">
        <v>399</v>
      </c>
      <c r="L916" s="41"/>
      <c r="M916" s="188" t="s">
        <v>19</v>
      </c>
      <c r="N916" s="189" t="s">
        <v>43</v>
      </c>
      <c r="O916" s="66"/>
      <c r="P916" s="190">
        <f>O916*H916</f>
        <v>0</v>
      </c>
      <c r="Q916" s="190">
        <v>3.9825E-4</v>
      </c>
      <c r="R916" s="190">
        <f>Q916*H916</f>
        <v>0.44277434999999998</v>
      </c>
      <c r="S916" s="190">
        <v>0</v>
      </c>
      <c r="T916" s="191">
        <f>S916*H916</f>
        <v>0</v>
      </c>
      <c r="U916" s="36"/>
      <c r="V916" s="36"/>
      <c r="W916" s="36"/>
      <c r="X916" s="36"/>
      <c r="Y916" s="36"/>
      <c r="Z916" s="36"/>
      <c r="AA916" s="36"/>
      <c r="AB916" s="36"/>
      <c r="AC916" s="36"/>
      <c r="AD916" s="36"/>
      <c r="AE916" s="36"/>
      <c r="AR916" s="192" t="s">
        <v>281</v>
      </c>
      <c r="AT916" s="192" t="s">
        <v>382</v>
      </c>
      <c r="AU916" s="192" t="s">
        <v>82</v>
      </c>
      <c r="AY916" s="19" t="s">
        <v>380</v>
      </c>
      <c r="BE916" s="193">
        <f>IF(N916="základní",J916,0)</f>
        <v>0</v>
      </c>
      <c r="BF916" s="193">
        <f>IF(N916="snížená",J916,0)</f>
        <v>0</v>
      </c>
      <c r="BG916" s="193">
        <f>IF(N916="zákl. přenesená",J916,0)</f>
        <v>0</v>
      </c>
      <c r="BH916" s="193">
        <f>IF(N916="sníž. přenesená",J916,0)</f>
        <v>0</v>
      </c>
      <c r="BI916" s="193">
        <f>IF(N916="nulová",J916,0)</f>
        <v>0</v>
      </c>
      <c r="BJ916" s="19" t="s">
        <v>79</v>
      </c>
      <c r="BK916" s="193">
        <f>ROUND(I916*H916,2)</f>
        <v>0</v>
      </c>
      <c r="BL916" s="19" t="s">
        <v>281</v>
      </c>
      <c r="BM916" s="192" t="s">
        <v>1366</v>
      </c>
    </row>
    <row r="917" spans="1:65" s="14" customFormat="1" ht="11.25">
      <c r="B917" s="205"/>
      <c r="C917" s="206"/>
      <c r="D917" s="196" t="s">
        <v>388</v>
      </c>
      <c r="E917" s="207" t="s">
        <v>19</v>
      </c>
      <c r="F917" s="208" t="s">
        <v>1352</v>
      </c>
      <c r="G917" s="206"/>
      <c r="H917" s="209">
        <v>1111.8</v>
      </c>
      <c r="I917" s="210"/>
      <c r="J917" s="206"/>
      <c r="K917" s="206"/>
      <c r="L917" s="211"/>
      <c r="M917" s="212"/>
      <c r="N917" s="213"/>
      <c r="O917" s="213"/>
      <c r="P917" s="213"/>
      <c r="Q917" s="213"/>
      <c r="R917" s="213"/>
      <c r="S917" s="213"/>
      <c r="T917" s="214"/>
      <c r="AT917" s="215" t="s">
        <v>388</v>
      </c>
      <c r="AU917" s="215" t="s">
        <v>82</v>
      </c>
      <c r="AV917" s="14" t="s">
        <v>82</v>
      </c>
      <c r="AW917" s="14" t="s">
        <v>33</v>
      </c>
      <c r="AX917" s="14" t="s">
        <v>79</v>
      </c>
      <c r="AY917" s="215" t="s">
        <v>380</v>
      </c>
    </row>
    <row r="918" spans="1:65" s="2" customFormat="1" ht="16.5" customHeight="1">
      <c r="A918" s="36"/>
      <c r="B918" s="37"/>
      <c r="C918" s="181" t="s">
        <v>1367</v>
      </c>
      <c r="D918" s="181" t="s">
        <v>382</v>
      </c>
      <c r="E918" s="182" t="s">
        <v>1368</v>
      </c>
      <c r="F918" s="183" t="s">
        <v>1369</v>
      </c>
      <c r="G918" s="184" t="s">
        <v>398</v>
      </c>
      <c r="H918" s="185">
        <v>305.83999999999997</v>
      </c>
      <c r="I918" s="186"/>
      <c r="J918" s="187">
        <f>ROUND(I918*H918,2)</f>
        <v>0</v>
      </c>
      <c r="K918" s="183" t="s">
        <v>399</v>
      </c>
      <c r="L918" s="41"/>
      <c r="M918" s="188" t="s">
        <v>19</v>
      </c>
      <c r="N918" s="189" t="s">
        <v>43</v>
      </c>
      <c r="O918" s="66"/>
      <c r="P918" s="190">
        <f>O918*H918</f>
        <v>0</v>
      </c>
      <c r="Q918" s="190">
        <v>3.9825E-4</v>
      </c>
      <c r="R918" s="190">
        <f>Q918*H918</f>
        <v>0.12180078</v>
      </c>
      <c r="S918" s="190">
        <v>0</v>
      </c>
      <c r="T918" s="191">
        <f>S918*H918</f>
        <v>0</v>
      </c>
      <c r="U918" s="36"/>
      <c r="V918" s="36"/>
      <c r="W918" s="36"/>
      <c r="X918" s="36"/>
      <c r="Y918" s="36"/>
      <c r="Z918" s="36"/>
      <c r="AA918" s="36"/>
      <c r="AB918" s="36"/>
      <c r="AC918" s="36"/>
      <c r="AD918" s="36"/>
      <c r="AE918" s="36"/>
      <c r="AR918" s="192" t="s">
        <v>281</v>
      </c>
      <c r="AT918" s="192" t="s">
        <v>382</v>
      </c>
      <c r="AU918" s="192" t="s">
        <v>82</v>
      </c>
      <c r="AY918" s="19" t="s">
        <v>380</v>
      </c>
      <c r="BE918" s="193">
        <f>IF(N918="základní",J918,0)</f>
        <v>0</v>
      </c>
      <c r="BF918" s="193">
        <f>IF(N918="snížená",J918,0)</f>
        <v>0</v>
      </c>
      <c r="BG918" s="193">
        <f>IF(N918="zákl. přenesená",J918,0)</f>
        <v>0</v>
      </c>
      <c r="BH918" s="193">
        <f>IF(N918="sníž. přenesená",J918,0)</f>
        <v>0</v>
      </c>
      <c r="BI918" s="193">
        <f>IF(N918="nulová",J918,0)</f>
        <v>0</v>
      </c>
      <c r="BJ918" s="19" t="s">
        <v>79</v>
      </c>
      <c r="BK918" s="193">
        <f>ROUND(I918*H918,2)</f>
        <v>0</v>
      </c>
      <c r="BL918" s="19" t="s">
        <v>281</v>
      </c>
      <c r="BM918" s="192" t="s">
        <v>1370</v>
      </c>
    </row>
    <row r="919" spans="1:65" s="14" customFormat="1" ht="11.25">
      <c r="B919" s="205"/>
      <c r="C919" s="206"/>
      <c r="D919" s="196" t="s">
        <v>388</v>
      </c>
      <c r="E919" s="207" t="s">
        <v>19</v>
      </c>
      <c r="F919" s="208" t="s">
        <v>1371</v>
      </c>
      <c r="G919" s="206"/>
      <c r="H919" s="209">
        <v>243.232</v>
      </c>
      <c r="I919" s="210"/>
      <c r="J919" s="206"/>
      <c r="K919" s="206"/>
      <c r="L919" s="211"/>
      <c r="M919" s="212"/>
      <c r="N919" s="213"/>
      <c r="O919" s="213"/>
      <c r="P919" s="213"/>
      <c r="Q919" s="213"/>
      <c r="R919" s="213"/>
      <c r="S919" s="213"/>
      <c r="T919" s="214"/>
      <c r="AT919" s="215" t="s">
        <v>388</v>
      </c>
      <c r="AU919" s="215" t="s">
        <v>82</v>
      </c>
      <c r="AV919" s="14" t="s">
        <v>82</v>
      </c>
      <c r="AW919" s="14" t="s">
        <v>33</v>
      </c>
      <c r="AX919" s="14" t="s">
        <v>72</v>
      </c>
      <c r="AY919" s="215" t="s">
        <v>380</v>
      </c>
    </row>
    <row r="920" spans="1:65" s="14" customFormat="1" ht="11.25">
      <c r="B920" s="205"/>
      <c r="C920" s="206"/>
      <c r="D920" s="196" t="s">
        <v>388</v>
      </c>
      <c r="E920" s="207" t="s">
        <v>19</v>
      </c>
      <c r="F920" s="208" t="s">
        <v>1372</v>
      </c>
      <c r="G920" s="206"/>
      <c r="H920" s="209">
        <v>62.607999999999997</v>
      </c>
      <c r="I920" s="210"/>
      <c r="J920" s="206"/>
      <c r="K920" s="206"/>
      <c r="L920" s="211"/>
      <c r="M920" s="212"/>
      <c r="N920" s="213"/>
      <c r="O920" s="213"/>
      <c r="P920" s="213"/>
      <c r="Q920" s="213"/>
      <c r="R920" s="213"/>
      <c r="S920" s="213"/>
      <c r="T920" s="214"/>
      <c r="AT920" s="215" t="s">
        <v>388</v>
      </c>
      <c r="AU920" s="215" t="s">
        <v>82</v>
      </c>
      <c r="AV920" s="14" t="s">
        <v>82</v>
      </c>
      <c r="AW920" s="14" t="s">
        <v>33</v>
      </c>
      <c r="AX920" s="14" t="s">
        <v>72</v>
      </c>
      <c r="AY920" s="215" t="s">
        <v>380</v>
      </c>
    </row>
    <row r="921" spans="1:65" s="15" customFormat="1" ht="11.25">
      <c r="B921" s="216"/>
      <c r="C921" s="217"/>
      <c r="D921" s="196" t="s">
        <v>388</v>
      </c>
      <c r="E921" s="218" t="s">
        <v>19</v>
      </c>
      <c r="F921" s="219" t="s">
        <v>419</v>
      </c>
      <c r="G921" s="217"/>
      <c r="H921" s="220">
        <v>305.83999999999997</v>
      </c>
      <c r="I921" s="221"/>
      <c r="J921" s="217"/>
      <c r="K921" s="217"/>
      <c r="L921" s="222"/>
      <c r="M921" s="223"/>
      <c r="N921" s="224"/>
      <c r="O921" s="224"/>
      <c r="P921" s="224"/>
      <c r="Q921" s="224"/>
      <c r="R921" s="224"/>
      <c r="S921" s="224"/>
      <c r="T921" s="225"/>
      <c r="AT921" s="226" t="s">
        <v>388</v>
      </c>
      <c r="AU921" s="226" t="s">
        <v>82</v>
      </c>
      <c r="AV921" s="15" t="s">
        <v>386</v>
      </c>
      <c r="AW921" s="15" t="s">
        <v>33</v>
      </c>
      <c r="AX921" s="15" t="s">
        <v>79</v>
      </c>
      <c r="AY921" s="226" t="s">
        <v>380</v>
      </c>
    </row>
    <row r="922" spans="1:65" s="2" customFormat="1" ht="24.2" customHeight="1">
      <c r="A922" s="36"/>
      <c r="B922" s="37"/>
      <c r="C922" s="227" t="s">
        <v>1373</v>
      </c>
      <c r="D922" s="227" t="s">
        <v>465</v>
      </c>
      <c r="E922" s="228" t="s">
        <v>1374</v>
      </c>
      <c r="F922" s="229" t="s">
        <v>1375</v>
      </c>
      <c r="G922" s="230" t="s">
        <v>398</v>
      </c>
      <c r="H922" s="231">
        <v>1462.0740000000001</v>
      </c>
      <c r="I922" s="232"/>
      <c r="J922" s="233">
        <f>ROUND(I922*H922,2)</f>
        <v>0</v>
      </c>
      <c r="K922" s="229" t="s">
        <v>19</v>
      </c>
      <c r="L922" s="234"/>
      <c r="M922" s="235" t="s">
        <v>19</v>
      </c>
      <c r="N922" s="236" t="s">
        <v>43</v>
      </c>
      <c r="O922" s="66"/>
      <c r="P922" s="190">
        <f>O922*H922</f>
        <v>0</v>
      </c>
      <c r="Q922" s="190">
        <v>1E-3</v>
      </c>
      <c r="R922" s="190">
        <f>Q922*H922</f>
        <v>1.4620740000000001</v>
      </c>
      <c r="S922" s="190">
        <v>0</v>
      </c>
      <c r="T922" s="191">
        <f>S922*H922</f>
        <v>0</v>
      </c>
      <c r="U922" s="36"/>
      <c r="V922" s="36"/>
      <c r="W922" s="36"/>
      <c r="X922" s="36"/>
      <c r="Y922" s="36"/>
      <c r="Z922" s="36"/>
      <c r="AA922" s="36"/>
      <c r="AB922" s="36"/>
      <c r="AC922" s="36"/>
      <c r="AD922" s="36"/>
      <c r="AE922" s="36"/>
      <c r="AR922" s="192" t="s">
        <v>546</v>
      </c>
      <c r="AT922" s="192" t="s">
        <v>465</v>
      </c>
      <c r="AU922" s="192" t="s">
        <v>82</v>
      </c>
      <c r="AY922" s="19" t="s">
        <v>380</v>
      </c>
      <c r="BE922" s="193">
        <f>IF(N922="základní",J922,0)</f>
        <v>0</v>
      </c>
      <c r="BF922" s="193">
        <f>IF(N922="snížená",J922,0)</f>
        <v>0</v>
      </c>
      <c r="BG922" s="193">
        <f>IF(N922="zákl. přenesená",J922,0)</f>
        <v>0</v>
      </c>
      <c r="BH922" s="193">
        <f>IF(N922="sníž. přenesená",J922,0)</f>
        <v>0</v>
      </c>
      <c r="BI922" s="193">
        <f>IF(N922="nulová",J922,0)</f>
        <v>0</v>
      </c>
      <c r="BJ922" s="19" t="s">
        <v>79</v>
      </c>
      <c r="BK922" s="193">
        <f>ROUND(I922*H922,2)</f>
        <v>0</v>
      </c>
      <c r="BL922" s="19" t="s">
        <v>281</v>
      </c>
      <c r="BM922" s="192" t="s">
        <v>1376</v>
      </c>
    </row>
    <row r="923" spans="1:65" s="13" customFormat="1" ht="11.25">
      <c r="B923" s="194"/>
      <c r="C923" s="195"/>
      <c r="D923" s="196" t="s">
        <v>388</v>
      </c>
      <c r="E923" s="197" t="s">
        <v>19</v>
      </c>
      <c r="F923" s="198" t="s">
        <v>1377</v>
      </c>
      <c r="G923" s="195"/>
      <c r="H923" s="197" t="s">
        <v>19</v>
      </c>
      <c r="I923" s="199"/>
      <c r="J923" s="195"/>
      <c r="K923" s="195"/>
      <c r="L923" s="200"/>
      <c r="M923" s="201"/>
      <c r="N923" s="202"/>
      <c r="O923" s="202"/>
      <c r="P923" s="202"/>
      <c r="Q923" s="202"/>
      <c r="R923" s="202"/>
      <c r="S923" s="202"/>
      <c r="T923" s="203"/>
      <c r="AT923" s="204" t="s">
        <v>388</v>
      </c>
      <c r="AU923" s="204" t="s">
        <v>82</v>
      </c>
      <c r="AV923" s="13" t="s">
        <v>79</v>
      </c>
      <c r="AW923" s="13" t="s">
        <v>33</v>
      </c>
      <c r="AX923" s="13" t="s">
        <v>72</v>
      </c>
      <c r="AY923" s="204" t="s">
        <v>380</v>
      </c>
    </row>
    <row r="924" spans="1:65" s="14" customFormat="1" ht="11.25">
      <c r="B924" s="205"/>
      <c r="C924" s="206"/>
      <c r="D924" s="196" t="s">
        <v>388</v>
      </c>
      <c r="E924" s="207" t="s">
        <v>19</v>
      </c>
      <c r="F924" s="208" t="s">
        <v>1378</v>
      </c>
      <c r="G924" s="206"/>
      <c r="H924" s="209">
        <v>1278.57</v>
      </c>
      <c r="I924" s="210"/>
      <c r="J924" s="206"/>
      <c r="K924" s="206"/>
      <c r="L924" s="211"/>
      <c r="M924" s="212"/>
      <c r="N924" s="213"/>
      <c r="O924" s="213"/>
      <c r="P924" s="213"/>
      <c r="Q924" s="213"/>
      <c r="R924" s="213"/>
      <c r="S924" s="213"/>
      <c r="T924" s="214"/>
      <c r="AT924" s="215" t="s">
        <v>388</v>
      </c>
      <c r="AU924" s="215" t="s">
        <v>82</v>
      </c>
      <c r="AV924" s="14" t="s">
        <v>82</v>
      </c>
      <c r="AW924" s="14" t="s">
        <v>33</v>
      </c>
      <c r="AX924" s="14" t="s">
        <v>72</v>
      </c>
      <c r="AY924" s="215" t="s">
        <v>380</v>
      </c>
    </row>
    <row r="925" spans="1:65" s="13" customFormat="1" ht="11.25">
      <c r="B925" s="194"/>
      <c r="C925" s="195"/>
      <c r="D925" s="196" t="s">
        <v>388</v>
      </c>
      <c r="E925" s="197" t="s">
        <v>19</v>
      </c>
      <c r="F925" s="198" t="s">
        <v>1379</v>
      </c>
      <c r="G925" s="195"/>
      <c r="H925" s="197" t="s">
        <v>19</v>
      </c>
      <c r="I925" s="199"/>
      <c r="J925" s="195"/>
      <c r="K925" s="195"/>
      <c r="L925" s="200"/>
      <c r="M925" s="201"/>
      <c r="N925" s="202"/>
      <c r="O925" s="202"/>
      <c r="P925" s="202"/>
      <c r="Q925" s="202"/>
      <c r="R925" s="202"/>
      <c r="S925" s="202"/>
      <c r="T925" s="203"/>
      <c r="AT925" s="204" t="s">
        <v>388</v>
      </c>
      <c r="AU925" s="204" t="s">
        <v>82</v>
      </c>
      <c r="AV925" s="13" t="s">
        <v>79</v>
      </c>
      <c r="AW925" s="13" t="s">
        <v>33</v>
      </c>
      <c r="AX925" s="13" t="s">
        <v>72</v>
      </c>
      <c r="AY925" s="204" t="s">
        <v>380</v>
      </c>
    </row>
    <row r="926" spans="1:65" s="14" customFormat="1" ht="11.25">
      <c r="B926" s="205"/>
      <c r="C926" s="206"/>
      <c r="D926" s="196" t="s">
        <v>388</v>
      </c>
      <c r="E926" s="207" t="s">
        <v>19</v>
      </c>
      <c r="F926" s="208" t="s">
        <v>1380</v>
      </c>
      <c r="G926" s="206"/>
      <c r="H926" s="209">
        <v>145.93899999999999</v>
      </c>
      <c r="I926" s="210"/>
      <c r="J926" s="206"/>
      <c r="K926" s="206"/>
      <c r="L926" s="211"/>
      <c r="M926" s="212"/>
      <c r="N926" s="213"/>
      <c r="O926" s="213"/>
      <c r="P926" s="213"/>
      <c r="Q926" s="213"/>
      <c r="R926" s="213"/>
      <c r="S926" s="213"/>
      <c r="T926" s="214"/>
      <c r="AT926" s="215" t="s">
        <v>388</v>
      </c>
      <c r="AU926" s="215" t="s">
        <v>82</v>
      </c>
      <c r="AV926" s="14" t="s">
        <v>82</v>
      </c>
      <c r="AW926" s="14" t="s">
        <v>33</v>
      </c>
      <c r="AX926" s="14" t="s">
        <v>72</v>
      </c>
      <c r="AY926" s="215" t="s">
        <v>380</v>
      </c>
    </row>
    <row r="927" spans="1:65" s="14" customFormat="1" ht="11.25">
      <c r="B927" s="205"/>
      <c r="C927" s="206"/>
      <c r="D927" s="196" t="s">
        <v>388</v>
      </c>
      <c r="E927" s="207" t="s">
        <v>19</v>
      </c>
      <c r="F927" s="208" t="s">
        <v>1381</v>
      </c>
      <c r="G927" s="206"/>
      <c r="H927" s="209">
        <v>37.564999999999998</v>
      </c>
      <c r="I927" s="210"/>
      <c r="J927" s="206"/>
      <c r="K927" s="206"/>
      <c r="L927" s="211"/>
      <c r="M927" s="212"/>
      <c r="N927" s="213"/>
      <c r="O927" s="213"/>
      <c r="P927" s="213"/>
      <c r="Q927" s="213"/>
      <c r="R927" s="213"/>
      <c r="S927" s="213"/>
      <c r="T927" s="214"/>
      <c r="AT927" s="215" t="s">
        <v>388</v>
      </c>
      <c r="AU927" s="215" t="s">
        <v>82</v>
      </c>
      <c r="AV927" s="14" t="s">
        <v>82</v>
      </c>
      <c r="AW927" s="14" t="s">
        <v>33</v>
      </c>
      <c r="AX927" s="14" t="s">
        <v>72</v>
      </c>
      <c r="AY927" s="215" t="s">
        <v>380</v>
      </c>
    </row>
    <row r="928" spans="1:65" s="15" customFormat="1" ht="11.25">
      <c r="B928" s="216"/>
      <c r="C928" s="217"/>
      <c r="D928" s="196" t="s">
        <v>388</v>
      </c>
      <c r="E928" s="218" t="s">
        <v>19</v>
      </c>
      <c r="F928" s="219" t="s">
        <v>419</v>
      </c>
      <c r="G928" s="217"/>
      <c r="H928" s="220">
        <v>1462.0740000000001</v>
      </c>
      <c r="I928" s="221"/>
      <c r="J928" s="217"/>
      <c r="K928" s="217"/>
      <c r="L928" s="222"/>
      <c r="M928" s="223"/>
      <c r="N928" s="224"/>
      <c r="O928" s="224"/>
      <c r="P928" s="224"/>
      <c r="Q928" s="224"/>
      <c r="R928" s="224"/>
      <c r="S928" s="224"/>
      <c r="T928" s="225"/>
      <c r="AT928" s="226" t="s">
        <v>388</v>
      </c>
      <c r="AU928" s="226" t="s">
        <v>82</v>
      </c>
      <c r="AV928" s="15" t="s">
        <v>386</v>
      </c>
      <c r="AW928" s="15" t="s">
        <v>33</v>
      </c>
      <c r="AX928" s="15" t="s">
        <v>79</v>
      </c>
      <c r="AY928" s="226" t="s">
        <v>380</v>
      </c>
    </row>
    <row r="929" spans="1:65" s="2" customFormat="1" ht="24.2" customHeight="1">
      <c r="A929" s="36"/>
      <c r="B929" s="37"/>
      <c r="C929" s="227" t="s">
        <v>1382</v>
      </c>
      <c r="D929" s="227" t="s">
        <v>465</v>
      </c>
      <c r="E929" s="228" t="s">
        <v>1383</v>
      </c>
      <c r="F929" s="229" t="s">
        <v>1384</v>
      </c>
      <c r="G929" s="230" t="s">
        <v>398</v>
      </c>
      <c r="H929" s="231">
        <v>183.50399999999999</v>
      </c>
      <c r="I929" s="232"/>
      <c r="J929" s="233">
        <f>ROUND(I929*H929,2)</f>
        <v>0</v>
      </c>
      <c r="K929" s="229" t="s">
        <v>19</v>
      </c>
      <c r="L929" s="234"/>
      <c r="M929" s="235" t="s">
        <v>19</v>
      </c>
      <c r="N929" s="236" t="s">
        <v>43</v>
      </c>
      <c r="O929" s="66"/>
      <c r="P929" s="190">
        <f>O929*H929</f>
        <v>0</v>
      </c>
      <c r="Q929" s="190">
        <v>1E-3</v>
      </c>
      <c r="R929" s="190">
        <f>Q929*H929</f>
        <v>0.183504</v>
      </c>
      <c r="S929" s="190">
        <v>0</v>
      </c>
      <c r="T929" s="191">
        <f>S929*H929</f>
        <v>0</v>
      </c>
      <c r="U929" s="36"/>
      <c r="V929" s="36"/>
      <c r="W929" s="36"/>
      <c r="X929" s="36"/>
      <c r="Y929" s="36"/>
      <c r="Z929" s="36"/>
      <c r="AA929" s="36"/>
      <c r="AB929" s="36"/>
      <c r="AC929" s="36"/>
      <c r="AD929" s="36"/>
      <c r="AE929" s="36"/>
      <c r="AR929" s="192" t="s">
        <v>546</v>
      </c>
      <c r="AT929" s="192" t="s">
        <v>465</v>
      </c>
      <c r="AU929" s="192" t="s">
        <v>82</v>
      </c>
      <c r="AY929" s="19" t="s">
        <v>380</v>
      </c>
      <c r="BE929" s="193">
        <f>IF(N929="základní",J929,0)</f>
        <v>0</v>
      </c>
      <c r="BF929" s="193">
        <f>IF(N929="snížená",J929,0)</f>
        <v>0</v>
      </c>
      <c r="BG929" s="193">
        <f>IF(N929="zákl. přenesená",J929,0)</f>
        <v>0</v>
      </c>
      <c r="BH929" s="193">
        <f>IF(N929="sníž. přenesená",J929,0)</f>
        <v>0</v>
      </c>
      <c r="BI929" s="193">
        <f>IF(N929="nulová",J929,0)</f>
        <v>0</v>
      </c>
      <c r="BJ929" s="19" t="s">
        <v>79</v>
      </c>
      <c r="BK929" s="193">
        <f>ROUND(I929*H929,2)</f>
        <v>0</v>
      </c>
      <c r="BL929" s="19" t="s">
        <v>281</v>
      </c>
      <c r="BM929" s="192" t="s">
        <v>1385</v>
      </c>
    </row>
    <row r="930" spans="1:65" s="14" customFormat="1" ht="11.25">
      <c r="B930" s="205"/>
      <c r="C930" s="206"/>
      <c r="D930" s="196" t="s">
        <v>388</v>
      </c>
      <c r="E930" s="207" t="s">
        <v>19</v>
      </c>
      <c r="F930" s="208" t="s">
        <v>1380</v>
      </c>
      <c r="G930" s="206"/>
      <c r="H930" s="209">
        <v>145.93899999999999</v>
      </c>
      <c r="I930" s="210"/>
      <c r="J930" s="206"/>
      <c r="K930" s="206"/>
      <c r="L930" s="211"/>
      <c r="M930" s="212"/>
      <c r="N930" s="213"/>
      <c r="O930" s="213"/>
      <c r="P930" s="213"/>
      <c r="Q930" s="213"/>
      <c r="R930" s="213"/>
      <c r="S930" s="213"/>
      <c r="T930" s="214"/>
      <c r="AT930" s="215" t="s">
        <v>388</v>
      </c>
      <c r="AU930" s="215" t="s">
        <v>82</v>
      </c>
      <c r="AV930" s="14" t="s">
        <v>82</v>
      </c>
      <c r="AW930" s="14" t="s">
        <v>33</v>
      </c>
      <c r="AX930" s="14" t="s">
        <v>72</v>
      </c>
      <c r="AY930" s="215" t="s">
        <v>380</v>
      </c>
    </row>
    <row r="931" spans="1:65" s="14" customFormat="1" ht="11.25">
      <c r="B931" s="205"/>
      <c r="C931" s="206"/>
      <c r="D931" s="196" t="s">
        <v>388</v>
      </c>
      <c r="E931" s="207" t="s">
        <v>19</v>
      </c>
      <c r="F931" s="208" t="s">
        <v>1381</v>
      </c>
      <c r="G931" s="206"/>
      <c r="H931" s="209">
        <v>37.564999999999998</v>
      </c>
      <c r="I931" s="210"/>
      <c r="J931" s="206"/>
      <c r="K931" s="206"/>
      <c r="L931" s="211"/>
      <c r="M931" s="212"/>
      <c r="N931" s="213"/>
      <c r="O931" s="213"/>
      <c r="P931" s="213"/>
      <c r="Q931" s="213"/>
      <c r="R931" s="213"/>
      <c r="S931" s="213"/>
      <c r="T931" s="214"/>
      <c r="AT931" s="215" t="s">
        <v>388</v>
      </c>
      <c r="AU931" s="215" t="s">
        <v>82</v>
      </c>
      <c r="AV931" s="14" t="s">
        <v>82</v>
      </c>
      <c r="AW931" s="14" t="s">
        <v>33</v>
      </c>
      <c r="AX931" s="14" t="s">
        <v>72</v>
      </c>
      <c r="AY931" s="215" t="s">
        <v>380</v>
      </c>
    </row>
    <row r="932" spans="1:65" s="15" customFormat="1" ht="11.25">
      <c r="B932" s="216"/>
      <c r="C932" s="217"/>
      <c r="D932" s="196" t="s">
        <v>388</v>
      </c>
      <c r="E932" s="218" t="s">
        <v>19</v>
      </c>
      <c r="F932" s="219" t="s">
        <v>419</v>
      </c>
      <c r="G932" s="217"/>
      <c r="H932" s="220">
        <v>183.50399999999999</v>
      </c>
      <c r="I932" s="221"/>
      <c r="J932" s="217"/>
      <c r="K932" s="217"/>
      <c r="L932" s="222"/>
      <c r="M932" s="223"/>
      <c r="N932" s="224"/>
      <c r="O932" s="224"/>
      <c r="P932" s="224"/>
      <c r="Q932" s="224"/>
      <c r="R932" s="224"/>
      <c r="S932" s="224"/>
      <c r="T932" s="225"/>
      <c r="AT932" s="226" t="s">
        <v>388</v>
      </c>
      <c r="AU932" s="226" t="s">
        <v>82</v>
      </c>
      <c r="AV932" s="15" t="s">
        <v>386</v>
      </c>
      <c r="AW932" s="15" t="s">
        <v>33</v>
      </c>
      <c r="AX932" s="15" t="s">
        <v>79</v>
      </c>
      <c r="AY932" s="226" t="s">
        <v>380</v>
      </c>
    </row>
    <row r="933" spans="1:65" s="2" customFormat="1" ht="24.2" customHeight="1">
      <c r="A933" s="36"/>
      <c r="B933" s="37"/>
      <c r="C933" s="181" t="s">
        <v>1386</v>
      </c>
      <c r="D933" s="181" t="s">
        <v>382</v>
      </c>
      <c r="E933" s="182" t="s">
        <v>1387</v>
      </c>
      <c r="F933" s="183" t="s">
        <v>1388</v>
      </c>
      <c r="G933" s="184" t="s">
        <v>398</v>
      </c>
      <c r="H933" s="185">
        <v>1111.8</v>
      </c>
      <c r="I933" s="186"/>
      <c r="J933" s="187">
        <f>ROUND(I933*H933,2)</f>
        <v>0</v>
      </c>
      <c r="K933" s="183" t="s">
        <v>399</v>
      </c>
      <c r="L933" s="41"/>
      <c r="M933" s="188" t="s">
        <v>19</v>
      </c>
      <c r="N933" s="189" t="s">
        <v>43</v>
      </c>
      <c r="O933" s="66"/>
      <c r="P933" s="190">
        <f>O933*H933</f>
        <v>0</v>
      </c>
      <c r="Q933" s="190">
        <v>0</v>
      </c>
      <c r="R933" s="190">
        <f>Q933*H933</f>
        <v>0</v>
      </c>
      <c r="S933" s="190">
        <v>0</v>
      </c>
      <c r="T933" s="191">
        <f>S933*H933</f>
        <v>0</v>
      </c>
      <c r="U933" s="36"/>
      <c r="V933" s="36"/>
      <c r="W933" s="36"/>
      <c r="X933" s="36"/>
      <c r="Y933" s="36"/>
      <c r="Z933" s="36"/>
      <c r="AA933" s="36"/>
      <c r="AB933" s="36"/>
      <c r="AC933" s="36"/>
      <c r="AD933" s="36"/>
      <c r="AE933" s="36"/>
      <c r="AR933" s="192" t="s">
        <v>281</v>
      </c>
      <c r="AT933" s="192" t="s">
        <v>382</v>
      </c>
      <c r="AU933" s="192" t="s">
        <v>82</v>
      </c>
      <c r="AY933" s="19" t="s">
        <v>380</v>
      </c>
      <c r="BE933" s="193">
        <f>IF(N933="základní",J933,0)</f>
        <v>0</v>
      </c>
      <c r="BF933" s="193">
        <f>IF(N933="snížená",J933,0)</f>
        <v>0</v>
      </c>
      <c r="BG933" s="193">
        <f>IF(N933="zákl. přenesená",J933,0)</f>
        <v>0</v>
      </c>
      <c r="BH933" s="193">
        <f>IF(N933="sníž. přenesená",J933,0)</f>
        <v>0</v>
      </c>
      <c r="BI933" s="193">
        <f>IF(N933="nulová",J933,0)</f>
        <v>0</v>
      </c>
      <c r="BJ933" s="19" t="s">
        <v>79</v>
      </c>
      <c r="BK933" s="193">
        <f>ROUND(I933*H933,2)</f>
        <v>0</v>
      </c>
      <c r="BL933" s="19" t="s">
        <v>281</v>
      </c>
      <c r="BM933" s="192" t="s">
        <v>1389</v>
      </c>
    </row>
    <row r="934" spans="1:65" s="14" customFormat="1" ht="11.25">
      <c r="B934" s="205"/>
      <c r="C934" s="206"/>
      <c r="D934" s="196" t="s">
        <v>388</v>
      </c>
      <c r="E934" s="207" t="s">
        <v>19</v>
      </c>
      <c r="F934" s="208" t="s">
        <v>1352</v>
      </c>
      <c r="G934" s="206"/>
      <c r="H934" s="209">
        <v>1111.8</v>
      </c>
      <c r="I934" s="210"/>
      <c r="J934" s="206"/>
      <c r="K934" s="206"/>
      <c r="L934" s="211"/>
      <c r="M934" s="212"/>
      <c r="N934" s="213"/>
      <c r="O934" s="213"/>
      <c r="P934" s="213"/>
      <c r="Q934" s="213"/>
      <c r="R934" s="213"/>
      <c r="S934" s="213"/>
      <c r="T934" s="214"/>
      <c r="AT934" s="215" t="s">
        <v>388</v>
      </c>
      <c r="AU934" s="215" t="s">
        <v>82</v>
      </c>
      <c r="AV934" s="14" t="s">
        <v>82</v>
      </c>
      <c r="AW934" s="14" t="s">
        <v>33</v>
      </c>
      <c r="AX934" s="14" t="s">
        <v>79</v>
      </c>
      <c r="AY934" s="215" t="s">
        <v>380</v>
      </c>
    </row>
    <row r="935" spans="1:65" s="2" customFormat="1" ht="16.5" customHeight="1">
      <c r="A935" s="36"/>
      <c r="B935" s="37"/>
      <c r="C935" s="227" t="s">
        <v>1390</v>
      </c>
      <c r="D935" s="227" t="s">
        <v>465</v>
      </c>
      <c r="E935" s="228" t="s">
        <v>1391</v>
      </c>
      <c r="F935" s="229" t="s">
        <v>1392</v>
      </c>
      <c r="G935" s="230" t="s">
        <v>398</v>
      </c>
      <c r="H935" s="231">
        <v>1278.57</v>
      </c>
      <c r="I935" s="232"/>
      <c r="J935" s="233">
        <f>ROUND(I935*H935,2)</f>
        <v>0</v>
      </c>
      <c r="K935" s="229" t="s">
        <v>19</v>
      </c>
      <c r="L935" s="234"/>
      <c r="M935" s="235" t="s">
        <v>19</v>
      </c>
      <c r="N935" s="236" t="s">
        <v>43</v>
      </c>
      <c r="O935" s="66"/>
      <c r="P935" s="190">
        <f>O935*H935</f>
        <v>0</v>
      </c>
      <c r="Q935" s="190">
        <v>5.0000000000000001E-4</v>
      </c>
      <c r="R935" s="190">
        <f>Q935*H935</f>
        <v>0.63928499999999999</v>
      </c>
      <c r="S935" s="190">
        <v>0</v>
      </c>
      <c r="T935" s="191">
        <f>S935*H935</f>
        <v>0</v>
      </c>
      <c r="U935" s="36"/>
      <c r="V935" s="36"/>
      <c r="W935" s="36"/>
      <c r="X935" s="36"/>
      <c r="Y935" s="36"/>
      <c r="Z935" s="36"/>
      <c r="AA935" s="36"/>
      <c r="AB935" s="36"/>
      <c r="AC935" s="36"/>
      <c r="AD935" s="36"/>
      <c r="AE935" s="36"/>
      <c r="AR935" s="192" t="s">
        <v>546</v>
      </c>
      <c r="AT935" s="192" t="s">
        <v>465</v>
      </c>
      <c r="AU935" s="192" t="s">
        <v>82</v>
      </c>
      <c r="AY935" s="19" t="s">
        <v>380</v>
      </c>
      <c r="BE935" s="193">
        <f>IF(N935="základní",J935,0)</f>
        <v>0</v>
      </c>
      <c r="BF935" s="193">
        <f>IF(N935="snížená",J935,0)</f>
        <v>0</v>
      </c>
      <c r="BG935" s="193">
        <f>IF(N935="zákl. přenesená",J935,0)</f>
        <v>0</v>
      </c>
      <c r="BH935" s="193">
        <f>IF(N935="sníž. přenesená",J935,0)</f>
        <v>0</v>
      </c>
      <c r="BI935" s="193">
        <f>IF(N935="nulová",J935,0)</f>
        <v>0</v>
      </c>
      <c r="BJ935" s="19" t="s">
        <v>79</v>
      </c>
      <c r="BK935" s="193">
        <f>ROUND(I935*H935,2)</f>
        <v>0</v>
      </c>
      <c r="BL935" s="19" t="s">
        <v>281</v>
      </c>
      <c r="BM935" s="192" t="s">
        <v>1393</v>
      </c>
    </row>
    <row r="936" spans="1:65" s="14" customFormat="1" ht="11.25">
      <c r="B936" s="205"/>
      <c r="C936" s="206"/>
      <c r="D936" s="196" t="s">
        <v>388</v>
      </c>
      <c r="E936" s="207" t="s">
        <v>19</v>
      </c>
      <c r="F936" s="208" t="s">
        <v>1378</v>
      </c>
      <c r="G936" s="206"/>
      <c r="H936" s="209">
        <v>1278.57</v>
      </c>
      <c r="I936" s="210"/>
      <c r="J936" s="206"/>
      <c r="K936" s="206"/>
      <c r="L936" s="211"/>
      <c r="M936" s="212"/>
      <c r="N936" s="213"/>
      <c r="O936" s="213"/>
      <c r="P936" s="213"/>
      <c r="Q936" s="213"/>
      <c r="R936" s="213"/>
      <c r="S936" s="213"/>
      <c r="T936" s="214"/>
      <c r="AT936" s="215" t="s">
        <v>388</v>
      </c>
      <c r="AU936" s="215" t="s">
        <v>82</v>
      </c>
      <c r="AV936" s="14" t="s">
        <v>82</v>
      </c>
      <c r="AW936" s="14" t="s">
        <v>33</v>
      </c>
      <c r="AX936" s="14" t="s">
        <v>79</v>
      </c>
      <c r="AY936" s="215" t="s">
        <v>380</v>
      </c>
    </row>
    <row r="937" spans="1:65" s="2" customFormat="1" ht="24.2" customHeight="1">
      <c r="A937" s="36"/>
      <c r="B937" s="37"/>
      <c r="C937" s="181" t="s">
        <v>1394</v>
      </c>
      <c r="D937" s="181" t="s">
        <v>382</v>
      </c>
      <c r="E937" s="182" t="s">
        <v>1395</v>
      </c>
      <c r="F937" s="183" t="s">
        <v>1396</v>
      </c>
      <c r="G937" s="184" t="s">
        <v>398</v>
      </c>
      <c r="H937" s="185">
        <v>137.67500000000001</v>
      </c>
      <c r="I937" s="186"/>
      <c r="J937" s="187">
        <f>ROUND(I937*H937,2)</f>
        <v>0</v>
      </c>
      <c r="K937" s="183" t="s">
        <v>19</v>
      </c>
      <c r="L937" s="41"/>
      <c r="M937" s="188" t="s">
        <v>19</v>
      </c>
      <c r="N937" s="189" t="s">
        <v>43</v>
      </c>
      <c r="O937" s="66"/>
      <c r="P937" s="190">
        <f>O937*H937</f>
        <v>0</v>
      </c>
      <c r="Q937" s="190">
        <v>0</v>
      </c>
      <c r="R937" s="190">
        <f>Q937*H937</f>
        <v>0</v>
      </c>
      <c r="S937" s="190">
        <v>0</v>
      </c>
      <c r="T937" s="191">
        <f>S937*H937</f>
        <v>0</v>
      </c>
      <c r="U937" s="36"/>
      <c r="V937" s="36"/>
      <c r="W937" s="36"/>
      <c r="X937" s="36"/>
      <c r="Y937" s="36"/>
      <c r="Z937" s="36"/>
      <c r="AA937" s="36"/>
      <c r="AB937" s="36"/>
      <c r="AC937" s="36"/>
      <c r="AD937" s="36"/>
      <c r="AE937" s="36"/>
      <c r="AR937" s="192" t="s">
        <v>281</v>
      </c>
      <c r="AT937" s="192" t="s">
        <v>382</v>
      </c>
      <c r="AU937" s="192" t="s">
        <v>82</v>
      </c>
      <c r="AY937" s="19" t="s">
        <v>380</v>
      </c>
      <c r="BE937" s="193">
        <f>IF(N937="základní",J937,0)</f>
        <v>0</v>
      </c>
      <c r="BF937" s="193">
        <f>IF(N937="snížená",J937,0)</f>
        <v>0</v>
      </c>
      <c r="BG937" s="193">
        <f>IF(N937="zákl. přenesená",J937,0)</f>
        <v>0</v>
      </c>
      <c r="BH937" s="193">
        <f>IF(N937="sníž. přenesená",J937,0)</f>
        <v>0</v>
      </c>
      <c r="BI937" s="193">
        <f>IF(N937="nulová",J937,0)</f>
        <v>0</v>
      </c>
      <c r="BJ937" s="19" t="s">
        <v>79</v>
      </c>
      <c r="BK937" s="193">
        <f>ROUND(I937*H937,2)</f>
        <v>0</v>
      </c>
      <c r="BL937" s="19" t="s">
        <v>281</v>
      </c>
      <c r="BM937" s="192" t="s">
        <v>1397</v>
      </c>
    </row>
    <row r="938" spans="1:65" s="13" customFormat="1" ht="11.25">
      <c r="B938" s="194"/>
      <c r="C938" s="195"/>
      <c r="D938" s="196" t="s">
        <v>388</v>
      </c>
      <c r="E938" s="197" t="s">
        <v>19</v>
      </c>
      <c r="F938" s="198" t="s">
        <v>1398</v>
      </c>
      <c r="G938" s="195"/>
      <c r="H938" s="197" t="s">
        <v>19</v>
      </c>
      <c r="I938" s="199"/>
      <c r="J938" s="195"/>
      <c r="K938" s="195"/>
      <c r="L938" s="200"/>
      <c r="M938" s="201"/>
      <c r="N938" s="202"/>
      <c r="O938" s="202"/>
      <c r="P938" s="202"/>
      <c r="Q938" s="202"/>
      <c r="R938" s="202"/>
      <c r="S938" s="202"/>
      <c r="T938" s="203"/>
      <c r="AT938" s="204" t="s">
        <v>388</v>
      </c>
      <c r="AU938" s="204" t="s">
        <v>82</v>
      </c>
      <c r="AV938" s="13" t="s">
        <v>79</v>
      </c>
      <c r="AW938" s="13" t="s">
        <v>33</v>
      </c>
      <c r="AX938" s="13" t="s">
        <v>72</v>
      </c>
      <c r="AY938" s="204" t="s">
        <v>380</v>
      </c>
    </row>
    <row r="939" spans="1:65" s="14" customFormat="1" ht="11.25">
      <c r="B939" s="205"/>
      <c r="C939" s="206"/>
      <c r="D939" s="196" t="s">
        <v>388</v>
      </c>
      <c r="E939" s="207" t="s">
        <v>19</v>
      </c>
      <c r="F939" s="208" t="s">
        <v>1399</v>
      </c>
      <c r="G939" s="206"/>
      <c r="H939" s="209">
        <v>77</v>
      </c>
      <c r="I939" s="210"/>
      <c r="J939" s="206"/>
      <c r="K939" s="206"/>
      <c r="L939" s="211"/>
      <c r="M939" s="212"/>
      <c r="N939" s="213"/>
      <c r="O939" s="213"/>
      <c r="P939" s="213"/>
      <c r="Q939" s="213"/>
      <c r="R939" s="213"/>
      <c r="S939" s="213"/>
      <c r="T939" s="214"/>
      <c r="AT939" s="215" t="s">
        <v>388</v>
      </c>
      <c r="AU939" s="215" t="s">
        <v>82</v>
      </c>
      <c r="AV939" s="14" t="s">
        <v>82</v>
      </c>
      <c r="AW939" s="14" t="s">
        <v>33</v>
      </c>
      <c r="AX939" s="14" t="s">
        <v>72</v>
      </c>
      <c r="AY939" s="215" t="s">
        <v>380</v>
      </c>
    </row>
    <row r="940" spans="1:65" s="13" customFormat="1" ht="11.25">
      <c r="B940" s="194"/>
      <c r="C940" s="195"/>
      <c r="D940" s="196" t="s">
        <v>388</v>
      </c>
      <c r="E940" s="197" t="s">
        <v>19</v>
      </c>
      <c r="F940" s="198" t="s">
        <v>1400</v>
      </c>
      <c r="G940" s="195"/>
      <c r="H940" s="197" t="s">
        <v>19</v>
      </c>
      <c r="I940" s="199"/>
      <c r="J940" s="195"/>
      <c r="K940" s="195"/>
      <c r="L940" s="200"/>
      <c r="M940" s="201"/>
      <c r="N940" s="202"/>
      <c r="O940" s="202"/>
      <c r="P940" s="202"/>
      <c r="Q940" s="202"/>
      <c r="R940" s="202"/>
      <c r="S940" s="202"/>
      <c r="T940" s="203"/>
      <c r="AT940" s="204" t="s">
        <v>388</v>
      </c>
      <c r="AU940" s="204" t="s">
        <v>82</v>
      </c>
      <c r="AV940" s="13" t="s">
        <v>79</v>
      </c>
      <c r="AW940" s="13" t="s">
        <v>33</v>
      </c>
      <c r="AX940" s="13" t="s">
        <v>72</v>
      </c>
      <c r="AY940" s="204" t="s">
        <v>380</v>
      </c>
    </row>
    <row r="941" spans="1:65" s="14" customFormat="1" ht="11.25">
      <c r="B941" s="205"/>
      <c r="C941" s="206"/>
      <c r="D941" s="196" t="s">
        <v>388</v>
      </c>
      <c r="E941" s="207" t="s">
        <v>19</v>
      </c>
      <c r="F941" s="208" t="s">
        <v>1401</v>
      </c>
      <c r="G941" s="206"/>
      <c r="H941" s="209">
        <v>17.475000000000001</v>
      </c>
      <c r="I941" s="210"/>
      <c r="J941" s="206"/>
      <c r="K941" s="206"/>
      <c r="L941" s="211"/>
      <c r="M941" s="212"/>
      <c r="N941" s="213"/>
      <c r="O941" s="213"/>
      <c r="P941" s="213"/>
      <c r="Q941" s="213"/>
      <c r="R941" s="213"/>
      <c r="S941" s="213"/>
      <c r="T941" s="214"/>
      <c r="AT941" s="215" t="s">
        <v>388</v>
      </c>
      <c r="AU941" s="215" t="s">
        <v>82</v>
      </c>
      <c r="AV941" s="14" t="s">
        <v>82</v>
      </c>
      <c r="AW941" s="14" t="s">
        <v>33</v>
      </c>
      <c r="AX941" s="14" t="s">
        <v>72</v>
      </c>
      <c r="AY941" s="215" t="s">
        <v>380</v>
      </c>
    </row>
    <row r="942" spans="1:65" s="13" customFormat="1" ht="11.25">
      <c r="B942" s="194"/>
      <c r="C942" s="195"/>
      <c r="D942" s="196" t="s">
        <v>388</v>
      </c>
      <c r="E942" s="197" t="s">
        <v>19</v>
      </c>
      <c r="F942" s="198" t="s">
        <v>1402</v>
      </c>
      <c r="G942" s="195"/>
      <c r="H942" s="197" t="s">
        <v>19</v>
      </c>
      <c r="I942" s="199"/>
      <c r="J942" s="195"/>
      <c r="K942" s="195"/>
      <c r="L942" s="200"/>
      <c r="M942" s="201"/>
      <c r="N942" s="202"/>
      <c r="O942" s="202"/>
      <c r="P942" s="202"/>
      <c r="Q942" s="202"/>
      <c r="R942" s="202"/>
      <c r="S942" s="202"/>
      <c r="T942" s="203"/>
      <c r="AT942" s="204" t="s">
        <v>388</v>
      </c>
      <c r="AU942" s="204" t="s">
        <v>82</v>
      </c>
      <c r="AV942" s="13" t="s">
        <v>79</v>
      </c>
      <c r="AW942" s="13" t="s">
        <v>33</v>
      </c>
      <c r="AX942" s="13" t="s">
        <v>72</v>
      </c>
      <c r="AY942" s="204" t="s">
        <v>380</v>
      </c>
    </row>
    <row r="943" spans="1:65" s="14" customFormat="1" ht="11.25">
      <c r="B943" s="205"/>
      <c r="C943" s="206"/>
      <c r="D943" s="196" t="s">
        <v>388</v>
      </c>
      <c r="E943" s="207" t="s">
        <v>19</v>
      </c>
      <c r="F943" s="208" t="s">
        <v>1403</v>
      </c>
      <c r="G943" s="206"/>
      <c r="H943" s="209">
        <v>43.2</v>
      </c>
      <c r="I943" s="210"/>
      <c r="J943" s="206"/>
      <c r="K943" s="206"/>
      <c r="L943" s="211"/>
      <c r="M943" s="212"/>
      <c r="N943" s="213"/>
      <c r="O943" s="213"/>
      <c r="P943" s="213"/>
      <c r="Q943" s="213"/>
      <c r="R943" s="213"/>
      <c r="S943" s="213"/>
      <c r="T943" s="214"/>
      <c r="AT943" s="215" t="s">
        <v>388</v>
      </c>
      <c r="AU943" s="215" t="s">
        <v>82</v>
      </c>
      <c r="AV943" s="14" t="s">
        <v>82</v>
      </c>
      <c r="AW943" s="14" t="s">
        <v>33</v>
      </c>
      <c r="AX943" s="14" t="s">
        <v>72</v>
      </c>
      <c r="AY943" s="215" t="s">
        <v>380</v>
      </c>
    </row>
    <row r="944" spans="1:65" s="15" customFormat="1" ht="11.25">
      <c r="B944" s="216"/>
      <c r="C944" s="217"/>
      <c r="D944" s="196" t="s">
        <v>388</v>
      </c>
      <c r="E944" s="218" t="s">
        <v>19</v>
      </c>
      <c r="F944" s="219" t="s">
        <v>419</v>
      </c>
      <c r="G944" s="217"/>
      <c r="H944" s="220">
        <v>137.67500000000001</v>
      </c>
      <c r="I944" s="221"/>
      <c r="J944" s="217"/>
      <c r="K944" s="217"/>
      <c r="L944" s="222"/>
      <c r="M944" s="223"/>
      <c r="N944" s="224"/>
      <c r="O944" s="224"/>
      <c r="P944" s="224"/>
      <c r="Q944" s="224"/>
      <c r="R944" s="224"/>
      <c r="S944" s="224"/>
      <c r="T944" s="225"/>
      <c r="AT944" s="226" t="s">
        <v>388</v>
      </c>
      <c r="AU944" s="226" t="s">
        <v>82</v>
      </c>
      <c r="AV944" s="15" t="s">
        <v>386</v>
      </c>
      <c r="AW944" s="15" t="s">
        <v>33</v>
      </c>
      <c r="AX944" s="15" t="s">
        <v>79</v>
      </c>
      <c r="AY944" s="226" t="s">
        <v>380</v>
      </c>
    </row>
    <row r="945" spans="1:65" s="2" customFormat="1" ht="24.2" customHeight="1">
      <c r="A945" s="36"/>
      <c r="B945" s="37"/>
      <c r="C945" s="181" t="s">
        <v>1404</v>
      </c>
      <c r="D945" s="181" t="s">
        <v>382</v>
      </c>
      <c r="E945" s="182" t="s">
        <v>1405</v>
      </c>
      <c r="F945" s="183" t="s">
        <v>1406</v>
      </c>
      <c r="G945" s="184" t="s">
        <v>437</v>
      </c>
      <c r="H945" s="185">
        <v>3.2919999999999998</v>
      </c>
      <c r="I945" s="186"/>
      <c r="J945" s="187">
        <f>ROUND(I945*H945,2)</f>
        <v>0</v>
      </c>
      <c r="K945" s="183" t="s">
        <v>399</v>
      </c>
      <c r="L945" s="41"/>
      <c r="M945" s="188" t="s">
        <v>19</v>
      </c>
      <c r="N945" s="189" t="s">
        <v>43</v>
      </c>
      <c r="O945" s="66"/>
      <c r="P945" s="190">
        <f>O945*H945</f>
        <v>0</v>
      </c>
      <c r="Q945" s="190">
        <v>0</v>
      </c>
      <c r="R945" s="190">
        <f>Q945*H945</f>
        <v>0</v>
      </c>
      <c r="S945" s="190">
        <v>0</v>
      </c>
      <c r="T945" s="191">
        <f>S945*H945</f>
        <v>0</v>
      </c>
      <c r="U945" s="36"/>
      <c r="V945" s="36"/>
      <c r="W945" s="36"/>
      <c r="X945" s="36"/>
      <c r="Y945" s="36"/>
      <c r="Z945" s="36"/>
      <c r="AA945" s="36"/>
      <c r="AB945" s="36"/>
      <c r="AC945" s="36"/>
      <c r="AD945" s="36"/>
      <c r="AE945" s="36"/>
      <c r="AR945" s="192" t="s">
        <v>281</v>
      </c>
      <c r="AT945" s="192" t="s">
        <v>382</v>
      </c>
      <c r="AU945" s="192" t="s">
        <v>82</v>
      </c>
      <c r="AY945" s="19" t="s">
        <v>380</v>
      </c>
      <c r="BE945" s="193">
        <f>IF(N945="základní",J945,0)</f>
        <v>0</v>
      </c>
      <c r="BF945" s="193">
        <f>IF(N945="snížená",J945,0)</f>
        <v>0</v>
      </c>
      <c r="BG945" s="193">
        <f>IF(N945="zákl. přenesená",J945,0)</f>
        <v>0</v>
      </c>
      <c r="BH945" s="193">
        <f>IF(N945="sníž. přenesená",J945,0)</f>
        <v>0</v>
      </c>
      <c r="BI945" s="193">
        <f>IF(N945="nulová",J945,0)</f>
        <v>0</v>
      </c>
      <c r="BJ945" s="19" t="s">
        <v>79</v>
      </c>
      <c r="BK945" s="193">
        <f>ROUND(I945*H945,2)</f>
        <v>0</v>
      </c>
      <c r="BL945" s="19" t="s">
        <v>281</v>
      </c>
      <c r="BM945" s="192" t="s">
        <v>1407</v>
      </c>
    </row>
    <row r="946" spans="1:65" s="12" customFormat="1" ht="22.9" customHeight="1">
      <c r="B946" s="165"/>
      <c r="C946" s="166"/>
      <c r="D946" s="167" t="s">
        <v>71</v>
      </c>
      <c r="E946" s="179" t="s">
        <v>1408</v>
      </c>
      <c r="F946" s="179" t="s">
        <v>1409</v>
      </c>
      <c r="G946" s="166"/>
      <c r="H946" s="166"/>
      <c r="I946" s="169"/>
      <c r="J946" s="180">
        <f>BK946</f>
        <v>0</v>
      </c>
      <c r="K946" s="166"/>
      <c r="L946" s="171"/>
      <c r="M946" s="172"/>
      <c r="N946" s="173"/>
      <c r="O946" s="173"/>
      <c r="P946" s="174">
        <f>SUM(P947:P1121)</f>
        <v>0</v>
      </c>
      <c r="Q946" s="173"/>
      <c r="R946" s="174">
        <f>SUM(R947:R1121)</f>
        <v>11.714408552680002</v>
      </c>
      <c r="S946" s="173"/>
      <c r="T946" s="175">
        <f>SUM(T947:T1121)</f>
        <v>0</v>
      </c>
      <c r="AR946" s="176" t="s">
        <v>82</v>
      </c>
      <c r="AT946" s="177" t="s">
        <v>71</v>
      </c>
      <c r="AU946" s="177" t="s">
        <v>79</v>
      </c>
      <c r="AY946" s="176" t="s">
        <v>380</v>
      </c>
      <c r="BK946" s="178">
        <f>SUM(BK947:BK1121)</f>
        <v>0</v>
      </c>
    </row>
    <row r="947" spans="1:65" s="2" customFormat="1" ht="24.2" customHeight="1">
      <c r="A947" s="36"/>
      <c r="B947" s="37"/>
      <c r="C947" s="181" t="s">
        <v>1410</v>
      </c>
      <c r="D947" s="181" t="s">
        <v>382</v>
      </c>
      <c r="E947" s="182" t="s">
        <v>1411</v>
      </c>
      <c r="F947" s="183" t="s">
        <v>1412</v>
      </c>
      <c r="G947" s="184" t="s">
        <v>398</v>
      </c>
      <c r="H947" s="185">
        <v>1415.5170000000001</v>
      </c>
      <c r="I947" s="186"/>
      <c r="J947" s="187">
        <f>ROUND(I947*H947,2)</f>
        <v>0</v>
      </c>
      <c r="K947" s="183" t="s">
        <v>399</v>
      </c>
      <c r="L947" s="41"/>
      <c r="M947" s="188" t="s">
        <v>19</v>
      </c>
      <c r="N947" s="189" t="s">
        <v>43</v>
      </c>
      <c r="O947" s="66"/>
      <c r="P947" s="190">
        <f>O947*H947</f>
        <v>0</v>
      </c>
      <c r="Q947" s="190">
        <v>0</v>
      </c>
      <c r="R947" s="190">
        <f>Q947*H947</f>
        <v>0</v>
      </c>
      <c r="S947" s="190">
        <v>0</v>
      </c>
      <c r="T947" s="191">
        <f>S947*H947</f>
        <v>0</v>
      </c>
      <c r="U947" s="36"/>
      <c r="V947" s="36"/>
      <c r="W947" s="36"/>
      <c r="X947" s="36"/>
      <c r="Y947" s="36"/>
      <c r="Z947" s="36"/>
      <c r="AA947" s="36"/>
      <c r="AB947" s="36"/>
      <c r="AC947" s="36"/>
      <c r="AD947" s="36"/>
      <c r="AE947" s="36"/>
      <c r="AR947" s="192" t="s">
        <v>281</v>
      </c>
      <c r="AT947" s="192" t="s">
        <v>382</v>
      </c>
      <c r="AU947" s="192" t="s">
        <v>82</v>
      </c>
      <c r="AY947" s="19" t="s">
        <v>380</v>
      </c>
      <c r="BE947" s="193">
        <f>IF(N947="základní",J947,0)</f>
        <v>0</v>
      </c>
      <c r="BF947" s="193">
        <f>IF(N947="snížená",J947,0)</f>
        <v>0</v>
      </c>
      <c r="BG947" s="193">
        <f>IF(N947="zákl. přenesená",J947,0)</f>
        <v>0</v>
      </c>
      <c r="BH947" s="193">
        <f>IF(N947="sníž. přenesená",J947,0)</f>
        <v>0</v>
      </c>
      <c r="BI947" s="193">
        <f>IF(N947="nulová",J947,0)</f>
        <v>0</v>
      </c>
      <c r="BJ947" s="19" t="s">
        <v>79</v>
      </c>
      <c r="BK947" s="193">
        <f>ROUND(I947*H947,2)</f>
        <v>0</v>
      </c>
      <c r="BL947" s="19" t="s">
        <v>281</v>
      </c>
      <c r="BM947" s="192" t="s">
        <v>1413</v>
      </c>
    </row>
    <row r="948" spans="1:65" s="13" customFormat="1" ht="11.25">
      <c r="B948" s="194"/>
      <c r="C948" s="195"/>
      <c r="D948" s="196" t="s">
        <v>388</v>
      </c>
      <c r="E948" s="197" t="s">
        <v>19</v>
      </c>
      <c r="F948" s="198" t="s">
        <v>1414</v>
      </c>
      <c r="G948" s="195"/>
      <c r="H948" s="197" t="s">
        <v>19</v>
      </c>
      <c r="I948" s="199"/>
      <c r="J948" s="195"/>
      <c r="K948" s="195"/>
      <c r="L948" s="200"/>
      <c r="M948" s="201"/>
      <c r="N948" s="202"/>
      <c r="O948" s="202"/>
      <c r="P948" s="202"/>
      <c r="Q948" s="202"/>
      <c r="R948" s="202"/>
      <c r="S948" s="202"/>
      <c r="T948" s="203"/>
      <c r="AT948" s="204" t="s">
        <v>388</v>
      </c>
      <c r="AU948" s="204" t="s">
        <v>82</v>
      </c>
      <c r="AV948" s="13" t="s">
        <v>79</v>
      </c>
      <c r="AW948" s="13" t="s">
        <v>33</v>
      </c>
      <c r="AX948" s="13" t="s">
        <v>72</v>
      </c>
      <c r="AY948" s="204" t="s">
        <v>380</v>
      </c>
    </row>
    <row r="949" spans="1:65" s="14" customFormat="1" ht="11.25">
      <c r="B949" s="205"/>
      <c r="C949" s="206"/>
      <c r="D949" s="196" t="s">
        <v>388</v>
      </c>
      <c r="E949" s="207" t="s">
        <v>19</v>
      </c>
      <c r="F949" s="208" t="s">
        <v>1415</v>
      </c>
      <c r="G949" s="206"/>
      <c r="H949" s="209">
        <v>396.09899999999999</v>
      </c>
      <c r="I949" s="210"/>
      <c r="J949" s="206"/>
      <c r="K949" s="206"/>
      <c r="L949" s="211"/>
      <c r="M949" s="212"/>
      <c r="N949" s="213"/>
      <c r="O949" s="213"/>
      <c r="P949" s="213"/>
      <c r="Q949" s="213"/>
      <c r="R949" s="213"/>
      <c r="S949" s="213"/>
      <c r="T949" s="214"/>
      <c r="AT949" s="215" t="s">
        <v>388</v>
      </c>
      <c r="AU949" s="215" t="s">
        <v>82</v>
      </c>
      <c r="AV949" s="14" t="s">
        <v>82</v>
      </c>
      <c r="AW949" s="14" t="s">
        <v>33</v>
      </c>
      <c r="AX949" s="14" t="s">
        <v>72</v>
      </c>
      <c r="AY949" s="215" t="s">
        <v>380</v>
      </c>
    </row>
    <row r="950" spans="1:65" s="14" customFormat="1" ht="11.25">
      <c r="B950" s="205"/>
      <c r="C950" s="206"/>
      <c r="D950" s="196" t="s">
        <v>388</v>
      </c>
      <c r="E950" s="207" t="s">
        <v>19</v>
      </c>
      <c r="F950" s="208" t="s">
        <v>1416</v>
      </c>
      <c r="G950" s="206"/>
      <c r="H950" s="209">
        <v>82.72</v>
      </c>
      <c r="I950" s="210"/>
      <c r="J950" s="206"/>
      <c r="K950" s="206"/>
      <c r="L950" s="211"/>
      <c r="M950" s="212"/>
      <c r="N950" s="213"/>
      <c r="O950" s="213"/>
      <c r="P950" s="213"/>
      <c r="Q950" s="213"/>
      <c r="R950" s="213"/>
      <c r="S950" s="213"/>
      <c r="T950" s="214"/>
      <c r="AT950" s="215" t="s">
        <v>388</v>
      </c>
      <c r="AU950" s="215" t="s">
        <v>82</v>
      </c>
      <c r="AV950" s="14" t="s">
        <v>82</v>
      </c>
      <c r="AW950" s="14" t="s">
        <v>33</v>
      </c>
      <c r="AX950" s="14" t="s">
        <v>72</v>
      </c>
      <c r="AY950" s="215" t="s">
        <v>380</v>
      </c>
    </row>
    <row r="951" spans="1:65" s="14" customFormat="1" ht="11.25">
      <c r="B951" s="205"/>
      <c r="C951" s="206"/>
      <c r="D951" s="196" t="s">
        <v>388</v>
      </c>
      <c r="E951" s="207" t="s">
        <v>19</v>
      </c>
      <c r="F951" s="208" t="s">
        <v>1417</v>
      </c>
      <c r="G951" s="206"/>
      <c r="H951" s="209">
        <v>27.103999999999999</v>
      </c>
      <c r="I951" s="210"/>
      <c r="J951" s="206"/>
      <c r="K951" s="206"/>
      <c r="L951" s="211"/>
      <c r="M951" s="212"/>
      <c r="N951" s="213"/>
      <c r="O951" s="213"/>
      <c r="P951" s="213"/>
      <c r="Q951" s="213"/>
      <c r="R951" s="213"/>
      <c r="S951" s="213"/>
      <c r="T951" s="214"/>
      <c r="AT951" s="215" t="s">
        <v>388</v>
      </c>
      <c r="AU951" s="215" t="s">
        <v>82</v>
      </c>
      <c r="AV951" s="14" t="s">
        <v>82</v>
      </c>
      <c r="AW951" s="14" t="s">
        <v>33</v>
      </c>
      <c r="AX951" s="14" t="s">
        <v>72</v>
      </c>
      <c r="AY951" s="215" t="s">
        <v>380</v>
      </c>
    </row>
    <row r="952" spans="1:65" s="16" customFormat="1" ht="11.25">
      <c r="B952" s="237"/>
      <c r="C952" s="238"/>
      <c r="D952" s="196" t="s">
        <v>388</v>
      </c>
      <c r="E952" s="239" t="s">
        <v>19</v>
      </c>
      <c r="F952" s="240" t="s">
        <v>572</v>
      </c>
      <c r="G952" s="238"/>
      <c r="H952" s="241">
        <v>505.923</v>
      </c>
      <c r="I952" s="242"/>
      <c r="J952" s="238"/>
      <c r="K952" s="238"/>
      <c r="L952" s="243"/>
      <c r="M952" s="244"/>
      <c r="N952" s="245"/>
      <c r="O952" s="245"/>
      <c r="P952" s="245"/>
      <c r="Q952" s="245"/>
      <c r="R952" s="245"/>
      <c r="S952" s="245"/>
      <c r="T952" s="246"/>
      <c r="AT952" s="247" t="s">
        <v>388</v>
      </c>
      <c r="AU952" s="247" t="s">
        <v>82</v>
      </c>
      <c r="AV952" s="16" t="s">
        <v>99</v>
      </c>
      <c r="AW952" s="16" t="s">
        <v>33</v>
      </c>
      <c r="AX952" s="16" t="s">
        <v>72</v>
      </c>
      <c r="AY952" s="247" t="s">
        <v>380</v>
      </c>
    </row>
    <row r="953" spans="1:65" s="13" customFormat="1" ht="11.25">
      <c r="B953" s="194"/>
      <c r="C953" s="195"/>
      <c r="D953" s="196" t="s">
        <v>388</v>
      </c>
      <c r="E953" s="197" t="s">
        <v>19</v>
      </c>
      <c r="F953" s="198" t="s">
        <v>1418</v>
      </c>
      <c r="G953" s="195"/>
      <c r="H953" s="197" t="s">
        <v>19</v>
      </c>
      <c r="I953" s="199"/>
      <c r="J953" s="195"/>
      <c r="K953" s="195"/>
      <c r="L953" s="200"/>
      <c r="M953" s="201"/>
      <c r="N953" s="202"/>
      <c r="O953" s="202"/>
      <c r="P953" s="202"/>
      <c r="Q953" s="202"/>
      <c r="R953" s="202"/>
      <c r="S953" s="202"/>
      <c r="T953" s="203"/>
      <c r="AT953" s="204" t="s">
        <v>388</v>
      </c>
      <c r="AU953" s="204" t="s">
        <v>82</v>
      </c>
      <c r="AV953" s="13" t="s">
        <v>79</v>
      </c>
      <c r="AW953" s="13" t="s">
        <v>33</v>
      </c>
      <c r="AX953" s="13" t="s">
        <v>72</v>
      </c>
      <c r="AY953" s="204" t="s">
        <v>380</v>
      </c>
    </row>
    <row r="954" spans="1:65" s="14" customFormat="1" ht="11.25">
      <c r="B954" s="205"/>
      <c r="C954" s="206"/>
      <c r="D954" s="196" t="s">
        <v>388</v>
      </c>
      <c r="E954" s="207" t="s">
        <v>19</v>
      </c>
      <c r="F954" s="208" t="s">
        <v>1419</v>
      </c>
      <c r="G954" s="206"/>
      <c r="H954" s="209">
        <v>22.140999999999998</v>
      </c>
      <c r="I954" s="210"/>
      <c r="J954" s="206"/>
      <c r="K954" s="206"/>
      <c r="L954" s="211"/>
      <c r="M954" s="212"/>
      <c r="N954" s="213"/>
      <c r="O954" s="213"/>
      <c r="P954" s="213"/>
      <c r="Q954" s="213"/>
      <c r="R954" s="213"/>
      <c r="S954" s="213"/>
      <c r="T954" s="214"/>
      <c r="AT954" s="215" t="s">
        <v>388</v>
      </c>
      <c r="AU954" s="215" t="s">
        <v>82</v>
      </c>
      <c r="AV954" s="14" t="s">
        <v>82</v>
      </c>
      <c r="AW954" s="14" t="s">
        <v>33</v>
      </c>
      <c r="AX954" s="14" t="s">
        <v>72</v>
      </c>
      <c r="AY954" s="215" t="s">
        <v>380</v>
      </c>
    </row>
    <row r="955" spans="1:65" s="16" customFormat="1" ht="11.25">
      <c r="B955" s="237"/>
      <c r="C955" s="238"/>
      <c r="D955" s="196" t="s">
        <v>388</v>
      </c>
      <c r="E955" s="239" t="s">
        <v>19</v>
      </c>
      <c r="F955" s="240" t="s">
        <v>572</v>
      </c>
      <c r="G955" s="238"/>
      <c r="H955" s="241">
        <v>22.140999999999998</v>
      </c>
      <c r="I955" s="242"/>
      <c r="J955" s="238"/>
      <c r="K955" s="238"/>
      <c r="L955" s="243"/>
      <c r="M955" s="244"/>
      <c r="N955" s="245"/>
      <c r="O955" s="245"/>
      <c r="P955" s="245"/>
      <c r="Q955" s="245"/>
      <c r="R955" s="245"/>
      <c r="S955" s="245"/>
      <c r="T955" s="246"/>
      <c r="AT955" s="247" t="s">
        <v>388</v>
      </c>
      <c r="AU955" s="247" t="s">
        <v>82</v>
      </c>
      <c r="AV955" s="16" t="s">
        <v>99</v>
      </c>
      <c r="AW955" s="16" t="s">
        <v>33</v>
      </c>
      <c r="AX955" s="16" t="s">
        <v>72</v>
      </c>
      <c r="AY955" s="247" t="s">
        <v>380</v>
      </c>
    </row>
    <row r="956" spans="1:65" s="13" customFormat="1" ht="11.25">
      <c r="B956" s="194"/>
      <c r="C956" s="195"/>
      <c r="D956" s="196" t="s">
        <v>388</v>
      </c>
      <c r="E956" s="197" t="s">
        <v>19</v>
      </c>
      <c r="F956" s="198" t="s">
        <v>1420</v>
      </c>
      <c r="G956" s="195"/>
      <c r="H956" s="197" t="s">
        <v>19</v>
      </c>
      <c r="I956" s="199"/>
      <c r="J956" s="195"/>
      <c r="K956" s="195"/>
      <c r="L956" s="200"/>
      <c r="M956" s="201"/>
      <c r="N956" s="202"/>
      <c r="O956" s="202"/>
      <c r="P956" s="202"/>
      <c r="Q956" s="202"/>
      <c r="R956" s="202"/>
      <c r="S956" s="202"/>
      <c r="T956" s="203"/>
      <c r="AT956" s="204" t="s">
        <v>388</v>
      </c>
      <c r="AU956" s="204" t="s">
        <v>82</v>
      </c>
      <c r="AV956" s="13" t="s">
        <v>79</v>
      </c>
      <c r="AW956" s="13" t="s">
        <v>33</v>
      </c>
      <c r="AX956" s="13" t="s">
        <v>72</v>
      </c>
      <c r="AY956" s="204" t="s">
        <v>380</v>
      </c>
    </row>
    <row r="957" spans="1:65" s="14" customFormat="1" ht="11.25">
      <c r="B957" s="205"/>
      <c r="C957" s="206"/>
      <c r="D957" s="196" t="s">
        <v>388</v>
      </c>
      <c r="E957" s="207" t="s">
        <v>19</v>
      </c>
      <c r="F957" s="208" t="s">
        <v>1421</v>
      </c>
      <c r="G957" s="206"/>
      <c r="H957" s="209">
        <v>113.97</v>
      </c>
      <c r="I957" s="210"/>
      <c r="J957" s="206"/>
      <c r="K957" s="206"/>
      <c r="L957" s="211"/>
      <c r="M957" s="212"/>
      <c r="N957" s="213"/>
      <c r="O957" s="213"/>
      <c r="P957" s="213"/>
      <c r="Q957" s="213"/>
      <c r="R957" s="213"/>
      <c r="S957" s="213"/>
      <c r="T957" s="214"/>
      <c r="AT957" s="215" t="s">
        <v>388</v>
      </c>
      <c r="AU957" s="215" t="s">
        <v>82</v>
      </c>
      <c r="AV957" s="14" t="s">
        <v>82</v>
      </c>
      <c r="AW957" s="14" t="s">
        <v>33</v>
      </c>
      <c r="AX957" s="14" t="s">
        <v>72</v>
      </c>
      <c r="AY957" s="215" t="s">
        <v>380</v>
      </c>
    </row>
    <row r="958" spans="1:65" s="14" customFormat="1" ht="11.25">
      <c r="B958" s="205"/>
      <c r="C958" s="206"/>
      <c r="D958" s="196" t="s">
        <v>388</v>
      </c>
      <c r="E958" s="207" t="s">
        <v>19</v>
      </c>
      <c r="F958" s="208" t="s">
        <v>1422</v>
      </c>
      <c r="G958" s="206"/>
      <c r="H958" s="209">
        <v>36.338000000000001</v>
      </c>
      <c r="I958" s="210"/>
      <c r="J958" s="206"/>
      <c r="K958" s="206"/>
      <c r="L958" s="211"/>
      <c r="M958" s="212"/>
      <c r="N958" s="213"/>
      <c r="O958" s="213"/>
      <c r="P958" s="213"/>
      <c r="Q958" s="213"/>
      <c r="R958" s="213"/>
      <c r="S958" s="213"/>
      <c r="T958" s="214"/>
      <c r="AT958" s="215" t="s">
        <v>388</v>
      </c>
      <c r="AU958" s="215" t="s">
        <v>82</v>
      </c>
      <c r="AV958" s="14" t="s">
        <v>82</v>
      </c>
      <c r="AW958" s="14" t="s">
        <v>33</v>
      </c>
      <c r="AX958" s="14" t="s">
        <v>72</v>
      </c>
      <c r="AY958" s="215" t="s">
        <v>380</v>
      </c>
    </row>
    <row r="959" spans="1:65" s="14" customFormat="1" ht="11.25">
      <c r="B959" s="205"/>
      <c r="C959" s="206"/>
      <c r="D959" s="196" t="s">
        <v>388</v>
      </c>
      <c r="E959" s="207" t="s">
        <v>19</v>
      </c>
      <c r="F959" s="208" t="s">
        <v>1423</v>
      </c>
      <c r="G959" s="206"/>
      <c r="H959" s="209">
        <v>22.905000000000001</v>
      </c>
      <c r="I959" s="210"/>
      <c r="J959" s="206"/>
      <c r="K959" s="206"/>
      <c r="L959" s="211"/>
      <c r="M959" s="212"/>
      <c r="N959" s="213"/>
      <c r="O959" s="213"/>
      <c r="P959" s="213"/>
      <c r="Q959" s="213"/>
      <c r="R959" s="213"/>
      <c r="S959" s="213"/>
      <c r="T959" s="214"/>
      <c r="AT959" s="215" t="s">
        <v>388</v>
      </c>
      <c r="AU959" s="215" t="s">
        <v>82</v>
      </c>
      <c r="AV959" s="14" t="s">
        <v>82</v>
      </c>
      <c r="AW959" s="14" t="s">
        <v>33</v>
      </c>
      <c r="AX959" s="14" t="s">
        <v>72</v>
      </c>
      <c r="AY959" s="215" t="s">
        <v>380</v>
      </c>
    </row>
    <row r="960" spans="1:65" s="16" customFormat="1" ht="11.25">
      <c r="B960" s="237"/>
      <c r="C960" s="238"/>
      <c r="D960" s="196" t="s">
        <v>388</v>
      </c>
      <c r="E960" s="239" t="s">
        <v>19</v>
      </c>
      <c r="F960" s="240" t="s">
        <v>572</v>
      </c>
      <c r="G960" s="238"/>
      <c r="H960" s="241">
        <v>173.21299999999999</v>
      </c>
      <c r="I960" s="242"/>
      <c r="J960" s="238"/>
      <c r="K960" s="238"/>
      <c r="L960" s="243"/>
      <c r="M960" s="244"/>
      <c r="N960" s="245"/>
      <c r="O960" s="245"/>
      <c r="P960" s="245"/>
      <c r="Q960" s="245"/>
      <c r="R960" s="245"/>
      <c r="S960" s="245"/>
      <c r="T960" s="246"/>
      <c r="AT960" s="247" t="s">
        <v>388</v>
      </c>
      <c r="AU960" s="247" t="s">
        <v>82</v>
      </c>
      <c r="AV960" s="16" t="s">
        <v>99</v>
      </c>
      <c r="AW960" s="16" t="s">
        <v>33</v>
      </c>
      <c r="AX960" s="16" t="s">
        <v>72</v>
      </c>
      <c r="AY960" s="247" t="s">
        <v>380</v>
      </c>
    </row>
    <row r="961" spans="1:65" s="13" customFormat="1" ht="11.25">
      <c r="B961" s="194"/>
      <c r="C961" s="195"/>
      <c r="D961" s="196" t="s">
        <v>388</v>
      </c>
      <c r="E961" s="197" t="s">
        <v>19</v>
      </c>
      <c r="F961" s="198" t="s">
        <v>849</v>
      </c>
      <c r="G961" s="195"/>
      <c r="H961" s="197" t="s">
        <v>19</v>
      </c>
      <c r="I961" s="199"/>
      <c r="J961" s="195"/>
      <c r="K961" s="195"/>
      <c r="L961" s="200"/>
      <c r="M961" s="201"/>
      <c r="N961" s="202"/>
      <c r="O961" s="202"/>
      <c r="P961" s="202"/>
      <c r="Q961" s="202"/>
      <c r="R961" s="202"/>
      <c r="S961" s="202"/>
      <c r="T961" s="203"/>
      <c r="AT961" s="204" t="s">
        <v>388</v>
      </c>
      <c r="AU961" s="204" t="s">
        <v>82</v>
      </c>
      <c r="AV961" s="13" t="s">
        <v>79</v>
      </c>
      <c r="AW961" s="13" t="s">
        <v>33</v>
      </c>
      <c r="AX961" s="13" t="s">
        <v>72</v>
      </c>
      <c r="AY961" s="204" t="s">
        <v>380</v>
      </c>
    </row>
    <row r="962" spans="1:65" s="14" customFormat="1" ht="11.25">
      <c r="B962" s="205"/>
      <c r="C962" s="206"/>
      <c r="D962" s="196" t="s">
        <v>388</v>
      </c>
      <c r="E962" s="207" t="s">
        <v>19</v>
      </c>
      <c r="F962" s="208" t="s">
        <v>1424</v>
      </c>
      <c r="G962" s="206"/>
      <c r="H962" s="209">
        <v>629.34299999999996</v>
      </c>
      <c r="I962" s="210"/>
      <c r="J962" s="206"/>
      <c r="K962" s="206"/>
      <c r="L962" s="211"/>
      <c r="M962" s="212"/>
      <c r="N962" s="213"/>
      <c r="O962" s="213"/>
      <c r="P962" s="213"/>
      <c r="Q962" s="213"/>
      <c r="R962" s="213"/>
      <c r="S962" s="213"/>
      <c r="T962" s="214"/>
      <c r="AT962" s="215" t="s">
        <v>388</v>
      </c>
      <c r="AU962" s="215" t="s">
        <v>82</v>
      </c>
      <c r="AV962" s="14" t="s">
        <v>82</v>
      </c>
      <c r="AW962" s="14" t="s">
        <v>33</v>
      </c>
      <c r="AX962" s="14" t="s">
        <v>72</v>
      </c>
      <c r="AY962" s="215" t="s">
        <v>380</v>
      </c>
    </row>
    <row r="963" spans="1:65" s="14" customFormat="1" ht="11.25">
      <c r="B963" s="205"/>
      <c r="C963" s="206"/>
      <c r="D963" s="196" t="s">
        <v>388</v>
      </c>
      <c r="E963" s="207" t="s">
        <v>19</v>
      </c>
      <c r="F963" s="208" t="s">
        <v>1425</v>
      </c>
      <c r="G963" s="206"/>
      <c r="H963" s="209">
        <v>64.057000000000002</v>
      </c>
      <c r="I963" s="210"/>
      <c r="J963" s="206"/>
      <c r="K963" s="206"/>
      <c r="L963" s="211"/>
      <c r="M963" s="212"/>
      <c r="N963" s="213"/>
      <c r="O963" s="213"/>
      <c r="P963" s="213"/>
      <c r="Q963" s="213"/>
      <c r="R963" s="213"/>
      <c r="S963" s="213"/>
      <c r="T963" s="214"/>
      <c r="AT963" s="215" t="s">
        <v>388</v>
      </c>
      <c r="AU963" s="215" t="s">
        <v>82</v>
      </c>
      <c r="AV963" s="14" t="s">
        <v>82</v>
      </c>
      <c r="AW963" s="14" t="s">
        <v>33</v>
      </c>
      <c r="AX963" s="14" t="s">
        <v>72</v>
      </c>
      <c r="AY963" s="215" t="s">
        <v>380</v>
      </c>
    </row>
    <row r="964" spans="1:65" s="16" customFormat="1" ht="11.25">
      <c r="B964" s="237"/>
      <c r="C964" s="238"/>
      <c r="D964" s="196" t="s">
        <v>388</v>
      </c>
      <c r="E964" s="239" t="s">
        <v>19</v>
      </c>
      <c r="F964" s="240" t="s">
        <v>572</v>
      </c>
      <c r="G964" s="238"/>
      <c r="H964" s="241">
        <v>693.4</v>
      </c>
      <c r="I964" s="242"/>
      <c r="J964" s="238"/>
      <c r="K964" s="238"/>
      <c r="L964" s="243"/>
      <c r="M964" s="244"/>
      <c r="N964" s="245"/>
      <c r="O964" s="245"/>
      <c r="P964" s="245"/>
      <c r="Q964" s="245"/>
      <c r="R964" s="245"/>
      <c r="S964" s="245"/>
      <c r="T964" s="246"/>
      <c r="AT964" s="247" t="s">
        <v>388</v>
      </c>
      <c r="AU964" s="247" t="s">
        <v>82</v>
      </c>
      <c r="AV964" s="16" t="s">
        <v>99</v>
      </c>
      <c r="AW964" s="16" t="s">
        <v>33</v>
      </c>
      <c r="AX964" s="16" t="s">
        <v>72</v>
      </c>
      <c r="AY964" s="247" t="s">
        <v>380</v>
      </c>
    </row>
    <row r="965" spans="1:65" s="13" customFormat="1" ht="11.25">
      <c r="B965" s="194"/>
      <c r="C965" s="195"/>
      <c r="D965" s="196" t="s">
        <v>388</v>
      </c>
      <c r="E965" s="197" t="s">
        <v>19</v>
      </c>
      <c r="F965" s="198" t="s">
        <v>1426</v>
      </c>
      <c r="G965" s="195"/>
      <c r="H965" s="197" t="s">
        <v>19</v>
      </c>
      <c r="I965" s="199"/>
      <c r="J965" s="195"/>
      <c r="K965" s="195"/>
      <c r="L965" s="200"/>
      <c r="M965" s="201"/>
      <c r="N965" s="202"/>
      <c r="O965" s="202"/>
      <c r="P965" s="202"/>
      <c r="Q965" s="202"/>
      <c r="R965" s="202"/>
      <c r="S965" s="202"/>
      <c r="T965" s="203"/>
      <c r="AT965" s="204" t="s">
        <v>388</v>
      </c>
      <c r="AU965" s="204" t="s">
        <v>82</v>
      </c>
      <c r="AV965" s="13" t="s">
        <v>79</v>
      </c>
      <c r="AW965" s="13" t="s">
        <v>33</v>
      </c>
      <c r="AX965" s="13" t="s">
        <v>72</v>
      </c>
      <c r="AY965" s="204" t="s">
        <v>380</v>
      </c>
    </row>
    <row r="966" spans="1:65" s="14" customFormat="1" ht="11.25">
      <c r="B966" s="205"/>
      <c r="C966" s="206"/>
      <c r="D966" s="196" t="s">
        <v>388</v>
      </c>
      <c r="E966" s="207" t="s">
        <v>19</v>
      </c>
      <c r="F966" s="208" t="s">
        <v>1427</v>
      </c>
      <c r="G966" s="206"/>
      <c r="H966" s="209">
        <v>17.600000000000001</v>
      </c>
      <c r="I966" s="210"/>
      <c r="J966" s="206"/>
      <c r="K966" s="206"/>
      <c r="L966" s="211"/>
      <c r="M966" s="212"/>
      <c r="N966" s="213"/>
      <c r="O966" s="213"/>
      <c r="P966" s="213"/>
      <c r="Q966" s="213"/>
      <c r="R966" s="213"/>
      <c r="S966" s="213"/>
      <c r="T966" s="214"/>
      <c r="AT966" s="215" t="s">
        <v>388</v>
      </c>
      <c r="AU966" s="215" t="s">
        <v>82</v>
      </c>
      <c r="AV966" s="14" t="s">
        <v>82</v>
      </c>
      <c r="AW966" s="14" t="s">
        <v>33</v>
      </c>
      <c r="AX966" s="14" t="s">
        <v>72</v>
      </c>
      <c r="AY966" s="215" t="s">
        <v>380</v>
      </c>
    </row>
    <row r="967" spans="1:65" s="14" customFormat="1" ht="11.25">
      <c r="B967" s="205"/>
      <c r="C967" s="206"/>
      <c r="D967" s="196" t="s">
        <v>388</v>
      </c>
      <c r="E967" s="207" t="s">
        <v>19</v>
      </c>
      <c r="F967" s="208" t="s">
        <v>1428</v>
      </c>
      <c r="G967" s="206"/>
      <c r="H967" s="209">
        <v>3.24</v>
      </c>
      <c r="I967" s="210"/>
      <c r="J967" s="206"/>
      <c r="K967" s="206"/>
      <c r="L967" s="211"/>
      <c r="M967" s="212"/>
      <c r="N967" s="213"/>
      <c r="O967" s="213"/>
      <c r="P967" s="213"/>
      <c r="Q967" s="213"/>
      <c r="R967" s="213"/>
      <c r="S967" s="213"/>
      <c r="T967" s="214"/>
      <c r="AT967" s="215" t="s">
        <v>388</v>
      </c>
      <c r="AU967" s="215" t="s">
        <v>82</v>
      </c>
      <c r="AV967" s="14" t="s">
        <v>82</v>
      </c>
      <c r="AW967" s="14" t="s">
        <v>33</v>
      </c>
      <c r="AX967" s="14" t="s">
        <v>72</v>
      </c>
      <c r="AY967" s="215" t="s">
        <v>380</v>
      </c>
    </row>
    <row r="968" spans="1:65" s="16" customFormat="1" ht="11.25">
      <c r="B968" s="237"/>
      <c r="C968" s="238"/>
      <c r="D968" s="196" t="s">
        <v>388</v>
      </c>
      <c r="E968" s="239" t="s">
        <v>19</v>
      </c>
      <c r="F968" s="240" t="s">
        <v>572</v>
      </c>
      <c r="G968" s="238"/>
      <c r="H968" s="241">
        <v>20.84</v>
      </c>
      <c r="I968" s="242"/>
      <c r="J968" s="238"/>
      <c r="K968" s="238"/>
      <c r="L968" s="243"/>
      <c r="M968" s="244"/>
      <c r="N968" s="245"/>
      <c r="O968" s="245"/>
      <c r="P968" s="245"/>
      <c r="Q968" s="245"/>
      <c r="R968" s="245"/>
      <c r="S968" s="245"/>
      <c r="T968" s="246"/>
      <c r="AT968" s="247" t="s">
        <v>388</v>
      </c>
      <c r="AU968" s="247" t="s">
        <v>82</v>
      </c>
      <c r="AV968" s="16" t="s">
        <v>99</v>
      </c>
      <c r="AW968" s="16" t="s">
        <v>33</v>
      </c>
      <c r="AX968" s="16" t="s">
        <v>72</v>
      </c>
      <c r="AY968" s="247" t="s">
        <v>380</v>
      </c>
    </row>
    <row r="969" spans="1:65" s="15" customFormat="1" ht="11.25">
      <c r="B969" s="216"/>
      <c r="C969" s="217"/>
      <c r="D969" s="196" t="s">
        <v>388</v>
      </c>
      <c r="E969" s="218" t="s">
        <v>19</v>
      </c>
      <c r="F969" s="219" t="s">
        <v>419</v>
      </c>
      <c r="G969" s="217"/>
      <c r="H969" s="220">
        <v>1415.5170000000001</v>
      </c>
      <c r="I969" s="221"/>
      <c r="J969" s="217"/>
      <c r="K969" s="217"/>
      <c r="L969" s="222"/>
      <c r="M969" s="223"/>
      <c r="N969" s="224"/>
      <c r="O969" s="224"/>
      <c r="P969" s="224"/>
      <c r="Q969" s="224"/>
      <c r="R969" s="224"/>
      <c r="S969" s="224"/>
      <c r="T969" s="225"/>
      <c r="AT969" s="226" t="s">
        <v>388</v>
      </c>
      <c r="AU969" s="226" t="s">
        <v>82</v>
      </c>
      <c r="AV969" s="15" t="s">
        <v>386</v>
      </c>
      <c r="AW969" s="15" t="s">
        <v>33</v>
      </c>
      <c r="AX969" s="15" t="s">
        <v>79</v>
      </c>
      <c r="AY969" s="226" t="s">
        <v>380</v>
      </c>
    </row>
    <row r="970" spans="1:65" s="2" customFormat="1" ht="16.5" customHeight="1">
      <c r="A970" s="36"/>
      <c r="B970" s="37"/>
      <c r="C970" s="227" t="s">
        <v>1429</v>
      </c>
      <c r="D970" s="227" t="s">
        <v>465</v>
      </c>
      <c r="E970" s="228" t="s">
        <v>1359</v>
      </c>
      <c r="F970" s="229" t="s">
        <v>1360</v>
      </c>
      <c r="G970" s="230" t="s">
        <v>437</v>
      </c>
      <c r="H970" s="231">
        <v>0.42499999999999999</v>
      </c>
      <c r="I970" s="232"/>
      <c r="J970" s="233">
        <f>ROUND(I970*H970,2)</f>
        <v>0</v>
      </c>
      <c r="K970" s="229" t="s">
        <v>399</v>
      </c>
      <c r="L970" s="234"/>
      <c r="M970" s="235" t="s">
        <v>19</v>
      </c>
      <c r="N970" s="236" t="s">
        <v>43</v>
      </c>
      <c r="O970" s="66"/>
      <c r="P970" s="190">
        <f>O970*H970</f>
        <v>0</v>
      </c>
      <c r="Q970" s="190">
        <v>1</v>
      </c>
      <c r="R970" s="190">
        <f>Q970*H970</f>
        <v>0.42499999999999999</v>
      </c>
      <c r="S970" s="190">
        <v>0</v>
      </c>
      <c r="T970" s="191">
        <f>S970*H970</f>
        <v>0</v>
      </c>
      <c r="U970" s="36"/>
      <c r="V970" s="36"/>
      <c r="W970" s="36"/>
      <c r="X970" s="36"/>
      <c r="Y970" s="36"/>
      <c r="Z970" s="36"/>
      <c r="AA970" s="36"/>
      <c r="AB970" s="36"/>
      <c r="AC970" s="36"/>
      <c r="AD970" s="36"/>
      <c r="AE970" s="36"/>
      <c r="AR970" s="192" t="s">
        <v>546</v>
      </c>
      <c r="AT970" s="192" t="s">
        <v>465</v>
      </c>
      <c r="AU970" s="192" t="s">
        <v>82</v>
      </c>
      <c r="AY970" s="19" t="s">
        <v>380</v>
      </c>
      <c r="BE970" s="193">
        <f>IF(N970="základní",J970,0)</f>
        <v>0</v>
      </c>
      <c r="BF970" s="193">
        <f>IF(N970="snížená",J970,0)</f>
        <v>0</v>
      </c>
      <c r="BG970" s="193">
        <f>IF(N970="zákl. přenesená",J970,0)</f>
        <v>0</v>
      </c>
      <c r="BH970" s="193">
        <f>IF(N970="sníž. přenesená",J970,0)</f>
        <v>0</v>
      </c>
      <c r="BI970" s="193">
        <f>IF(N970="nulová",J970,0)</f>
        <v>0</v>
      </c>
      <c r="BJ970" s="19" t="s">
        <v>79</v>
      </c>
      <c r="BK970" s="193">
        <f>ROUND(I970*H970,2)</f>
        <v>0</v>
      </c>
      <c r="BL970" s="19" t="s">
        <v>281</v>
      </c>
      <c r="BM970" s="192" t="s">
        <v>1430</v>
      </c>
    </row>
    <row r="971" spans="1:65" s="14" customFormat="1" ht="11.25">
      <c r="B971" s="205"/>
      <c r="C971" s="206"/>
      <c r="D971" s="196" t="s">
        <v>388</v>
      </c>
      <c r="E971" s="206"/>
      <c r="F971" s="208" t="s">
        <v>1431</v>
      </c>
      <c r="G971" s="206"/>
      <c r="H971" s="209">
        <v>0.42499999999999999</v>
      </c>
      <c r="I971" s="210"/>
      <c r="J971" s="206"/>
      <c r="K971" s="206"/>
      <c r="L971" s="211"/>
      <c r="M971" s="212"/>
      <c r="N971" s="213"/>
      <c r="O971" s="213"/>
      <c r="P971" s="213"/>
      <c r="Q971" s="213"/>
      <c r="R971" s="213"/>
      <c r="S971" s="213"/>
      <c r="T971" s="214"/>
      <c r="AT971" s="215" t="s">
        <v>388</v>
      </c>
      <c r="AU971" s="215" t="s">
        <v>82</v>
      </c>
      <c r="AV971" s="14" t="s">
        <v>82</v>
      </c>
      <c r="AW971" s="14" t="s">
        <v>4</v>
      </c>
      <c r="AX971" s="14" t="s">
        <v>79</v>
      </c>
      <c r="AY971" s="215" t="s">
        <v>380</v>
      </c>
    </row>
    <row r="972" spans="1:65" s="2" customFormat="1" ht="21.75" customHeight="1">
      <c r="A972" s="36"/>
      <c r="B972" s="37"/>
      <c r="C972" s="181" t="s">
        <v>1432</v>
      </c>
      <c r="D972" s="181" t="s">
        <v>382</v>
      </c>
      <c r="E972" s="182" t="s">
        <v>1433</v>
      </c>
      <c r="F972" s="183" t="s">
        <v>1434</v>
      </c>
      <c r="G972" s="184" t="s">
        <v>398</v>
      </c>
      <c r="H972" s="185">
        <v>2008.5609999999999</v>
      </c>
      <c r="I972" s="186"/>
      <c r="J972" s="187">
        <f>ROUND(I972*H972,2)</f>
        <v>0</v>
      </c>
      <c r="K972" s="183" t="s">
        <v>399</v>
      </c>
      <c r="L972" s="41"/>
      <c r="M972" s="188" t="s">
        <v>19</v>
      </c>
      <c r="N972" s="189" t="s">
        <v>43</v>
      </c>
      <c r="O972" s="66"/>
      <c r="P972" s="190">
        <f>O972*H972</f>
        <v>0</v>
      </c>
      <c r="Q972" s="190">
        <v>0</v>
      </c>
      <c r="R972" s="190">
        <f>Q972*H972</f>
        <v>0</v>
      </c>
      <c r="S972" s="190">
        <v>0</v>
      </c>
      <c r="T972" s="191">
        <f>S972*H972</f>
        <v>0</v>
      </c>
      <c r="U972" s="36"/>
      <c r="V972" s="36"/>
      <c r="W972" s="36"/>
      <c r="X972" s="36"/>
      <c r="Y972" s="36"/>
      <c r="Z972" s="36"/>
      <c r="AA972" s="36"/>
      <c r="AB972" s="36"/>
      <c r="AC972" s="36"/>
      <c r="AD972" s="36"/>
      <c r="AE972" s="36"/>
      <c r="AR972" s="192" t="s">
        <v>281</v>
      </c>
      <c r="AT972" s="192" t="s">
        <v>382</v>
      </c>
      <c r="AU972" s="192" t="s">
        <v>82</v>
      </c>
      <c r="AY972" s="19" t="s">
        <v>380</v>
      </c>
      <c r="BE972" s="193">
        <f>IF(N972="základní",J972,0)</f>
        <v>0</v>
      </c>
      <c r="BF972" s="193">
        <f>IF(N972="snížená",J972,0)</f>
        <v>0</v>
      </c>
      <c r="BG972" s="193">
        <f>IF(N972="zákl. přenesená",J972,0)</f>
        <v>0</v>
      </c>
      <c r="BH972" s="193">
        <f>IF(N972="sníž. přenesená",J972,0)</f>
        <v>0</v>
      </c>
      <c r="BI972" s="193">
        <f>IF(N972="nulová",J972,0)</f>
        <v>0</v>
      </c>
      <c r="BJ972" s="19" t="s">
        <v>79</v>
      </c>
      <c r="BK972" s="193">
        <f>ROUND(I972*H972,2)</f>
        <v>0</v>
      </c>
      <c r="BL972" s="19" t="s">
        <v>281</v>
      </c>
      <c r="BM972" s="192" t="s">
        <v>1435</v>
      </c>
    </row>
    <row r="973" spans="1:65" s="13" customFormat="1" ht="11.25">
      <c r="B973" s="194"/>
      <c r="C973" s="195"/>
      <c r="D973" s="196" t="s">
        <v>388</v>
      </c>
      <c r="E973" s="197" t="s">
        <v>19</v>
      </c>
      <c r="F973" s="198" t="s">
        <v>1436</v>
      </c>
      <c r="G973" s="195"/>
      <c r="H973" s="197" t="s">
        <v>19</v>
      </c>
      <c r="I973" s="199"/>
      <c r="J973" s="195"/>
      <c r="K973" s="195"/>
      <c r="L973" s="200"/>
      <c r="M973" s="201"/>
      <c r="N973" s="202"/>
      <c r="O973" s="202"/>
      <c r="P973" s="202"/>
      <c r="Q973" s="202"/>
      <c r="R973" s="202"/>
      <c r="S973" s="202"/>
      <c r="T973" s="203"/>
      <c r="AT973" s="204" t="s">
        <v>388</v>
      </c>
      <c r="AU973" s="204" t="s">
        <v>82</v>
      </c>
      <c r="AV973" s="13" t="s">
        <v>79</v>
      </c>
      <c r="AW973" s="13" t="s">
        <v>33</v>
      </c>
      <c r="AX973" s="13" t="s">
        <v>72</v>
      </c>
      <c r="AY973" s="204" t="s">
        <v>380</v>
      </c>
    </row>
    <row r="974" spans="1:65" s="14" customFormat="1" ht="11.25">
      <c r="B974" s="205"/>
      <c r="C974" s="206"/>
      <c r="D974" s="196" t="s">
        <v>388</v>
      </c>
      <c r="E974" s="207" t="s">
        <v>19</v>
      </c>
      <c r="F974" s="208" t="s">
        <v>1415</v>
      </c>
      <c r="G974" s="206"/>
      <c r="H974" s="209">
        <v>396.09899999999999</v>
      </c>
      <c r="I974" s="210"/>
      <c r="J974" s="206"/>
      <c r="K974" s="206"/>
      <c r="L974" s="211"/>
      <c r="M974" s="212"/>
      <c r="N974" s="213"/>
      <c r="O974" s="213"/>
      <c r="P974" s="213"/>
      <c r="Q974" s="213"/>
      <c r="R974" s="213"/>
      <c r="S974" s="213"/>
      <c r="T974" s="214"/>
      <c r="AT974" s="215" t="s">
        <v>388</v>
      </c>
      <c r="AU974" s="215" t="s">
        <v>82</v>
      </c>
      <c r="AV974" s="14" t="s">
        <v>82</v>
      </c>
      <c r="AW974" s="14" t="s">
        <v>33</v>
      </c>
      <c r="AX974" s="14" t="s">
        <v>72</v>
      </c>
      <c r="AY974" s="215" t="s">
        <v>380</v>
      </c>
    </row>
    <row r="975" spans="1:65" s="14" customFormat="1" ht="11.25">
      <c r="B975" s="205"/>
      <c r="C975" s="206"/>
      <c r="D975" s="196" t="s">
        <v>388</v>
      </c>
      <c r="E975" s="207" t="s">
        <v>19</v>
      </c>
      <c r="F975" s="208" t="s">
        <v>1437</v>
      </c>
      <c r="G975" s="206"/>
      <c r="H975" s="209">
        <v>39.292000000000002</v>
      </c>
      <c r="I975" s="210"/>
      <c r="J975" s="206"/>
      <c r="K975" s="206"/>
      <c r="L975" s="211"/>
      <c r="M975" s="212"/>
      <c r="N975" s="213"/>
      <c r="O975" s="213"/>
      <c r="P975" s="213"/>
      <c r="Q975" s="213"/>
      <c r="R975" s="213"/>
      <c r="S975" s="213"/>
      <c r="T975" s="214"/>
      <c r="AT975" s="215" t="s">
        <v>388</v>
      </c>
      <c r="AU975" s="215" t="s">
        <v>82</v>
      </c>
      <c r="AV975" s="14" t="s">
        <v>82</v>
      </c>
      <c r="AW975" s="14" t="s">
        <v>33</v>
      </c>
      <c r="AX975" s="14" t="s">
        <v>72</v>
      </c>
      <c r="AY975" s="215" t="s">
        <v>380</v>
      </c>
    </row>
    <row r="976" spans="1:65" s="14" customFormat="1" ht="11.25">
      <c r="B976" s="205"/>
      <c r="C976" s="206"/>
      <c r="D976" s="196" t="s">
        <v>388</v>
      </c>
      <c r="E976" s="207" t="s">
        <v>19</v>
      </c>
      <c r="F976" s="208" t="s">
        <v>1438</v>
      </c>
      <c r="G976" s="206"/>
      <c r="H976" s="209">
        <v>23.231999999999999</v>
      </c>
      <c r="I976" s="210"/>
      <c r="J976" s="206"/>
      <c r="K976" s="206"/>
      <c r="L976" s="211"/>
      <c r="M976" s="212"/>
      <c r="N976" s="213"/>
      <c r="O976" s="213"/>
      <c r="P976" s="213"/>
      <c r="Q976" s="213"/>
      <c r="R976" s="213"/>
      <c r="S976" s="213"/>
      <c r="T976" s="214"/>
      <c r="AT976" s="215" t="s">
        <v>388</v>
      </c>
      <c r="AU976" s="215" t="s">
        <v>82</v>
      </c>
      <c r="AV976" s="14" t="s">
        <v>82</v>
      </c>
      <c r="AW976" s="14" t="s">
        <v>33</v>
      </c>
      <c r="AX976" s="14" t="s">
        <v>72</v>
      </c>
      <c r="AY976" s="215" t="s">
        <v>380</v>
      </c>
    </row>
    <row r="977" spans="2:51" s="16" customFormat="1" ht="11.25">
      <c r="B977" s="237"/>
      <c r="C977" s="238"/>
      <c r="D977" s="196" t="s">
        <v>388</v>
      </c>
      <c r="E977" s="239" t="s">
        <v>19</v>
      </c>
      <c r="F977" s="240" t="s">
        <v>572</v>
      </c>
      <c r="G977" s="238"/>
      <c r="H977" s="241">
        <v>458.62299999999999</v>
      </c>
      <c r="I977" s="242"/>
      <c r="J977" s="238"/>
      <c r="K977" s="238"/>
      <c r="L977" s="243"/>
      <c r="M977" s="244"/>
      <c r="N977" s="245"/>
      <c r="O977" s="245"/>
      <c r="P977" s="245"/>
      <c r="Q977" s="245"/>
      <c r="R977" s="245"/>
      <c r="S977" s="245"/>
      <c r="T977" s="246"/>
      <c r="AT977" s="247" t="s">
        <v>388</v>
      </c>
      <c r="AU977" s="247" t="s">
        <v>82</v>
      </c>
      <c r="AV977" s="16" t="s">
        <v>99</v>
      </c>
      <c r="AW977" s="16" t="s">
        <v>33</v>
      </c>
      <c r="AX977" s="16" t="s">
        <v>72</v>
      </c>
      <c r="AY977" s="247" t="s">
        <v>380</v>
      </c>
    </row>
    <row r="978" spans="2:51" s="13" customFormat="1" ht="11.25">
      <c r="B978" s="194"/>
      <c r="C978" s="195"/>
      <c r="D978" s="196" t="s">
        <v>388</v>
      </c>
      <c r="E978" s="197" t="s">
        <v>19</v>
      </c>
      <c r="F978" s="198" t="s">
        <v>1439</v>
      </c>
      <c r="G978" s="195"/>
      <c r="H978" s="197" t="s">
        <v>19</v>
      </c>
      <c r="I978" s="199"/>
      <c r="J978" s="195"/>
      <c r="K978" s="195"/>
      <c r="L978" s="200"/>
      <c r="M978" s="201"/>
      <c r="N978" s="202"/>
      <c r="O978" s="202"/>
      <c r="P978" s="202"/>
      <c r="Q978" s="202"/>
      <c r="R978" s="202"/>
      <c r="S978" s="202"/>
      <c r="T978" s="203"/>
      <c r="AT978" s="204" t="s">
        <v>388</v>
      </c>
      <c r="AU978" s="204" t="s">
        <v>82</v>
      </c>
      <c r="AV978" s="13" t="s">
        <v>79</v>
      </c>
      <c r="AW978" s="13" t="s">
        <v>33</v>
      </c>
      <c r="AX978" s="13" t="s">
        <v>72</v>
      </c>
      <c r="AY978" s="204" t="s">
        <v>380</v>
      </c>
    </row>
    <row r="979" spans="2:51" s="14" customFormat="1" ht="11.25">
      <c r="B979" s="205"/>
      <c r="C979" s="206"/>
      <c r="D979" s="196" t="s">
        <v>388</v>
      </c>
      <c r="E979" s="207" t="s">
        <v>19</v>
      </c>
      <c r="F979" s="208" t="s">
        <v>1419</v>
      </c>
      <c r="G979" s="206"/>
      <c r="H979" s="209">
        <v>22.140999999999998</v>
      </c>
      <c r="I979" s="210"/>
      <c r="J979" s="206"/>
      <c r="K979" s="206"/>
      <c r="L979" s="211"/>
      <c r="M979" s="212"/>
      <c r="N979" s="213"/>
      <c r="O979" s="213"/>
      <c r="P979" s="213"/>
      <c r="Q979" s="213"/>
      <c r="R979" s="213"/>
      <c r="S979" s="213"/>
      <c r="T979" s="214"/>
      <c r="AT979" s="215" t="s">
        <v>388</v>
      </c>
      <c r="AU979" s="215" t="s">
        <v>82</v>
      </c>
      <c r="AV979" s="14" t="s">
        <v>82</v>
      </c>
      <c r="AW979" s="14" t="s">
        <v>33</v>
      </c>
      <c r="AX979" s="14" t="s">
        <v>72</v>
      </c>
      <c r="AY979" s="215" t="s">
        <v>380</v>
      </c>
    </row>
    <row r="980" spans="2:51" s="16" customFormat="1" ht="11.25">
      <c r="B980" s="237"/>
      <c r="C980" s="238"/>
      <c r="D980" s="196" t="s">
        <v>388</v>
      </c>
      <c r="E980" s="239" t="s">
        <v>19</v>
      </c>
      <c r="F980" s="240" t="s">
        <v>572</v>
      </c>
      <c r="G980" s="238"/>
      <c r="H980" s="241">
        <v>22.140999999999998</v>
      </c>
      <c r="I980" s="242"/>
      <c r="J980" s="238"/>
      <c r="K980" s="238"/>
      <c r="L980" s="243"/>
      <c r="M980" s="244"/>
      <c r="N980" s="245"/>
      <c r="O980" s="245"/>
      <c r="P980" s="245"/>
      <c r="Q980" s="245"/>
      <c r="R980" s="245"/>
      <c r="S980" s="245"/>
      <c r="T980" s="246"/>
      <c r="AT980" s="247" t="s">
        <v>388</v>
      </c>
      <c r="AU980" s="247" t="s">
        <v>82</v>
      </c>
      <c r="AV980" s="16" t="s">
        <v>99</v>
      </c>
      <c r="AW980" s="16" t="s">
        <v>33</v>
      </c>
      <c r="AX980" s="16" t="s">
        <v>72</v>
      </c>
      <c r="AY980" s="247" t="s">
        <v>380</v>
      </c>
    </row>
    <row r="981" spans="2:51" s="13" customFormat="1" ht="11.25">
      <c r="B981" s="194"/>
      <c r="C981" s="195"/>
      <c r="D981" s="196" t="s">
        <v>388</v>
      </c>
      <c r="E981" s="197" t="s">
        <v>19</v>
      </c>
      <c r="F981" s="198" t="s">
        <v>1440</v>
      </c>
      <c r="G981" s="195"/>
      <c r="H981" s="197" t="s">
        <v>19</v>
      </c>
      <c r="I981" s="199"/>
      <c r="J981" s="195"/>
      <c r="K981" s="195"/>
      <c r="L981" s="200"/>
      <c r="M981" s="201"/>
      <c r="N981" s="202"/>
      <c r="O981" s="202"/>
      <c r="P981" s="202"/>
      <c r="Q981" s="202"/>
      <c r="R981" s="202"/>
      <c r="S981" s="202"/>
      <c r="T981" s="203"/>
      <c r="AT981" s="204" t="s">
        <v>388</v>
      </c>
      <c r="AU981" s="204" t="s">
        <v>82</v>
      </c>
      <c r="AV981" s="13" t="s">
        <v>79</v>
      </c>
      <c r="AW981" s="13" t="s">
        <v>33</v>
      </c>
      <c r="AX981" s="13" t="s">
        <v>72</v>
      </c>
      <c r="AY981" s="204" t="s">
        <v>380</v>
      </c>
    </row>
    <row r="982" spans="2:51" s="14" customFormat="1" ht="11.25">
      <c r="B982" s="205"/>
      <c r="C982" s="206"/>
      <c r="D982" s="196" t="s">
        <v>388</v>
      </c>
      <c r="E982" s="207" t="s">
        <v>19</v>
      </c>
      <c r="F982" s="208" t="s">
        <v>1421</v>
      </c>
      <c r="G982" s="206"/>
      <c r="H982" s="209">
        <v>113.97</v>
      </c>
      <c r="I982" s="210"/>
      <c r="J982" s="206"/>
      <c r="K982" s="206"/>
      <c r="L982" s="211"/>
      <c r="M982" s="212"/>
      <c r="N982" s="213"/>
      <c r="O982" s="213"/>
      <c r="P982" s="213"/>
      <c r="Q982" s="213"/>
      <c r="R982" s="213"/>
      <c r="S982" s="213"/>
      <c r="T982" s="214"/>
      <c r="AT982" s="215" t="s">
        <v>388</v>
      </c>
      <c r="AU982" s="215" t="s">
        <v>82</v>
      </c>
      <c r="AV982" s="14" t="s">
        <v>82</v>
      </c>
      <c r="AW982" s="14" t="s">
        <v>33</v>
      </c>
      <c r="AX982" s="14" t="s">
        <v>72</v>
      </c>
      <c r="AY982" s="215" t="s">
        <v>380</v>
      </c>
    </row>
    <row r="983" spans="2:51" s="14" customFormat="1" ht="11.25">
      <c r="B983" s="205"/>
      <c r="C983" s="206"/>
      <c r="D983" s="196" t="s">
        <v>388</v>
      </c>
      <c r="E983" s="207" t="s">
        <v>19</v>
      </c>
      <c r="F983" s="208" t="s">
        <v>1441</v>
      </c>
      <c r="G983" s="206"/>
      <c r="H983" s="209">
        <v>24.225000000000001</v>
      </c>
      <c r="I983" s="210"/>
      <c r="J983" s="206"/>
      <c r="K983" s="206"/>
      <c r="L983" s="211"/>
      <c r="M983" s="212"/>
      <c r="N983" s="213"/>
      <c r="O983" s="213"/>
      <c r="P983" s="213"/>
      <c r="Q983" s="213"/>
      <c r="R983" s="213"/>
      <c r="S983" s="213"/>
      <c r="T983" s="214"/>
      <c r="AT983" s="215" t="s">
        <v>388</v>
      </c>
      <c r="AU983" s="215" t="s">
        <v>82</v>
      </c>
      <c r="AV983" s="14" t="s">
        <v>82</v>
      </c>
      <c r="AW983" s="14" t="s">
        <v>33</v>
      </c>
      <c r="AX983" s="14" t="s">
        <v>72</v>
      </c>
      <c r="AY983" s="215" t="s">
        <v>380</v>
      </c>
    </row>
    <row r="984" spans="2:51" s="14" customFormat="1" ht="11.25">
      <c r="B984" s="205"/>
      <c r="C984" s="206"/>
      <c r="D984" s="196" t="s">
        <v>388</v>
      </c>
      <c r="E984" s="207" t="s">
        <v>19</v>
      </c>
      <c r="F984" s="208" t="s">
        <v>1442</v>
      </c>
      <c r="G984" s="206"/>
      <c r="H984" s="209">
        <v>16.288</v>
      </c>
      <c r="I984" s="210"/>
      <c r="J984" s="206"/>
      <c r="K984" s="206"/>
      <c r="L984" s="211"/>
      <c r="M984" s="212"/>
      <c r="N984" s="213"/>
      <c r="O984" s="213"/>
      <c r="P984" s="213"/>
      <c r="Q984" s="213"/>
      <c r="R984" s="213"/>
      <c r="S984" s="213"/>
      <c r="T984" s="214"/>
      <c r="AT984" s="215" t="s">
        <v>388</v>
      </c>
      <c r="AU984" s="215" t="s">
        <v>82</v>
      </c>
      <c r="AV984" s="14" t="s">
        <v>82</v>
      </c>
      <c r="AW984" s="14" t="s">
        <v>33</v>
      </c>
      <c r="AX984" s="14" t="s">
        <v>72</v>
      </c>
      <c r="AY984" s="215" t="s">
        <v>380</v>
      </c>
    </row>
    <row r="985" spans="2:51" s="16" customFormat="1" ht="11.25">
      <c r="B985" s="237"/>
      <c r="C985" s="238"/>
      <c r="D985" s="196" t="s">
        <v>388</v>
      </c>
      <c r="E985" s="239" t="s">
        <v>19</v>
      </c>
      <c r="F985" s="240" t="s">
        <v>572</v>
      </c>
      <c r="G985" s="238"/>
      <c r="H985" s="241">
        <v>154.483</v>
      </c>
      <c r="I985" s="242"/>
      <c r="J985" s="238"/>
      <c r="K985" s="238"/>
      <c r="L985" s="243"/>
      <c r="M985" s="244"/>
      <c r="N985" s="245"/>
      <c r="O985" s="245"/>
      <c r="P985" s="245"/>
      <c r="Q985" s="245"/>
      <c r="R985" s="245"/>
      <c r="S985" s="245"/>
      <c r="T985" s="246"/>
      <c r="AT985" s="247" t="s">
        <v>388</v>
      </c>
      <c r="AU985" s="247" t="s">
        <v>82</v>
      </c>
      <c r="AV985" s="16" t="s">
        <v>99</v>
      </c>
      <c r="AW985" s="16" t="s">
        <v>33</v>
      </c>
      <c r="AX985" s="16" t="s">
        <v>72</v>
      </c>
      <c r="AY985" s="247" t="s">
        <v>380</v>
      </c>
    </row>
    <row r="986" spans="2:51" s="13" customFormat="1" ht="11.25">
      <c r="B986" s="194"/>
      <c r="C986" s="195"/>
      <c r="D986" s="196" t="s">
        <v>388</v>
      </c>
      <c r="E986" s="197" t="s">
        <v>19</v>
      </c>
      <c r="F986" s="198" t="s">
        <v>1443</v>
      </c>
      <c r="G986" s="195"/>
      <c r="H986" s="197" t="s">
        <v>19</v>
      </c>
      <c r="I986" s="199"/>
      <c r="J986" s="195"/>
      <c r="K986" s="195"/>
      <c r="L986" s="200"/>
      <c r="M986" s="201"/>
      <c r="N986" s="202"/>
      <c r="O986" s="202"/>
      <c r="P986" s="202"/>
      <c r="Q986" s="202"/>
      <c r="R986" s="202"/>
      <c r="S986" s="202"/>
      <c r="T986" s="203"/>
      <c r="AT986" s="204" t="s">
        <v>388</v>
      </c>
      <c r="AU986" s="204" t="s">
        <v>82</v>
      </c>
      <c r="AV986" s="13" t="s">
        <v>79</v>
      </c>
      <c r="AW986" s="13" t="s">
        <v>33</v>
      </c>
      <c r="AX986" s="13" t="s">
        <v>72</v>
      </c>
      <c r="AY986" s="204" t="s">
        <v>380</v>
      </c>
    </row>
    <row r="987" spans="2:51" s="14" customFormat="1" ht="11.25">
      <c r="B987" s="205"/>
      <c r="C987" s="206"/>
      <c r="D987" s="196" t="s">
        <v>388</v>
      </c>
      <c r="E987" s="207" t="s">
        <v>19</v>
      </c>
      <c r="F987" s="208" t="s">
        <v>1424</v>
      </c>
      <c r="G987" s="206"/>
      <c r="H987" s="209">
        <v>629.34299999999996</v>
      </c>
      <c r="I987" s="210"/>
      <c r="J987" s="206"/>
      <c r="K987" s="206"/>
      <c r="L987" s="211"/>
      <c r="M987" s="212"/>
      <c r="N987" s="213"/>
      <c r="O987" s="213"/>
      <c r="P987" s="213"/>
      <c r="Q987" s="213"/>
      <c r="R987" s="213"/>
      <c r="S987" s="213"/>
      <c r="T987" s="214"/>
      <c r="AT987" s="215" t="s">
        <v>388</v>
      </c>
      <c r="AU987" s="215" t="s">
        <v>82</v>
      </c>
      <c r="AV987" s="14" t="s">
        <v>82</v>
      </c>
      <c r="AW987" s="14" t="s">
        <v>33</v>
      </c>
      <c r="AX987" s="14" t="s">
        <v>72</v>
      </c>
      <c r="AY987" s="215" t="s">
        <v>380</v>
      </c>
    </row>
    <row r="988" spans="2:51" s="14" customFormat="1" ht="11.25">
      <c r="B988" s="205"/>
      <c r="C988" s="206"/>
      <c r="D988" s="196" t="s">
        <v>388</v>
      </c>
      <c r="E988" s="207" t="s">
        <v>19</v>
      </c>
      <c r="F988" s="208" t="s">
        <v>1425</v>
      </c>
      <c r="G988" s="206"/>
      <c r="H988" s="209">
        <v>64.057000000000002</v>
      </c>
      <c r="I988" s="210"/>
      <c r="J988" s="206"/>
      <c r="K988" s="206"/>
      <c r="L988" s="211"/>
      <c r="M988" s="212"/>
      <c r="N988" s="213"/>
      <c r="O988" s="213"/>
      <c r="P988" s="213"/>
      <c r="Q988" s="213"/>
      <c r="R988" s="213"/>
      <c r="S988" s="213"/>
      <c r="T988" s="214"/>
      <c r="AT988" s="215" t="s">
        <v>388</v>
      </c>
      <c r="AU988" s="215" t="s">
        <v>82</v>
      </c>
      <c r="AV988" s="14" t="s">
        <v>82</v>
      </c>
      <c r="AW988" s="14" t="s">
        <v>33</v>
      </c>
      <c r="AX988" s="14" t="s">
        <v>72</v>
      </c>
      <c r="AY988" s="215" t="s">
        <v>380</v>
      </c>
    </row>
    <row r="989" spans="2:51" s="16" customFormat="1" ht="11.25">
      <c r="B989" s="237"/>
      <c r="C989" s="238"/>
      <c r="D989" s="196" t="s">
        <v>388</v>
      </c>
      <c r="E989" s="239" t="s">
        <v>19</v>
      </c>
      <c r="F989" s="240" t="s">
        <v>572</v>
      </c>
      <c r="G989" s="238"/>
      <c r="H989" s="241">
        <v>693.4</v>
      </c>
      <c r="I989" s="242"/>
      <c r="J989" s="238"/>
      <c r="K989" s="238"/>
      <c r="L989" s="243"/>
      <c r="M989" s="244"/>
      <c r="N989" s="245"/>
      <c r="O989" s="245"/>
      <c r="P989" s="245"/>
      <c r="Q989" s="245"/>
      <c r="R989" s="245"/>
      <c r="S989" s="245"/>
      <c r="T989" s="246"/>
      <c r="AT989" s="247" t="s">
        <v>388</v>
      </c>
      <c r="AU989" s="247" t="s">
        <v>82</v>
      </c>
      <c r="AV989" s="16" t="s">
        <v>99</v>
      </c>
      <c r="AW989" s="16" t="s">
        <v>33</v>
      </c>
      <c r="AX989" s="16" t="s">
        <v>72</v>
      </c>
      <c r="AY989" s="247" t="s">
        <v>380</v>
      </c>
    </row>
    <row r="990" spans="2:51" s="13" customFormat="1" ht="11.25">
      <c r="B990" s="194"/>
      <c r="C990" s="195"/>
      <c r="D990" s="196" t="s">
        <v>388</v>
      </c>
      <c r="E990" s="197" t="s">
        <v>19</v>
      </c>
      <c r="F990" s="198" t="s">
        <v>1444</v>
      </c>
      <c r="G990" s="195"/>
      <c r="H990" s="197" t="s">
        <v>19</v>
      </c>
      <c r="I990" s="199"/>
      <c r="J990" s="195"/>
      <c r="K990" s="195"/>
      <c r="L990" s="200"/>
      <c r="M990" s="201"/>
      <c r="N990" s="202"/>
      <c r="O990" s="202"/>
      <c r="P990" s="202"/>
      <c r="Q990" s="202"/>
      <c r="R990" s="202"/>
      <c r="S990" s="202"/>
      <c r="T990" s="203"/>
      <c r="AT990" s="204" t="s">
        <v>388</v>
      </c>
      <c r="AU990" s="204" t="s">
        <v>82</v>
      </c>
      <c r="AV990" s="13" t="s">
        <v>79</v>
      </c>
      <c r="AW990" s="13" t="s">
        <v>33</v>
      </c>
      <c r="AX990" s="13" t="s">
        <v>72</v>
      </c>
      <c r="AY990" s="204" t="s">
        <v>380</v>
      </c>
    </row>
    <row r="991" spans="2:51" s="14" customFormat="1" ht="11.25">
      <c r="B991" s="205"/>
      <c r="C991" s="206"/>
      <c r="D991" s="196" t="s">
        <v>388</v>
      </c>
      <c r="E991" s="207" t="s">
        <v>19</v>
      </c>
      <c r="F991" s="208" t="s">
        <v>1424</v>
      </c>
      <c r="G991" s="206"/>
      <c r="H991" s="209">
        <v>629.34299999999996</v>
      </c>
      <c r="I991" s="210"/>
      <c r="J991" s="206"/>
      <c r="K991" s="206"/>
      <c r="L991" s="211"/>
      <c r="M991" s="212"/>
      <c r="N991" s="213"/>
      <c r="O991" s="213"/>
      <c r="P991" s="213"/>
      <c r="Q991" s="213"/>
      <c r="R991" s="213"/>
      <c r="S991" s="213"/>
      <c r="T991" s="214"/>
      <c r="AT991" s="215" t="s">
        <v>388</v>
      </c>
      <c r="AU991" s="215" t="s">
        <v>82</v>
      </c>
      <c r="AV991" s="14" t="s">
        <v>82</v>
      </c>
      <c r="AW991" s="14" t="s">
        <v>33</v>
      </c>
      <c r="AX991" s="14" t="s">
        <v>72</v>
      </c>
      <c r="AY991" s="215" t="s">
        <v>380</v>
      </c>
    </row>
    <row r="992" spans="2:51" s="14" customFormat="1" ht="11.25">
      <c r="B992" s="205"/>
      <c r="C992" s="206"/>
      <c r="D992" s="196" t="s">
        <v>388</v>
      </c>
      <c r="E992" s="207" t="s">
        <v>19</v>
      </c>
      <c r="F992" s="208" t="s">
        <v>1445</v>
      </c>
      <c r="G992" s="206"/>
      <c r="H992" s="209">
        <v>50.570999999999998</v>
      </c>
      <c r="I992" s="210"/>
      <c r="J992" s="206"/>
      <c r="K992" s="206"/>
      <c r="L992" s="211"/>
      <c r="M992" s="212"/>
      <c r="N992" s="213"/>
      <c r="O992" s="213"/>
      <c r="P992" s="213"/>
      <c r="Q992" s="213"/>
      <c r="R992" s="213"/>
      <c r="S992" s="213"/>
      <c r="T992" s="214"/>
      <c r="AT992" s="215" t="s">
        <v>388</v>
      </c>
      <c r="AU992" s="215" t="s">
        <v>82</v>
      </c>
      <c r="AV992" s="14" t="s">
        <v>82</v>
      </c>
      <c r="AW992" s="14" t="s">
        <v>33</v>
      </c>
      <c r="AX992" s="14" t="s">
        <v>72</v>
      </c>
      <c r="AY992" s="215" t="s">
        <v>380</v>
      </c>
    </row>
    <row r="993" spans="1:65" s="16" customFormat="1" ht="11.25">
      <c r="B993" s="237"/>
      <c r="C993" s="238"/>
      <c r="D993" s="196" t="s">
        <v>388</v>
      </c>
      <c r="E993" s="239" t="s">
        <v>19</v>
      </c>
      <c r="F993" s="240" t="s">
        <v>572</v>
      </c>
      <c r="G993" s="238"/>
      <c r="H993" s="241">
        <v>679.91399999999999</v>
      </c>
      <c r="I993" s="242"/>
      <c r="J993" s="238"/>
      <c r="K993" s="238"/>
      <c r="L993" s="243"/>
      <c r="M993" s="244"/>
      <c r="N993" s="245"/>
      <c r="O993" s="245"/>
      <c r="P993" s="245"/>
      <c r="Q993" s="245"/>
      <c r="R993" s="245"/>
      <c r="S993" s="245"/>
      <c r="T993" s="246"/>
      <c r="AT993" s="247" t="s">
        <v>388</v>
      </c>
      <c r="AU993" s="247" t="s">
        <v>82</v>
      </c>
      <c r="AV993" s="16" t="s">
        <v>99</v>
      </c>
      <c r="AW993" s="16" t="s">
        <v>33</v>
      </c>
      <c r="AX993" s="16" t="s">
        <v>72</v>
      </c>
      <c r="AY993" s="247" t="s">
        <v>380</v>
      </c>
    </row>
    <row r="994" spans="1:65" s="15" customFormat="1" ht="11.25">
      <c r="B994" s="216"/>
      <c r="C994" s="217"/>
      <c r="D994" s="196" t="s">
        <v>388</v>
      </c>
      <c r="E994" s="218" t="s">
        <v>19</v>
      </c>
      <c r="F994" s="219" t="s">
        <v>419</v>
      </c>
      <c r="G994" s="217"/>
      <c r="H994" s="220">
        <v>2008.5609999999999</v>
      </c>
      <c r="I994" s="221"/>
      <c r="J994" s="217"/>
      <c r="K994" s="217"/>
      <c r="L994" s="222"/>
      <c r="M994" s="223"/>
      <c r="N994" s="224"/>
      <c r="O994" s="224"/>
      <c r="P994" s="224"/>
      <c r="Q994" s="224"/>
      <c r="R994" s="224"/>
      <c r="S994" s="224"/>
      <c r="T994" s="225"/>
      <c r="AT994" s="226" t="s">
        <v>388</v>
      </c>
      <c r="AU994" s="226" t="s">
        <v>82</v>
      </c>
      <c r="AV994" s="15" t="s">
        <v>386</v>
      </c>
      <c r="AW994" s="15" t="s">
        <v>33</v>
      </c>
      <c r="AX994" s="15" t="s">
        <v>79</v>
      </c>
      <c r="AY994" s="226" t="s">
        <v>380</v>
      </c>
    </row>
    <row r="995" spans="1:65" s="2" customFormat="1" ht="24.2" customHeight="1">
      <c r="A995" s="36"/>
      <c r="B995" s="37"/>
      <c r="C995" s="227" t="s">
        <v>1446</v>
      </c>
      <c r="D995" s="227" t="s">
        <v>465</v>
      </c>
      <c r="E995" s="228" t="s">
        <v>1447</v>
      </c>
      <c r="F995" s="229" t="s">
        <v>1448</v>
      </c>
      <c r="G995" s="230" t="s">
        <v>398</v>
      </c>
      <c r="H995" s="231">
        <v>1512.4369999999999</v>
      </c>
      <c r="I995" s="232"/>
      <c r="J995" s="233">
        <f>ROUND(I995*H995,2)</f>
        <v>0</v>
      </c>
      <c r="K995" s="229" t="s">
        <v>19</v>
      </c>
      <c r="L995" s="234"/>
      <c r="M995" s="235" t="s">
        <v>19</v>
      </c>
      <c r="N995" s="236" t="s">
        <v>43</v>
      </c>
      <c r="O995" s="66"/>
      <c r="P995" s="190">
        <f>O995*H995</f>
        <v>0</v>
      </c>
      <c r="Q995" s="190">
        <v>1E-3</v>
      </c>
      <c r="R995" s="190">
        <f>Q995*H995</f>
        <v>1.512437</v>
      </c>
      <c r="S995" s="190">
        <v>0</v>
      </c>
      <c r="T995" s="191">
        <f>S995*H995</f>
        <v>0</v>
      </c>
      <c r="U995" s="36"/>
      <c r="V995" s="36"/>
      <c r="W995" s="36"/>
      <c r="X995" s="36"/>
      <c r="Y995" s="36"/>
      <c r="Z995" s="36"/>
      <c r="AA995" s="36"/>
      <c r="AB995" s="36"/>
      <c r="AC995" s="36"/>
      <c r="AD995" s="36"/>
      <c r="AE995" s="36"/>
      <c r="AR995" s="192" t="s">
        <v>546</v>
      </c>
      <c r="AT995" s="192" t="s">
        <v>465</v>
      </c>
      <c r="AU995" s="192" t="s">
        <v>82</v>
      </c>
      <c r="AY995" s="19" t="s">
        <v>380</v>
      </c>
      <c r="BE995" s="193">
        <f>IF(N995="základní",J995,0)</f>
        <v>0</v>
      </c>
      <c r="BF995" s="193">
        <f>IF(N995="snížená",J995,0)</f>
        <v>0</v>
      </c>
      <c r="BG995" s="193">
        <f>IF(N995="zákl. přenesená",J995,0)</f>
        <v>0</v>
      </c>
      <c r="BH995" s="193">
        <f>IF(N995="sníž. přenesená",J995,0)</f>
        <v>0</v>
      </c>
      <c r="BI995" s="193">
        <f>IF(N995="nulová",J995,0)</f>
        <v>0</v>
      </c>
      <c r="BJ995" s="19" t="s">
        <v>79</v>
      </c>
      <c r="BK995" s="193">
        <f>ROUND(I995*H995,2)</f>
        <v>0</v>
      </c>
      <c r="BL995" s="19" t="s">
        <v>281</v>
      </c>
      <c r="BM995" s="192" t="s">
        <v>1449</v>
      </c>
    </row>
    <row r="996" spans="1:65" s="13" customFormat="1" ht="11.25">
      <c r="B996" s="194"/>
      <c r="C996" s="195"/>
      <c r="D996" s="196" t="s">
        <v>388</v>
      </c>
      <c r="E996" s="197" t="s">
        <v>19</v>
      </c>
      <c r="F996" s="198" t="s">
        <v>1436</v>
      </c>
      <c r="G996" s="195"/>
      <c r="H996" s="197" t="s">
        <v>19</v>
      </c>
      <c r="I996" s="199"/>
      <c r="J996" s="195"/>
      <c r="K996" s="195"/>
      <c r="L996" s="200"/>
      <c r="M996" s="201"/>
      <c r="N996" s="202"/>
      <c r="O996" s="202"/>
      <c r="P996" s="202"/>
      <c r="Q996" s="202"/>
      <c r="R996" s="202"/>
      <c r="S996" s="202"/>
      <c r="T996" s="203"/>
      <c r="AT996" s="204" t="s">
        <v>388</v>
      </c>
      <c r="AU996" s="204" t="s">
        <v>82</v>
      </c>
      <c r="AV996" s="13" t="s">
        <v>79</v>
      </c>
      <c r="AW996" s="13" t="s">
        <v>33</v>
      </c>
      <c r="AX996" s="13" t="s">
        <v>72</v>
      </c>
      <c r="AY996" s="204" t="s">
        <v>380</v>
      </c>
    </row>
    <row r="997" spans="1:65" s="14" customFormat="1" ht="11.25">
      <c r="B997" s="205"/>
      <c r="C997" s="206"/>
      <c r="D997" s="196" t="s">
        <v>388</v>
      </c>
      <c r="E997" s="207" t="s">
        <v>19</v>
      </c>
      <c r="F997" s="208" t="s">
        <v>1450</v>
      </c>
      <c r="G997" s="206"/>
      <c r="H997" s="209">
        <v>455.51400000000001</v>
      </c>
      <c r="I997" s="210"/>
      <c r="J997" s="206"/>
      <c r="K997" s="206"/>
      <c r="L997" s="211"/>
      <c r="M997" s="212"/>
      <c r="N997" s="213"/>
      <c r="O997" s="213"/>
      <c r="P997" s="213"/>
      <c r="Q997" s="213"/>
      <c r="R997" s="213"/>
      <c r="S997" s="213"/>
      <c r="T997" s="214"/>
      <c r="AT997" s="215" t="s">
        <v>388</v>
      </c>
      <c r="AU997" s="215" t="s">
        <v>82</v>
      </c>
      <c r="AV997" s="14" t="s">
        <v>82</v>
      </c>
      <c r="AW997" s="14" t="s">
        <v>33</v>
      </c>
      <c r="AX997" s="14" t="s">
        <v>72</v>
      </c>
      <c r="AY997" s="215" t="s">
        <v>380</v>
      </c>
    </row>
    <row r="998" spans="1:65" s="14" customFormat="1" ht="11.25">
      <c r="B998" s="205"/>
      <c r="C998" s="206"/>
      <c r="D998" s="196" t="s">
        <v>388</v>
      </c>
      <c r="E998" s="207" t="s">
        <v>19</v>
      </c>
      <c r="F998" s="208" t="s">
        <v>1451</v>
      </c>
      <c r="G998" s="206"/>
      <c r="H998" s="209">
        <v>45.186</v>
      </c>
      <c r="I998" s="210"/>
      <c r="J998" s="206"/>
      <c r="K998" s="206"/>
      <c r="L998" s="211"/>
      <c r="M998" s="212"/>
      <c r="N998" s="213"/>
      <c r="O998" s="213"/>
      <c r="P998" s="213"/>
      <c r="Q998" s="213"/>
      <c r="R998" s="213"/>
      <c r="S998" s="213"/>
      <c r="T998" s="214"/>
      <c r="AT998" s="215" t="s">
        <v>388</v>
      </c>
      <c r="AU998" s="215" t="s">
        <v>82</v>
      </c>
      <c r="AV998" s="14" t="s">
        <v>82</v>
      </c>
      <c r="AW998" s="14" t="s">
        <v>33</v>
      </c>
      <c r="AX998" s="14" t="s">
        <v>72</v>
      </c>
      <c r="AY998" s="215" t="s">
        <v>380</v>
      </c>
    </row>
    <row r="999" spans="1:65" s="14" customFormat="1" ht="11.25">
      <c r="B999" s="205"/>
      <c r="C999" s="206"/>
      <c r="D999" s="196" t="s">
        <v>388</v>
      </c>
      <c r="E999" s="207" t="s">
        <v>19</v>
      </c>
      <c r="F999" s="208" t="s">
        <v>1452</v>
      </c>
      <c r="G999" s="206"/>
      <c r="H999" s="209">
        <v>26.716999999999999</v>
      </c>
      <c r="I999" s="210"/>
      <c r="J999" s="206"/>
      <c r="K999" s="206"/>
      <c r="L999" s="211"/>
      <c r="M999" s="212"/>
      <c r="N999" s="213"/>
      <c r="O999" s="213"/>
      <c r="P999" s="213"/>
      <c r="Q999" s="213"/>
      <c r="R999" s="213"/>
      <c r="S999" s="213"/>
      <c r="T999" s="214"/>
      <c r="AT999" s="215" t="s">
        <v>388</v>
      </c>
      <c r="AU999" s="215" t="s">
        <v>82</v>
      </c>
      <c r="AV999" s="14" t="s">
        <v>82</v>
      </c>
      <c r="AW999" s="14" t="s">
        <v>33</v>
      </c>
      <c r="AX999" s="14" t="s">
        <v>72</v>
      </c>
      <c r="AY999" s="215" t="s">
        <v>380</v>
      </c>
    </row>
    <row r="1000" spans="1:65" s="16" customFormat="1" ht="11.25">
      <c r="B1000" s="237"/>
      <c r="C1000" s="238"/>
      <c r="D1000" s="196" t="s">
        <v>388</v>
      </c>
      <c r="E1000" s="239" t="s">
        <v>19</v>
      </c>
      <c r="F1000" s="240" t="s">
        <v>572</v>
      </c>
      <c r="G1000" s="238"/>
      <c r="H1000" s="241">
        <v>527.41700000000003</v>
      </c>
      <c r="I1000" s="242"/>
      <c r="J1000" s="238"/>
      <c r="K1000" s="238"/>
      <c r="L1000" s="243"/>
      <c r="M1000" s="244"/>
      <c r="N1000" s="245"/>
      <c r="O1000" s="245"/>
      <c r="P1000" s="245"/>
      <c r="Q1000" s="245"/>
      <c r="R1000" s="245"/>
      <c r="S1000" s="245"/>
      <c r="T1000" s="246"/>
      <c r="AT1000" s="247" t="s">
        <v>388</v>
      </c>
      <c r="AU1000" s="247" t="s">
        <v>82</v>
      </c>
      <c r="AV1000" s="16" t="s">
        <v>99</v>
      </c>
      <c r="AW1000" s="16" t="s">
        <v>33</v>
      </c>
      <c r="AX1000" s="16" t="s">
        <v>72</v>
      </c>
      <c r="AY1000" s="247" t="s">
        <v>380</v>
      </c>
    </row>
    <row r="1001" spans="1:65" s="13" customFormat="1" ht="11.25">
      <c r="B1001" s="194"/>
      <c r="C1001" s="195"/>
      <c r="D1001" s="196" t="s">
        <v>388</v>
      </c>
      <c r="E1001" s="197" t="s">
        <v>19</v>
      </c>
      <c r="F1001" s="198" t="s">
        <v>1439</v>
      </c>
      <c r="G1001" s="195"/>
      <c r="H1001" s="197" t="s">
        <v>19</v>
      </c>
      <c r="I1001" s="199"/>
      <c r="J1001" s="195"/>
      <c r="K1001" s="195"/>
      <c r="L1001" s="200"/>
      <c r="M1001" s="201"/>
      <c r="N1001" s="202"/>
      <c r="O1001" s="202"/>
      <c r="P1001" s="202"/>
      <c r="Q1001" s="202"/>
      <c r="R1001" s="202"/>
      <c r="S1001" s="202"/>
      <c r="T1001" s="203"/>
      <c r="AT1001" s="204" t="s">
        <v>388</v>
      </c>
      <c r="AU1001" s="204" t="s">
        <v>82</v>
      </c>
      <c r="AV1001" s="13" t="s">
        <v>79</v>
      </c>
      <c r="AW1001" s="13" t="s">
        <v>33</v>
      </c>
      <c r="AX1001" s="13" t="s">
        <v>72</v>
      </c>
      <c r="AY1001" s="204" t="s">
        <v>380</v>
      </c>
    </row>
    <row r="1002" spans="1:65" s="14" customFormat="1" ht="11.25">
      <c r="B1002" s="205"/>
      <c r="C1002" s="206"/>
      <c r="D1002" s="196" t="s">
        <v>388</v>
      </c>
      <c r="E1002" s="207" t="s">
        <v>19</v>
      </c>
      <c r="F1002" s="208" t="s">
        <v>1453</v>
      </c>
      <c r="G1002" s="206"/>
      <c r="H1002" s="209">
        <v>25.463000000000001</v>
      </c>
      <c r="I1002" s="210"/>
      <c r="J1002" s="206"/>
      <c r="K1002" s="206"/>
      <c r="L1002" s="211"/>
      <c r="M1002" s="212"/>
      <c r="N1002" s="213"/>
      <c r="O1002" s="213"/>
      <c r="P1002" s="213"/>
      <c r="Q1002" s="213"/>
      <c r="R1002" s="213"/>
      <c r="S1002" s="213"/>
      <c r="T1002" s="214"/>
      <c r="AT1002" s="215" t="s">
        <v>388</v>
      </c>
      <c r="AU1002" s="215" t="s">
        <v>82</v>
      </c>
      <c r="AV1002" s="14" t="s">
        <v>82</v>
      </c>
      <c r="AW1002" s="14" t="s">
        <v>33</v>
      </c>
      <c r="AX1002" s="14" t="s">
        <v>72</v>
      </c>
      <c r="AY1002" s="215" t="s">
        <v>380</v>
      </c>
    </row>
    <row r="1003" spans="1:65" s="16" customFormat="1" ht="11.25">
      <c r="B1003" s="237"/>
      <c r="C1003" s="238"/>
      <c r="D1003" s="196" t="s">
        <v>388</v>
      </c>
      <c r="E1003" s="239" t="s">
        <v>19</v>
      </c>
      <c r="F1003" s="240" t="s">
        <v>572</v>
      </c>
      <c r="G1003" s="238"/>
      <c r="H1003" s="241">
        <v>25.463000000000001</v>
      </c>
      <c r="I1003" s="242"/>
      <c r="J1003" s="238"/>
      <c r="K1003" s="238"/>
      <c r="L1003" s="243"/>
      <c r="M1003" s="244"/>
      <c r="N1003" s="245"/>
      <c r="O1003" s="245"/>
      <c r="P1003" s="245"/>
      <c r="Q1003" s="245"/>
      <c r="R1003" s="245"/>
      <c r="S1003" s="245"/>
      <c r="T1003" s="246"/>
      <c r="AT1003" s="247" t="s">
        <v>388</v>
      </c>
      <c r="AU1003" s="247" t="s">
        <v>82</v>
      </c>
      <c r="AV1003" s="16" t="s">
        <v>99</v>
      </c>
      <c r="AW1003" s="16" t="s">
        <v>33</v>
      </c>
      <c r="AX1003" s="16" t="s">
        <v>72</v>
      </c>
      <c r="AY1003" s="247" t="s">
        <v>380</v>
      </c>
    </row>
    <row r="1004" spans="1:65" s="13" customFormat="1" ht="11.25">
      <c r="B1004" s="194"/>
      <c r="C1004" s="195"/>
      <c r="D1004" s="196" t="s">
        <v>388</v>
      </c>
      <c r="E1004" s="197" t="s">
        <v>19</v>
      </c>
      <c r="F1004" s="198" t="s">
        <v>1440</v>
      </c>
      <c r="G1004" s="195"/>
      <c r="H1004" s="197" t="s">
        <v>19</v>
      </c>
      <c r="I1004" s="199"/>
      <c r="J1004" s="195"/>
      <c r="K1004" s="195"/>
      <c r="L1004" s="200"/>
      <c r="M1004" s="201"/>
      <c r="N1004" s="202"/>
      <c r="O1004" s="202"/>
      <c r="P1004" s="202"/>
      <c r="Q1004" s="202"/>
      <c r="R1004" s="202"/>
      <c r="S1004" s="202"/>
      <c r="T1004" s="203"/>
      <c r="AT1004" s="204" t="s">
        <v>388</v>
      </c>
      <c r="AU1004" s="204" t="s">
        <v>82</v>
      </c>
      <c r="AV1004" s="13" t="s">
        <v>79</v>
      </c>
      <c r="AW1004" s="13" t="s">
        <v>33</v>
      </c>
      <c r="AX1004" s="13" t="s">
        <v>72</v>
      </c>
      <c r="AY1004" s="204" t="s">
        <v>380</v>
      </c>
    </row>
    <row r="1005" spans="1:65" s="14" customFormat="1" ht="11.25">
      <c r="B1005" s="205"/>
      <c r="C1005" s="206"/>
      <c r="D1005" s="196" t="s">
        <v>388</v>
      </c>
      <c r="E1005" s="207" t="s">
        <v>19</v>
      </c>
      <c r="F1005" s="208" t="s">
        <v>1454</v>
      </c>
      <c r="G1005" s="206"/>
      <c r="H1005" s="209">
        <v>131.066</v>
      </c>
      <c r="I1005" s="210"/>
      <c r="J1005" s="206"/>
      <c r="K1005" s="206"/>
      <c r="L1005" s="211"/>
      <c r="M1005" s="212"/>
      <c r="N1005" s="213"/>
      <c r="O1005" s="213"/>
      <c r="P1005" s="213"/>
      <c r="Q1005" s="213"/>
      <c r="R1005" s="213"/>
      <c r="S1005" s="213"/>
      <c r="T1005" s="214"/>
      <c r="AT1005" s="215" t="s">
        <v>388</v>
      </c>
      <c r="AU1005" s="215" t="s">
        <v>82</v>
      </c>
      <c r="AV1005" s="14" t="s">
        <v>82</v>
      </c>
      <c r="AW1005" s="14" t="s">
        <v>33</v>
      </c>
      <c r="AX1005" s="14" t="s">
        <v>72</v>
      </c>
      <c r="AY1005" s="215" t="s">
        <v>380</v>
      </c>
    </row>
    <row r="1006" spans="1:65" s="14" customFormat="1" ht="11.25">
      <c r="B1006" s="205"/>
      <c r="C1006" s="206"/>
      <c r="D1006" s="196" t="s">
        <v>388</v>
      </c>
      <c r="E1006" s="207" t="s">
        <v>19</v>
      </c>
      <c r="F1006" s="208" t="s">
        <v>1455</v>
      </c>
      <c r="G1006" s="206"/>
      <c r="H1006" s="209">
        <v>27.859000000000002</v>
      </c>
      <c r="I1006" s="210"/>
      <c r="J1006" s="206"/>
      <c r="K1006" s="206"/>
      <c r="L1006" s="211"/>
      <c r="M1006" s="212"/>
      <c r="N1006" s="213"/>
      <c r="O1006" s="213"/>
      <c r="P1006" s="213"/>
      <c r="Q1006" s="213"/>
      <c r="R1006" s="213"/>
      <c r="S1006" s="213"/>
      <c r="T1006" s="214"/>
      <c r="AT1006" s="215" t="s">
        <v>388</v>
      </c>
      <c r="AU1006" s="215" t="s">
        <v>82</v>
      </c>
      <c r="AV1006" s="14" t="s">
        <v>82</v>
      </c>
      <c r="AW1006" s="14" t="s">
        <v>33</v>
      </c>
      <c r="AX1006" s="14" t="s">
        <v>72</v>
      </c>
      <c r="AY1006" s="215" t="s">
        <v>380</v>
      </c>
    </row>
    <row r="1007" spans="1:65" s="14" customFormat="1" ht="11.25">
      <c r="B1007" s="205"/>
      <c r="C1007" s="206"/>
      <c r="D1007" s="196" t="s">
        <v>388</v>
      </c>
      <c r="E1007" s="207" t="s">
        <v>19</v>
      </c>
      <c r="F1007" s="208" t="s">
        <v>1456</v>
      </c>
      <c r="G1007" s="206"/>
      <c r="H1007" s="209">
        <v>18.731000000000002</v>
      </c>
      <c r="I1007" s="210"/>
      <c r="J1007" s="206"/>
      <c r="K1007" s="206"/>
      <c r="L1007" s="211"/>
      <c r="M1007" s="212"/>
      <c r="N1007" s="213"/>
      <c r="O1007" s="213"/>
      <c r="P1007" s="213"/>
      <c r="Q1007" s="213"/>
      <c r="R1007" s="213"/>
      <c r="S1007" s="213"/>
      <c r="T1007" s="214"/>
      <c r="AT1007" s="215" t="s">
        <v>388</v>
      </c>
      <c r="AU1007" s="215" t="s">
        <v>82</v>
      </c>
      <c r="AV1007" s="14" t="s">
        <v>82</v>
      </c>
      <c r="AW1007" s="14" t="s">
        <v>33</v>
      </c>
      <c r="AX1007" s="14" t="s">
        <v>72</v>
      </c>
      <c r="AY1007" s="215" t="s">
        <v>380</v>
      </c>
    </row>
    <row r="1008" spans="1:65" s="16" customFormat="1" ht="11.25">
      <c r="B1008" s="237"/>
      <c r="C1008" s="238"/>
      <c r="D1008" s="196" t="s">
        <v>388</v>
      </c>
      <c r="E1008" s="239" t="s">
        <v>19</v>
      </c>
      <c r="F1008" s="240" t="s">
        <v>572</v>
      </c>
      <c r="G1008" s="238"/>
      <c r="H1008" s="241">
        <v>177.65600000000001</v>
      </c>
      <c r="I1008" s="242"/>
      <c r="J1008" s="238"/>
      <c r="K1008" s="238"/>
      <c r="L1008" s="243"/>
      <c r="M1008" s="244"/>
      <c r="N1008" s="245"/>
      <c r="O1008" s="245"/>
      <c r="P1008" s="245"/>
      <c r="Q1008" s="245"/>
      <c r="R1008" s="245"/>
      <c r="S1008" s="245"/>
      <c r="T1008" s="246"/>
      <c r="AT1008" s="247" t="s">
        <v>388</v>
      </c>
      <c r="AU1008" s="247" t="s">
        <v>82</v>
      </c>
      <c r="AV1008" s="16" t="s">
        <v>99</v>
      </c>
      <c r="AW1008" s="16" t="s">
        <v>33</v>
      </c>
      <c r="AX1008" s="16" t="s">
        <v>72</v>
      </c>
      <c r="AY1008" s="247" t="s">
        <v>380</v>
      </c>
    </row>
    <row r="1009" spans="1:65" s="13" customFormat="1" ht="11.25">
      <c r="B1009" s="194"/>
      <c r="C1009" s="195"/>
      <c r="D1009" s="196" t="s">
        <v>388</v>
      </c>
      <c r="E1009" s="197" t="s">
        <v>19</v>
      </c>
      <c r="F1009" s="198" t="s">
        <v>1444</v>
      </c>
      <c r="G1009" s="195"/>
      <c r="H1009" s="197" t="s">
        <v>19</v>
      </c>
      <c r="I1009" s="199"/>
      <c r="J1009" s="195"/>
      <c r="K1009" s="195"/>
      <c r="L1009" s="200"/>
      <c r="M1009" s="201"/>
      <c r="N1009" s="202"/>
      <c r="O1009" s="202"/>
      <c r="P1009" s="202"/>
      <c r="Q1009" s="202"/>
      <c r="R1009" s="202"/>
      <c r="S1009" s="202"/>
      <c r="T1009" s="203"/>
      <c r="AT1009" s="204" t="s">
        <v>388</v>
      </c>
      <c r="AU1009" s="204" t="s">
        <v>82</v>
      </c>
      <c r="AV1009" s="13" t="s">
        <v>79</v>
      </c>
      <c r="AW1009" s="13" t="s">
        <v>33</v>
      </c>
      <c r="AX1009" s="13" t="s">
        <v>72</v>
      </c>
      <c r="AY1009" s="204" t="s">
        <v>380</v>
      </c>
    </row>
    <row r="1010" spans="1:65" s="14" customFormat="1" ht="11.25">
      <c r="B1010" s="205"/>
      <c r="C1010" s="206"/>
      <c r="D1010" s="196" t="s">
        <v>388</v>
      </c>
      <c r="E1010" s="207" t="s">
        <v>19</v>
      </c>
      <c r="F1010" s="208" t="s">
        <v>1457</v>
      </c>
      <c r="G1010" s="206"/>
      <c r="H1010" s="209">
        <v>723.74400000000003</v>
      </c>
      <c r="I1010" s="210"/>
      <c r="J1010" s="206"/>
      <c r="K1010" s="206"/>
      <c r="L1010" s="211"/>
      <c r="M1010" s="212"/>
      <c r="N1010" s="213"/>
      <c r="O1010" s="213"/>
      <c r="P1010" s="213"/>
      <c r="Q1010" s="213"/>
      <c r="R1010" s="213"/>
      <c r="S1010" s="213"/>
      <c r="T1010" s="214"/>
      <c r="AT1010" s="215" t="s">
        <v>388</v>
      </c>
      <c r="AU1010" s="215" t="s">
        <v>82</v>
      </c>
      <c r="AV1010" s="14" t="s">
        <v>82</v>
      </c>
      <c r="AW1010" s="14" t="s">
        <v>33</v>
      </c>
      <c r="AX1010" s="14" t="s">
        <v>72</v>
      </c>
      <c r="AY1010" s="215" t="s">
        <v>380</v>
      </c>
    </row>
    <row r="1011" spans="1:65" s="14" customFormat="1" ht="11.25">
      <c r="B1011" s="205"/>
      <c r="C1011" s="206"/>
      <c r="D1011" s="196" t="s">
        <v>388</v>
      </c>
      <c r="E1011" s="207" t="s">
        <v>19</v>
      </c>
      <c r="F1011" s="208" t="s">
        <v>1458</v>
      </c>
      <c r="G1011" s="206"/>
      <c r="H1011" s="209">
        <v>58.156999999999996</v>
      </c>
      <c r="I1011" s="210"/>
      <c r="J1011" s="206"/>
      <c r="K1011" s="206"/>
      <c r="L1011" s="211"/>
      <c r="M1011" s="212"/>
      <c r="N1011" s="213"/>
      <c r="O1011" s="213"/>
      <c r="P1011" s="213"/>
      <c r="Q1011" s="213"/>
      <c r="R1011" s="213"/>
      <c r="S1011" s="213"/>
      <c r="T1011" s="214"/>
      <c r="AT1011" s="215" t="s">
        <v>388</v>
      </c>
      <c r="AU1011" s="215" t="s">
        <v>82</v>
      </c>
      <c r="AV1011" s="14" t="s">
        <v>82</v>
      </c>
      <c r="AW1011" s="14" t="s">
        <v>33</v>
      </c>
      <c r="AX1011" s="14" t="s">
        <v>72</v>
      </c>
      <c r="AY1011" s="215" t="s">
        <v>380</v>
      </c>
    </row>
    <row r="1012" spans="1:65" s="16" customFormat="1" ht="11.25">
      <c r="B1012" s="237"/>
      <c r="C1012" s="238"/>
      <c r="D1012" s="196" t="s">
        <v>388</v>
      </c>
      <c r="E1012" s="239" t="s">
        <v>19</v>
      </c>
      <c r="F1012" s="240" t="s">
        <v>572</v>
      </c>
      <c r="G1012" s="238"/>
      <c r="H1012" s="241">
        <v>781.90099999999995</v>
      </c>
      <c r="I1012" s="242"/>
      <c r="J1012" s="238"/>
      <c r="K1012" s="238"/>
      <c r="L1012" s="243"/>
      <c r="M1012" s="244"/>
      <c r="N1012" s="245"/>
      <c r="O1012" s="245"/>
      <c r="P1012" s="245"/>
      <c r="Q1012" s="245"/>
      <c r="R1012" s="245"/>
      <c r="S1012" s="245"/>
      <c r="T1012" s="246"/>
      <c r="AT1012" s="247" t="s">
        <v>388</v>
      </c>
      <c r="AU1012" s="247" t="s">
        <v>82</v>
      </c>
      <c r="AV1012" s="16" t="s">
        <v>99</v>
      </c>
      <c r="AW1012" s="16" t="s">
        <v>33</v>
      </c>
      <c r="AX1012" s="16" t="s">
        <v>72</v>
      </c>
      <c r="AY1012" s="247" t="s">
        <v>380</v>
      </c>
    </row>
    <row r="1013" spans="1:65" s="15" customFormat="1" ht="11.25">
      <c r="B1013" s="216"/>
      <c r="C1013" s="217"/>
      <c r="D1013" s="196" t="s">
        <v>388</v>
      </c>
      <c r="E1013" s="218" t="s">
        <v>19</v>
      </c>
      <c r="F1013" s="219" t="s">
        <v>419</v>
      </c>
      <c r="G1013" s="217"/>
      <c r="H1013" s="220">
        <v>1512.4369999999999</v>
      </c>
      <c r="I1013" s="221"/>
      <c r="J1013" s="217"/>
      <c r="K1013" s="217"/>
      <c r="L1013" s="222"/>
      <c r="M1013" s="223"/>
      <c r="N1013" s="224"/>
      <c r="O1013" s="224"/>
      <c r="P1013" s="224"/>
      <c r="Q1013" s="224"/>
      <c r="R1013" s="224"/>
      <c r="S1013" s="224"/>
      <c r="T1013" s="225"/>
      <c r="AT1013" s="226" t="s">
        <v>388</v>
      </c>
      <c r="AU1013" s="226" t="s">
        <v>82</v>
      </c>
      <c r="AV1013" s="15" t="s">
        <v>386</v>
      </c>
      <c r="AW1013" s="15" t="s">
        <v>33</v>
      </c>
      <c r="AX1013" s="15" t="s">
        <v>79</v>
      </c>
      <c r="AY1013" s="226" t="s">
        <v>380</v>
      </c>
    </row>
    <row r="1014" spans="1:65" s="2" customFormat="1" ht="24.2" customHeight="1">
      <c r="A1014" s="36"/>
      <c r="B1014" s="37"/>
      <c r="C1014" s="227" t="s">
        <v>1459</v>
      </c>
      <c r="D1014" s="227" t="s">
        <v>465</v>
      </c>
      <c r="E1014" s="228" t="s">
        <v>1460</v>
      </c>
      <c r="F1014" s="229" t="s">
        <v>1461</v>
      </c>
      <c r="G1014" s="230" t="s">
        <v>398</v>
      </c>
      <c r="H1014" s="231">
        <v>797.40899999999999</v>
      </c>
      <c r="I1014" s="232"/>
      <c r="J1014" s="233">
        <f>ROUND(I1014*H1014,2)</f>
        <v>0</v>
      </c>
      <c r="K1014" s="229" t="s">
        <v>399</v>
      </c>
      <c r="L1014" s="234"/>
      <c r="M1014" s="235" t="s">
        <v>19</v>
      </c>
      <c r="N1014" s="236" t="s">
        <v>43</v>
      </c>
      <c r="O1014" s="66"/>
      <c r="P1014" s="190">
        <f>O1014*H1014</f>
        <v>0</v>
      </c>
      <c r="Q1014" s="190">
        <v>1E-3</v>
      </c>
      <c r="R1014" s="190">
        <f>Q1014*H1014</f>
        <v>0.79740900000000003</v>
      </c>
      <c r="S1014" s="190">
        <v>0</v>
      </c>
      <c r="T1014" s="191">
        <f>S1014*H1014</f>
        <v>0</v>
      </c>
      <c r="U1014" s="36"/>
      <c r="V1014" s="36"/>
      <c r="W1014" s="36"/>
      <c r="X1014" s="36"/>
      <c r="Y1014" s="36"/>
      <c r="Z1014" s="36"/>
      <c r="AA1014" s="36"/>
      <c r="AB1014" s="36"/>
      <c r="AC1014" s="36"/>
      <c r="AD1014" s="36"/>
      <c r="AE1014" s="36"/>
      <c r="AR1014" s="192" t="s">
        <v>546</v>
      </c>
      <c r="AT1014" s="192" t="s">
        <v>465</v>
      </c>
      <c r="AU1014" s="192" t="s">
        <v>82</v>
      </c>
      <c r="AY1014" s="19" t="s">
        <v>380</v>
      </c>
      <c r="BE1014" s="193">
        <f>IF(N1014="základní",J1014,0)</f>
        <v>0</v>
      </c>
      <c r="BF1014" s="193">
        <f>IF(N1014="snížená",J1014,0)</f>
        <v>0</v>
      </c>
      <c r="BG1014" s="193">
        <f>IF(N1014="zákl. přenesená",J1014,0)</f>
        <v>0</v>
      </c>
      <c r="BH1014" s="193">
        <f>IF(N1014="sníž. přenesená",J1014,0)</f>
        <v>0</v>
      </c>
      <c r="BI1014" s="193">
        <f>IF(N1014="nulová",J1014,0)</f>
        <v>0</v>
      </c>
      <c r="BJ1014" s="19" t="s">
        <v>79</v>
      </c>
      <c r="BK1014" s="193">
        <f>ROUND(I1014*H1014,2)</f>
        <v>0</v>
      </c>
      <c r="BL1014" s="19" t="s">
        <v>281</v>
      </c>
      <c r="BM1014" s="192" t="s">
        <v>1462</v>
      </c>
    </row>
    <row r="1015" spans="1:65" s="13" customFormat="1" ht="11.25">
      <c r="B1015" s="194"/>
      <c r="C1015" s="195"/>
      <c r="D1015" s="196" t="s">
        <v>388</v>
      </c>
      <c r="E1015" s="197" t="s">
        <v>19</v>
      </c>
      <c r="F1015" s="198" t="s">
        <v>1443</v>
      </c>
      <c r="G1015" s="195"/>
      <c r="H1015" s="197" t="s">
        <v>19</v>
      </c>
      <c r="I1015" s="199"/>
      <c r="J1015" s="195"/>
      <c r="K1015" s="195"/>
      <c r="L1015" s="200"/>
      <c r="M1015" s="201"/>
      <c r="N1015" s="202"/>
      <c r="O1015" s="202"/>
      <c r="P1015" s="202"/>
      <c r="Q1015" s="202"/>
      <c r="R1015" s="202"/>
      <c r="S1015" s="202"/>
      <c r="T1015" s="203"/>
      <c r="AT1015" s="204" t="s">
        <v>388</v>
      </c>
      <c r="AU1015" s="204" t="s">
        <v>82</v>
      </c>
      <c r="AV1015" s="13" t="s">
        <v>79</v>
      </c>
      <c r="AW1015" s="13" t="s">
        <v>33</v>
      </c>
      <c r="AX1015" s="13" t="s">
        <v>72</v>
      </c>
      <c r="AY1015" s="204" t="s">
        <v>380</v>
      </c>
    </row>
    <row r="1016" spans="1:65" s="14" customFormat="1" ht="11.25">
      <c r="B1016" s="205"/>
      <c r="C1016" s="206"/>
      <c r="D1016" s="196" t="s">
        <v>388</v>
      </c>
      <c r="E1016" s="207" t="s">
        <v>19</v>
      </c>
      <c r="F1016" s="208" t="s">
        <v>1457</v>
      </c>
      <c r="G1016" s="206"/>
      <c r="H1016" s="209">
        <v>723.74400000000003</v>
      </c>
      <c r="I1016" s="210"/>
      <c r="J1016" s="206"/>
      <c r="K1016" s="206"/>
      <c r="L1016" s="211"/>
      <c r="M1016" s="212"/>
      <c r="N1016" s="213"/>
      <c r="O1016" s="213"/>
      <c r="P1016" s="213"/>
      <c r="Q1016" s="213"/>
      <c r="R1016" s="213"/>
      <c r="S1016" s="213"/>
      <c r="T1016" s="214"/>
      <c r="AT1016" s="215" t="s">
        <v>388</v>
      </c>
      <c r="AU1016" s="215" t="s">
        <v>82</v>
      </c>
      <c r="AV1016" s="14" t="s">
        <v>82</v>
      </c>
      <c r="AW1016" s="14" t="s">
        <v>33</v>
      </c>
      <c r="AX1016" s="14" t="s">
        <v>72</v>
      </c>
      <c r="AY1016" s="215" t="s">
        <v>380</v>
      </c>
    </row>
    <row r="1017" spans="1:65" s="14" customFormat="1" ht="11.25">
      <c r="B1017" s="205"/>
      <c r="C1017" s="206"/>
      <c r="D1017" s="196" t="s">
        <v>388</v>
      </c>
      <c r="E1017" s="207" t="s">
        <v>19</v>
      </c>
      <c r="F1017" s="208" t="s">
        <v>1463</v>
      </c>
      <c r="G1017" s="206"/>
      <c r="H1017" s="209">
        <v>73.665000000000006</v>
      </c>
      <c r="I1017" s="210"/>
      <c r="J1017" s="206"/>
      <c r="K1017" s="206"/>
      <c r="L1017" s="211"/>
      <c r="M1017" s="212"/>
      <c r="N1017" s="213"/>
      <c r="O1017" s="213"/>
      <c r="P1017" s="213"/>
      <c r="Q1017" s="213"/>
      <c r="R1017" s="213"/>
      <c r="S1017" s="213"/>
      <c r="T1017" s="214"/>
      <c r="AT1017" s="215" t="s">
        <v>388</v>
      </c>
      <c r="AU1017" s="215" t="s">
        <v>82</v>
      </c>
      <c r="AV1017" s="14" t="s">
        <v>82</v>
      </c>
      <c r="AW1017" s="14" t="s">
        <v>33</v>
      </c>
      <c r="AX1017" s="14" t="s">
        <v>72</v>
      </c>
      <c r="AY1017" s="215" t="s">
        <v>380</v>
      </c>
    </row>
    <row r="1018" spans="1:65" s="15" customFormat="1" ht="11.25">
      <c r="B1018" s="216"/>
      <c r="C1018" s="217"/>
      <c r="D1018" s="196" t="s">
        <v>388</v>
      </c>
      <c r="E1018" s="218" t="s">
        <v>19</v>
      </c>
      <c r="F1018" s="219" t="s">
        <v>419</v>
      </c>
      <c r="G1018" s="217"/>
      <c r="H1018" s="220">
        <v>797.40899999999999</v>
      </c>
      <c r="I1018" s="221"/>
      <c r="J1018" s="217"/>
      <c r="K1018" s="217"/>
      <c r="L1018" s="222"/>
      <c r="M1018" s="223"/>
      <c r="N1018" s="224"/>
      <c r="O1018" s="224"/>
      <c r="P1018" s="224"/>
      <c r="Q1018" s="224"/>
      <c r="R1018" s="224"/>
      <c r="S1018" s="224"/>
      <c r="T1018" s="225"/>
      <c r="AT1018" s="226" t="s">
        <v>388</v>
      </c>
      <c r="AU1018" s="226" t="s">
        <v>82</v>
      </c>
      <c r="AV1018" s="15" t="s">
        <v>386</v>
      </c>
      <c r="AW1018" s="15" t="s">
        <v>33</v>
      </c>
      <c r="AX1018" s="15" t="s">
        <v>79</v>
      </c>
      <c r="AY1018" s="226" t="s">
        <v>380</v>
      </c>
    </row>
    <row r="1019" spans="1:65" s="2" customFormat="1" ht="16.5" customHeight="1">
      <c r="A1019" s="36"/>
      <c r="B1019" s="37"/>
      <c r="C1019" s="181" t="s">
        <v>1464</v>
      </c>
      <c r="D1019" s="181" t="s">
        <v>382</v>
      </c>
      <c r="E1019" s="182" t="s">
        <v>1465</v>
      </c>
      <c r="F1019" s="183" t="s">
        <v>1466</v>
      </c>
      <c r="G1019" s="184" t="s">
        <v>398</v>
      </c>
      <c r="H1019" s="185">
        <v>1315.1610000000001</v>
      </c>
      <c r="I1019" s="186"/>
      <c r="J1019" s="187">
        <f>ROUND(I1019*H1019,2)</f>
        <v>0</v>
      </c>
      <c r="K1019" s="183" t="s">
        <v>399</v>
      </c>
      <c r="L1019" s="41"/>
      <c r="M1019" s="188" t="s">
        <v>19</v>
      </c>
      <c r="N1019" s="189" t="s">
        <v>43</v>
      </c>
      <c r="O1019" s="66"/>
      <c r="P1019" s="190">
        <f>O1019*H1019</f>
        <v>0</v>
      </c>
      <c r="Q1019" s="190">
        <v>8.8312999999999998E-4</v>
      </c>
      <c r="R1019" s="190">
        <f>Q1019*H1019</f>
        <v>1.1614581339300001</v>
      </c>
      <c r="S1019" s="190">
        <v>0</v>
      </c>
      <c r="T1019" s="191">
        <f>S1019*H1019</f>
        <v>0</v>
      </c>
      <c r="U1019" s="36"/>
      <c r="V1019" s="36"/>
      <c r="W1019" s="36"/>
      <c r="X1019" s="36"/>
      <c r="Y1019" s="36"/>
      <c r="Z1019" s="36"/>
      <c r="AA1019" s="36"/>
      <c r="AB1019" s="36"/>
      <c r="AC1019" s="36"/>
      <c r="AD1019" s="36"/>
      <c r="AE1019" s="36"/>
      <c r="AR1019" s="192" t="s">
        <v>281</v>
      </c>
      <c r="AT1019" s="192" t="s">
        <v>382</v>
      </c>
      <c r="AU1019" s="192" t="s">
        <v>82</v>
      </c>
      <c r="AY1019" s="19" t="s">
        <v>380</v>
      </c>
      <c r="BE1019" s="193">
        <f>IF(N1019="základní",J1019,0)</f>
        <v>0</v>
      </c>
      <c r="BF1019" s="193">
        <f>IF(N1019="snížená",J1019,0)</f>
        <v>0</v>
      </c>
      <c r="BG1019" s="193">
        <f>IF(N1019="zákl. přenesená",J1019,0)</f>
        <v>0</v>
      </c>
      <c r="BH1019" s="193">
        <f>IF(N1019="sníž. přenesená",J1019,0)</f>
        <v>0</v>
      </c>
      <c r="BI1019" s="193">
        <f>IF(N1019="nulová",J1019,0)</f>
        <v>0</v>
      </c>
      <c r="BJ1019" s="19" t="s">
        <v>79</v>
      </c>
      <c r="BK1019" s="193">
        <f>ROUND(I1019*H1019,2)</f>
        <v>0</v>
      </c>
      <c r="BL1019" s="19" t="s">
        <v>281</v>
      </c>
      <c r="BM1019" s="192" t="s">
        <v>1467</v>
      </c>
    </row>
    <row r="1020" spans="1:65" s="13" customFormat="1" ht="11.25">
      <c r="B1020" s="194"/>
      <c r="C1020" s="195"/>
      <c r="D1020" s="196" t="s">
        <v>388</v>
      </c>
      <c r="E1020" s="197" t="s">
        <v>19</v>
      </c>
      <c r="F1020" s="198" t="s">
        <v>1468</v>
      </c>
      <c r="G1020" s="195"/>
      <c r="H1020" s="197" t="s">
        <v>19</v>
      </c>
      <c r="I1020" s="199"/>
      <c r="J1020" s="195"/>
      <c r="K1020" s="195"/>
      <c r="L1020" s="200"/>
      <c r="M1020" s="201"/>
      <c r="N1020" s="202"/>
      <c r="O1020" s="202"/>
      <c r="P1020" s="202"/>
      <c r="Q1020" s="202"/>
      <c r="R1020" s="202"/>
      <c r="S1020" s="202"/>
      <c r="T1020" s="203"/>
      <c r="AT1020" s="204" t="s">
        <v>388</v>
      </c>
      <c r="AU1020" s="204" t="s">
        <v>82</v>
      </c>
      <c r="AV1020" s="13" t="s">
        <v>79</v>
      </c>
      <c r="AW1020" s="13" t="s">
        <v>33</v>
      </c>
      <c r="AX1020" s="13" t="s">
        <v>72</v>
      </c>
      <c r="AY1020" s="204" t="s">
        <v>380</v>
      </c>
    </row>
    <row r="1021" spans="1:65" s="14" customFormat="1" ht="11.25">
      <c r="B1021" s="205"/>
      <c r="C1021" s="206"/>
      <c r="D1021" s="196" t="s">
        <v>388</v>
      </c>
      <c r="E1021" s="207" t="s">
        <v>19</v>
      </c>
      <c r="F1021" s="208" t="s">
        <v>1415</v>
      </c>
      <c r="G1021" s="206"/>
      <c r="H1021" s="209">
        <v>396.09899999999999</v>
      </c>
      <c r="I1021" s="210"/>
      <c r="J1021" s="206"/>
      <c r="K1021" s="206"/>
      <c r="L1021" s="211"/>
      <c r="M1021" s="212"/>
      <c r="N1021" s="213"/>
      <c r="O1021" s="213"/>
      <c r="P1021" s="213"/>
      <c r="Q1021" s="213"/>
      <c r="R1021" s="213"/>
      <c r="S1021" s="213"/>
      <c r="T1021" s="214"/>
      <c r="AT1021" s="215" t="s">
        <v>388</v>
      </c>
      <c r="AU1021" s="215" t="s">
        <v>82</v>
      </c>
      <c r="AV1021" s="14" t="s">
        <v>82</v>
      </c>
      <c r="AW1021" s="14" t="s">
        <v>33</v>
      </c>
      <c r="AX1021" s="14" t="s">
        <v>72</v>
      </c>
      <c r="AY1021" s="215" t="s">
        <v>380</v>
      </c>
    </row>
    <row r="1022" spans="1:65" s="14" customFormat="1" ht="11.25">
      <c r="B1022" s="205"/>
      <c r="C1022" s="206"/>
      <c r="D1022" s="196" t="s">
        <v>388</v>
      </c>
      <c r="E1022" s="207" t="s">
        <v>19</v>
      </c>
      <c r="F1022" s="208" t="s">
        <v>1437</v>
      </c>
      <c r="G1022" s="206"/>
      <c r="H1022" s="209">
        <v>39.292000000000002</v>
      </c>
      <c r="I1022" s="210"/>
      <c r="J1022" s="206"/>
      <c r="K1022" s="206"/>
      <c r="L1022" s="211"/>
      <c r="M1022" s="212"/>
      <c r="N1022" s="213"/>
      <c r="O1022" s="213"/>
      <c r="P1022" s="213"/>
      <c r="Q1022" s="213"/>
      <c r="R1022" s="213"/>
      <c r="S1022" s="213"/>
      <c r="T1022" s="214"/>
      <c r="AT1022" s="215" t="s">
        <v>388</v>
      </c>
      <c r="AU1022" s="215" t="s">
        <v>82</v>
      </c>
      <c r="AV1022" s="14" t="s">
        <v>82</v>
      </c>
      <c r="AW1022" s="14" t="s">
        <v>33</v>
      </c>
      <c r="AX1022" s="14" t="s">
        <v>72</v>
      </c>
      <c r="AY1022" s="215" t="s">
        <v>380</v>
      </c>
    </row>
    <row r="1023" spans="1:65" s="14" customFormat="1" ht="11.25">
      <c r="B1023" s="205"/>
      <c r="C1023" s="206"/>
      <c r="D1023" s="196" t="s">
        <v>388</v>
      </c>
      <c r="E1023" s="207" t="s">
        <v>19</v>
      </c>
      <c r="F1023" s="208" t="s">
        <v>1438</v>
      </c>
      <c r="G1023" s="206"/>
      <c r="H1023" s="209">
        <v>23.231999999999999</v>
      </c>
      <c r="I1023" s="210"/>
      <c r="J1023" s="206"/>
      <c r="K1023" s="206"/>
      <c r="L1023" s="211"/>
      <c r="M1023" s="212"/>
      <c r="N1023" s="213"/>
      <c r="O1023" s="213"/>
      <c r="P1023" s="213"/>
      <c r="Q1023" s="213"/>
      <c r="R1023" s="213"/>
      <c r="S1023" s="213"/>
      <c r="T1023" s="214"/>
      <c r="AT1023" s="215" t="s">
        <v>388</v>
      </c>
      <c r="AU1023" s="215" t="s">
        <v>82</v>
      </c>
      <c r="AV1023" s="14" t="s">
        <v>82</v>
      </c>
      <c r="AW1023" s="14" t="s">
        <v>33</v>
      </c>
      <c r="AX1023" s="14" t="s">
        <v>72</v>
      </c>
      <c r="AY1023" s="215" t="s">
        <v>380</v>
      </c>
    </row>
    <row r="1024" spans="1:65" s="16" customFormat="1" ht="11.25">
      <c r="B1024" s="237"/>
      <c r="C1024" s="238"/>
      <c r="D1024" s="196" t="s">
        <v>388</v>
      </c>
      <c r="E1024" s="239" t="s">
        <v>19</v>
      </c>
      <c r="F1024" s="240" t="s">
        <v>572</v>
      </c>
      <c r="G1024" s="238"/>
      <c r="H1024" s="241">
        <v>458.62299999999999</v>
      </c>
      <c r="I1024" s="242"/>
      <c r="J1024" s="238"/>
      <c r="K1024" s="238"/>
      <c r="L1024" s="243"/>
      <c r="M1024" s="244"/>
      <c r="N1024" s="245"/>
      <c r="O1024" s="245"/>
      <c r="P1024" s="245"/>
      <c r="Q1024" s="245"/>
      <c r="R1024" s="245"/>
      <c r="S1024" s="245"/>
      <c r="T1024" s="246"/>
      <c r="AT1024" s="247" t="s">
        <v>388</v>
      </c>
      <c r="AU1024" s="247" t="s">
        <v>82</v>
      </c>
      <c r="AV1024" s="16" t="s">
        <v>99</v>
      </c>
      <c r="AW1024" s="16" t="s">
        <v>33</v>
      </c>
      <c r="AX1024" s="16" t="s">
        <v>72</v>
      </c>
      <c r="AY1024" s="247" t="s">
        <v>380</v>
      </c>
    </row>
    <row r="1025" spans="1:65" s="13" customFormat="1" ht="11.25">
      <c r="B1025" s="194"/>
      <c r="C1025" s="195"/>
      <c r="D1025" s="196" t="s">
        <v>388</v>
      </c>
      <c r="E1025" s="197" t="s">
        <v>19</v>
      </c>
      <c r="F1025" s="198" t="s">
        <v>1469</v>
      </c>
      <c r="G1025" s="195"/>
      <c r="H1025" s="197" t="s">
        <v>19</v>
      </c>
      <c r="I1025" s="199"/>
      <c r="J1025" s="195"/>
      <c r="K1025" s="195"/>
      <c r="L1025" s="200"/>
      <c r="M1025" s="201"/>
      <c r="N1025" s="202"/>
      <c r="O1025" s="202"/>
      <c r="P1025" s="202"/>
      <c r="Q1025" s="202"/>
      <c r="R1025" s="202"/>
      <c r="S1025" s="202"/>
      <c r="T1025" s="203"/>
      <c r="AT1025" s="204" t="s">
        <v>388</v>
      </c>
      <c r="AU1025" s="204" t="s">
        <v>82</v>
      </c>
      <c r="AV1025" s="13" t="s">
        <v>79</v>
      </c>
      <c r="AW1025" s="13" t="s">
        <v>33</v>
      </c>
      <c r="AX1025" s="13" t="s">
        <v>72</v>
      </c>
      <c r="AY1025" s="204" t="s">
        <v>380</v>
      </c>
    </row>
    <row r="1026" spans="1:65" s="14" customFormat="1" ht="11.25">
      <c r="B1026" s="205"/>
      <c r="C1026" s="206"/>
      <c r="D1026" s="196" t="s">
        <v>388</v>
      </c>
      <c r="E1026" s="207" t="s">
        <v>19</v>
      </c>
      <c r="F1026" s="208" t="s">
        <v>1419</v>
      </c>
      <c r="G1026" s="206"/>
      <c r="H1026" s="209">
        <v>22.140999999999998</v>
      </c>
      <c r="I1026" s="210"/>
      <c r="J1026" s="206"/>
      <c r="K1026" s="206"/>
      <c r="L1026" s="211"/>
      <c r="M1026" s="212"/>
      <c r="N1026" s="213"/>
      <c r="O1026" s="213"/>
      <c r="P1026" s="213"/>
      <c r="Q1026" s="213"/>
      <c r="R1026" s="213"/>
      <c r="S1026" s="213"/>
      <c r="T1026" s="214"/>
      <c r="AT1026" s="215" t="s">
        <v>388</v>
      </c>
      <c r="AU1026" s="215" t="s">
        <v>82</v>
      </c>
      <c r="AV1026" s="14" t="s">
        <v>82</v>
      </c>
      <c r="AW1026" s="14" t="s">
        <v>33</v>
      </c>
      <c r="AX1026" s="14" t="s">
        <v>72</v>
      </c>
      <c r="AY1026" s="215" t="s">
        <v>380</v>
      </c>
    </row>
    <row r="1027" spans="1:65" s="16" customFormat="1" ht="11.25">
      <c r="B1027" s="237"/>
      <c r="C1027" s="238"/>
      <c r="D1027" s="196" t="s">
        <v>388</v>
      </c>
      <c r="E1027" s="239" t="s">
        <v>19</v>
      </c>
      <c r="F1027" s="240" t="s">
        <v>572</v>
      </c>
      <c r="G1027" s="238"/>
      <c r="H1027" s="241">
        <v>22.140999999999998</v>
      </c>
      <c r="I1027" s="242"/>
      <c r="J1027" s="238"/>
      <c r="K1027" s="238"/>
      <c r="L1027" s="243"/>
      <c r="M1027" s="244"/>
      <c r="N1027" s="245"/>
      <c r="O1027" s="245"/>
      <c r="P1027" s="245"/>
      <c r="Q1027" s="245"/>
      <c r="R1027" s="245"/>
      <c r="S1027" s="245"/>
      <c r="T1027" s="246"/>
      <c r="AT1027" s="247" t="s">
        <v>388</v>
      </c>
      <c r="AU1027" s="247" t="s">
        <v>82</v>
      </c>
      <c r="AV1027" s="16" t="s">
        <v>99</v>
      </c>
      <c r="AW1027" s="16" t="s">
        <v>33</v>
      </c>
      <c r="AX1027" s="16" t="s">
        <v>72</v>
      </c>
      <c r="AY1027" s="247" t="s">
        <v>380</v>
      </c>
    </row>
    <row r="1028" spans="1:65" s="13" customFormat="1" ht="11.25">
      <c r="B1028" s="194"/>
      <c r="C1028" s="195"/>
      <c r="D1028" s="196" t="s">
        <v>388</v>
      </c>
      <c r="E1028" s="197" t="s">
        <v>19</v>
      </c>
      <c r="F1028" s="198" t="s">
        <v>1470</v>
      </c>
      <c r="G1028" s="195"/>
      <c r="H1028" s="197" t="s">
        <v>19</v>
      </c>
      <c r="I1028" s="199"/>
      <c r="J1028" s="195"/>
      <c r="K1028" s="195"/>
      <c r="L1028" s="200"/>
      <c r="M1028" s="201"/>
      <c r="N1028" s="202"/>
      <c r="O1028" s="202"/>
      <c r="P1028" s="202"/>
      <c r="Q1028" s="202"/>
      <c r="R1028" s="202"/>
      <c r="S1028" s="202"/>
      <c r="T1028" s="203"/>
      <c r="AT1028" s="204" t="s">
        <v>388</v>
      </c>
      <c r="AU1028" s="204" t="s">
        <v>82</v>
      </c>
      <c r="AV1028" s="13" t="s">
        <v>79</v>
      </c>
      <c r="AW1028" s="13" t="s">
        <v>33</v>
      </c>
      <c r="AX1028" s="13" t="s">
        <v>72</v>
      </c>
      <c r="AY1028" s="204" t="s">
        <v>380</v>
      </c>
    </row>
    <row r="1029" spans="1:65" s="14" customFormat="1" ht="11.25">
      <c r="B1029" s="205"/>
      <c r="C1029" s="206"/>
      <c r="D1029" s="196" t="s">
        <v>388</v>
      </c>
      <c r="E1029" s="207" t="s">
        <v>19</v>
      </c>
      <c r="F1029" s="208" t="s">
        <v>1421</v>
      </c>
      <c r="G1029" s="206"/>
      <c r="H1029" s="209">
        <v>113.97</v>
      </c>
      <c r="I1029" s="210"/>
      <c r="J1029" s="206"/>
      <c r="K1029" s="206"/>
      <c r="L1029" s="211"/>
      <c r="M1029" s="212"/>
      <c r="N1029" s="213"/>
      <c r="O1029" s="213"/>
      <c r="P1029" s="213"/>
      <c r="Q1029" s="213"/>
      <c r="R1029" s="213"/>
      <c r="S1029" s="213"/>
      <c r="T1029" s="214"/>
      <c r="AT1029" s="215" t="s">
        <v>388</v>
      </c>
      <c r="AU1029" s="215" t="s">
        <v>82</v>
      </c>
      <c r="AV1029" s="14" t="s">
        <v>82</v>
      </c>
      <c r="AW1029" s="14" t="s">
        <v>33</v>
      </c>
      <c r="AX1029" s="14" t="s">
        <v>72</v>
      </c>
      <c r="AY1029" s="215" t="s">
        <v>380</v>
      </c>
    </row>
    <row r="1030" spans="1:65" s="14" customFormat="1" ht="11.25">
      <c r="B1030" s="205"/>
      <c r="C1030" s="206"/>
      <c r="D1030" s="196" t="s">
        <v>388</v>
      </c>
      <c r="E1030" s="207" t="s">
        <v>19</v>
      </c>
      <c r="F1030" s="208" t="s">
        <v>1441</v>
      </c>
      <c r="G1030" s="206"/>
      <c r="H1030" s="209">
        <v>24.225000000000001</v>
      </c>
      <c r="I1030" s="210"/>
      <c r="J1030" s="206"/>
      <c r="K1030" s="206"/>
      <c r="L1030" s="211"/>
      <c r="M1030" s="212"/>
      <c r="N1030" s="213"/>
      <c r="O1030" s="213"/>
      <c r="P1030" s="213"/>
      <c r="Q1030" s="213"/>
      <c r="R1030" s="213"/>
      <c r="S1030" s="213"/>
      <c r="T1030" s="214"/>
      <c r="AT1030" s="215" t="s">
        <v>388</v>
      </c>
      <c r="AU1030" s="215" t="s">
        <v>82</v>
      </c>
      <c r="AV1030" s="14" t="s">
        <v>82</v>
      </c>
      <c r="AW1030" s="14" t="s">
        <v>33</v>
      </c>
      <c r="AX1030" s="14" t="s">
        <v>72</v>
      </c>
      <c r="AY1030" s="215" t="s">
        <v>380</v>
      </c>
    </row>
    <row r="1031" spans="1:65" s="14" customFormat="1" ht="11.25">
      <c r="B1031" s="205"/>
      <c r="C1031" s="206"/>
      <c r="D1031" s="196" t="s">
        <v>388</v>
      </c>
      <c r="E1031" s="207" t="s">
        <v>19</v>
      </c>
      <c r="F1031" s="208" t="s">
        <v>1442</v>
      </c>
      <c r="G1031" s="206"/>
      <c r="H1031" s="209">
        <v>16.288</v>
      </c>
      <c r="I1031" s="210"/>
      <c r="J1031" s="206"/>
      <c r="K1031" s="206"/>
      <c r="L1031" s="211"/>
      <c r="M1031" s="212"/>
      <c r="N1031" s="213"/>
      <c r="O1031" s="213"/>
      <c r="P1031" s="213"/>
      <c r="Q1031" s="213"/>
      <c r="R1031" s="213"/>
      <c r="S1031" s="213"/>
      <c r="T1031" s="214"/>
      <c r="AT1031" s="215" t="s">
        <v>388</v>
      </c>
      <c r="AU1031" s="215" t="s">
        <v>82</v>
      </c>
      <c r="AV1031" s="14" t="s">
        <v>82</v>
      </c>
      <c r="AW1031" s="14" t="s">
        <v>33</v>
      </c>
      <c r="AX1031" s="14" t="s">
        <v>72</v>
      </c>
      <c r="AY1031" s="215" t="s">
        <v>380</v>
      </c>
    </row>
    <row r="1032" spans="1:65" s="16" customFormat="1" ht="11.25">
      <c r="B1032" s="237"/>
      <c r="C1032" s="238"/>
      <c r="D1032" s="196" t="s">
        <v>388</v>
      </c>
      <c r="E1032" s="239" t="s">
        <v>19</v>
      </c>
      <c r="F1032" s="240" t="s">
        <v>572</v>
      </c>
      <c r="G1032" s="238"/>
      <c r="H1032" s="241">
        <v>154.483</v>
      </c>
      <c r="I1032" s="242"/>
      <c r="J1032" s="238"/>
      <c r="K1032" s="238"/>
      <c r="L1032" s="243"/>
      <c r="M1032" s="244"/>
      <c r="N1032" s="245"/>
      <c r="O1032" s="245"/>
      <c r="P1032" s="245"/>
      <c r="Q1032" s="245"/>
      <c r="R1032" s="245"/>
      <c r="S1032" s="245"/>
      <c r="T1032" s="246"/>
      <c r="AT1032" s="247" t="s">
        <v>388</v>
      </c>
      <c r="AU1032" s="247" t="s">
        <v>82</v>
      </c>
      <c r="AV1032" s="16" t="s">
        <v>99</v>
      </c>
      <c r="AW1032" s="16" t="s">
        <v>33</v>
      </c>
      <c r="AX1032" s="16" t="s">
        <v>72</v>
      </c>
      <c r="AY1032" s="247" t="s">
        <v>380</v>
      </c>
    </row>
    <row r="1033" spans="1:65" s="13" customFormat="1" ht="11.25">
      <c r="B1033" s="194"/>
      <c r="C1033" s="195"/>
      <c r="D1033" s="196" t="s">
        <v>388</v>
      </c>
      <c r="E1033" s="197" t="s">
        <v>19</v>
      </c>
      <c r="F1033" s="198" t="s">
        <v>1471</v>
      </c>
      <c r="G1033" s="195"/>
      <c r="H1033" s="197" t="s">
        <v>19</v>
      </c>
      <c r="I1033" s="199"/>
      <c r="J1033" s="195"/>
      <c r="K1033" s="195"/>
      <c r="L1033" s="200"/>
      <c r="M1033" s="201"/>
      <c r="N1033" s="202"/>
      <c r="O1033" s="202"/>
      <c r="P1033" s="202"/>
      <c r="Q1033" s="202"/>
      <c r="R1033" s="202"/>
      <c r="S1033" s="202"/>
      <c r="T1033" s="203"/>
      <c r="AT1033" s="204" t="s">
        <v>388</v>
      </c>
      <c r="AU1033" s="204" t="s">
        <v>82</v>
      </c>
      <c r="AV1033" s="13" t="s">
        <v>79</v>
      </c>
      <c r="AW1033" s="13" t="s">
        <v>33</v>
      </c>
      <c r="AX1033" s="13" t="s">
        <v>72</v>
      </c>
      <c r="AY1033" s="204" t="s">
        <v>380</v>
      </c>
    </row>
    <row r="1034" spans="1:65" s="14" customFormat="1" ht="11.25">
      <c r="B1034" s="205"/>
      <c r="C1034" s="206"/>
      <c r="D1034" s="196" t="s">
        <v>388</v>
      </c>
      <c r="E1034" s="207" t="s">
        <v>19</v>
      </c>
      <c r="F1034" s="208" t="s">
        <v>1424</v>
      </c>
      <c r="G1034" s="206"/>
      <c r="H1034" s="209">
        <v>629.34299999999996</v>
      </c>
      <c r="I1034" s="210"/>
      <c r="J1034" s="206"/>
      <c r="K1034" s="206"/>
      <c r="L1034" s="211"/>
      <c r="M1034" s="212"/>
      <c r="N1034" s="213"/>
      <c r="O1034" s="213"/>
      <c r="P1034" s="213"/>
      <c r="Q1034" s="213"/>
      <c r="R1034" s="213"/>
      <c r="S1034" s="213"/>
      <c r="T1034" s="214"/>
      <c r="AT1034" s="215" t="s">
        <v>388</v>
      </c>
      <c r="AU1034" s="215" t="s">
        <v>82</v>
      </c>
      <c r="AV1034" s="14" t="s">
        <v>82</v>
      </c>
      <c r="AW1034" s="14" t="s">
        <v>33</v>
      </c>
      <c r="AX1034" s="14" t="s">
        <v>72</v>
      </c>
      <c r="AY1034" s="215" t="s">
        <v>380</v>
      </c>
    </row>
    <row r="1035" spans="1:65" s="14" customFormat="1" ht="11.25">
      <c r="B1035" s="205"/>
      <c r="C1035" s="206"/>
      <c r="D1035" s="196" t="s">
        <v>388</v>
      </c>
      <c r="E1035" s="207" t="s">
        <v>19</v>
      </c>
      <c r="F1035" s="208" t="s">
        <v>1445</v>
      </c>
      <c r="G1035" s="206"/>
      <c r="H1035" s="209">
        <v>50.570999999999998</v>
      </c>
      <c r="I1035" s="210"/>
      <c r="J1035" s="206"/>
      <c r="K1035" s="206"/>
      <c r="L1035" s="211"/>
      <c r="M1035" s="212"/>
      <c r="N1035" s="213"/>
      <c r="O1035" s="213"/>
      <c r="P1035" s="213"/>
      <c r="Q1035" s="213"/>
      <c r="R1035" s="213"/>
      <c r="S1035" s="213"/>
      <c r="T1035" s="214"/>
      <c r="AT1035" s="215" t="s">
        <v>388</v>
      </c>
      <c r="AU1035" s="215" t="s">
        <v>82</v>
      </c>
      <c r="AV1035" s="14" t="s">
        <v>82</v>
      </c>
      <c r="AW1035" s="14" t="s">
        <v>33</v>
      </c>
      <c r="AX1035" s="14" t="s">
        <v>72</v>
      </c>
      <c r="AY1035" s="215" t="s">
        <v>380</v>
      </c>
    </row>
    <row r="1036" spans="1:65" s="16" customFormat="1" ht="11.25">
      <c r="B1036" s="237"/>
      <c r="C1036" s="238"/>
      <c r="D1036" s="196" t="s">
        <v>388</v>
      </c>
      <c r="E1036" s="239" t="s">
        <v>19</v>
      </c>
      <c r="F1036" s="240" t="s">
        <v>572</v>
      </c>
      <c r="G1036" s="238"/>
      <c r="H1036" s="241">
        <v>679.91399999999999</v>
      </c>
      <c r="I1036" s="242"/>
      <c r="J1036" s="238"/>
      <c r="K1036" s="238"/>
      <c r="L1036" s="243"/>
      <c r="M1036" s="244"/>
      <c r="N1036" s="245"/>
      <c r="O1036" s="245"/>
      <c r="P1036" s="245"/>
      <c r="Q1036" s="245"/>
      <c r="R1036" s="245"/>
      <c r="S1036" s="245"/>
      <c r="T1036" s="246"/>
      <c r="AT1036" s="247" t="s">
        <v>388</v>
      </c>
      <c r="AU1036" s="247" t="s">
        <v>82</v>
      </c>
      <c r="AV1036" s="16" t="s">
        <v>99</v>
      </c>
      <c r="AW1036" s="16" t="s">
        <v>33</v>
      </c>
      <c r="AX1036" s="16" t="s">
        <v>72</v>
      </c>
      <c r="AY1036" s="247" t="s">
        <v>380</v>
      </c>
    </row>
    <row r="1037" spans="1:65" s="15" customFormat="1" ht="11.25">
      <c r="B1037" s="216"/>
      <c r="C1037" s="217"/>
      <c r="D1037" s="196" t="s">
        <v>388</v>
      </c>
      <c r="E1037" s="218" t="s">
        <v>19</v>
      </c>
      <c r="F1037" s="219" t="s">
        <v>419</v>
      </c>
      <c r="G1037" s="217"/>
      <c r="H1037" s="220">
        <v>1315.1610000000001</v>
      </c>
      <c r="I1037" s="221"/>
      <c r="J1037" s="217"/>
      <c r="K1037" s="217"/>
      <c r="L1037" s="222"/>
      <c r="M1037" s="223"/>
      <c r="N1037" s="224"/>
      <c r="O1037" s="224"/>
      <c r="P1037" s="224"/>
      <c r="Q1037" s="224"/>
      <c r="R1037" s="224"/>
      <c r="S1037" s="224"/>
      <c r="T1037" s="225"/>
      <c r="AT1037" s="226" t="s">
        <v>388</v>
      </c>
      <c r="AU1037" s="226" t="s">
        <v>82</v>
      </c>
      <c r="AV1037" s="15" t="s">
        <v>386</v>
      </c>
      <c r="AW1037" s="15" t="s">
        <v>33</v>
      </c>
      <c r="AX1037" s="15" t="s">
        <v>79</v>
      </c>
      <c r="AY1037" s="226" t="s">
        <v>380</v>
      </c>
    </row>
    <row r="1038" spans="1:65" s="2" customFormat="1" ht="24.2" customHeight="1">
      <c r="A1038" s="36"/>
      <c r="B1038" s="37"/>
      <c r="C1038" s="227" t="s">
        <v>1472</v>
      </c>
      <c r="D1038" s="227" t="s">
        <v>465</v>
      </c>
      <c r="E1038" s="228" t="s">
        <v>1473</v>
      </c>
      <c r="F1038" s="229" t="s">
        <v>1474</v>
      </c>
      <c r="G1038" s="230" t="s">
        <v>398</v>
      </c>
      <c r="H1038" s="231">
        <v>1512.4369999999999</v>
      </c>
      <c r="I1038" s="232"/>
      <c r="J1038" s="233">
        <f>ROUND(I1038*H1038,2)</f>
        <v>0</v>
      </c>
      <c r="K1038" s="229" t="s">
        <v>19</v>
      </c>
      <c r="L1038" s="234"/>
      <c r="M1038" s="235" t="s">
        <v>19</v>
      </c>
      <c r="N1038" s="236" t="s">
        <v>43</v>
      </c>
      <c r="O1038" s="66"/>
      <c r="P1038" s="190">
        <f>O1038*H1038</f>
        <v>0</v>
      </c>
      <c r="Q1038" s="190">
        <v>1E-3</v>
      </c>
      <c r="R1038" s="190">
        <f>Q1038*H1038</f>
        <v>1.512437</v>
      </c>
      <c r="S1038" s="190">
        <v>0</v>
      </c>
      <c r="T1038" s="191">
        <f>S1038*H1038</f>
        <v>0</v>
      </c>
      <c r="U1038" s="36"/>
      <c r="V1038" s="36"/>
      <c r="W1038" s="36"/>
      <c r="X1038" s="36"/>
      <c r="Y1038" s="36"/>
      <c r="Z1038" s="36"/>
      <c r="AA1038" s="36"/>
      <c r="AB1038" s="36"/>
      <c r="AC1038" s="36"/>
      <c r="AD1038" s="36"/>
      <c r="AE1038" s="36"/>
      <c r="AR1038" s="192" t="s">
        <v>546</v>
      </c>
      <c r="AT1038" s="192" t="s">
        <v>465</v>
      </c>
      <c r="AU1038" s="192" t="s">
        <v>82</v>
      </c>
      <c r="AY1038" s="19" t="s">
        <v>380</v>
      </c>
      <c r="BE1038" s="193">
        <f>IF(N1038="základní",J1038,0)</f>
        <v>0</v>
      </c>
      <c r="BF1038" s="193">
        <f>IF(N1038="snížená",J1038,0)</f>
        <v>0</v>
      </c>
      <c r="BG1038" s="193">
        <f>IF(N1038="zákl. přenesená",J1038,0)</f>
        <v>0</v>
      </c>
      <c r="BH1038" s="193">
        <f>IF(N1038="sníž. přenesená",J1038,0)</f>
        <v>0</v>
      </c>
      <c r="BI1038" s="193">
        <f>IF(N1038="nulová",J1038,0)</f>
        <v>0</v>
      </c>
      <c r="BJ1038" s="19" t="s">
        <v>79</v>
      </c>
      <c r="BK1038" s="193">
        <f>ROUND(I1038*H1038,2)</f>
        <v>0</v>
      </c>
      <c r="BL1038" s="19" t="s">
        <v>281</v>
      </c>
      <c r="BM1038" s="192" t="s">
        <v>1475</v>
      </c>
    </row>
    <row r="1039" spans="1:65" s="13" customFormat="1" ht="11.25">
      <c r="B1039" s="194"/>
      <c r="C1039" s="195"/>
      <c r="D1039" s="196" t="s">
        <v>388</v>
      </c>
      <c r="E1039" s="197" t="s">
        <v>19</v>
      </c>
      <c r="F1039" s="198" t="s">
        <v>1468</v>
      </c>
      <c r="G1039" s="195"/>
      <c r="H1039" s="197" t="s">
        <v>19</v>
      </c>
      <c r="I1039" s="199"/>
      <c r="J1039" s="195"/>
      <c r="K1039" s="195"/>
      <c r="L1039" s="200"/>
      <c r="M1039" s="201"/>
      <c r="N1039" s="202"/>
      <c r="O1039" s="202"/>
      <c r="P1039" s="202"/>
      <c r="Q1039" s="202"/>
      <c r="R1039" s="202"/>
      <c r="S1039" s="202"/>
      <c r="T1039" s="203"/>
      <c r="AT1039" s="204" t="s">
        <v>388</v>
      </c>
      <c r="AU1039" s="204" t="s">
        <v>82</v>
      </c>
      <c r="AV1039" s="13" t="s">
        <v>79</v>
      </c>
      <c r="AW1039" s="13" t="s">
        <v>33</v>
      </c>
      <c r="AX1039" s="13" t="s">
        <v>72</v>
      </c>
      <c r="AY1039" s="204" t="s">
        <v>380</v>
      </c>
    </row>
    <row r="1040" spans="1:65" s="14" customFormat="1" ht="11.25">
      <c r="B1040" s="205"/>
      <c r="C1040" s="206"/>
      <c r="D1040" s="196" t="s">
        <v>388</v>
      </c>
      <c r="E1040" s="207" t="s">
        <v>19</v>
      </c>
      <c r="F1040" s="208" t="s">
        <v>1450</v>
      </c>
      <c r="G1040" s="206"/>
      <c r="H1040" s="209">
        <v>455.51400000000001</v>
      </c>
      <c r="I1040" s="210"/>
      <c r="J1040" s="206"/>
      <c r="K1040" s="206"/>
      <c r="L1040" s="211"/>
      <c r="M1040" s="212"/>
      <c r="N1040" s="213"/>
      <c r="O1040" s="213"/>
      <c r="P1040" s="213"/>
      <c r="Q1040" s="213"/>
      <c r="R1040" s="213"/>
      <c r="S1040" s="213"/>
      <c r="T1040" s="214"/>
      <c r="AT1040" s="215" t="s">
        <v>388</v>
      </c>
      <c r="AU1040" s="215" t="s">
        <v>82</v>
      </c>
      <c r="AV1040" s="14" t="s">
        <v>82</v>
      </c>
      <c r="AW1040" s="14" t="s">
        <v>33</v>
      </c>
      <c r="AX1040" s="14" t="s">
        <v>72</v>
      </c>
      <c r="AY1040" s="215" t="s">
        <v>380</v>
      </c>
    </row>
    <row r="1041" spans="2:51" s="14" customFormat="1" ht="11.25">
      <c r="B1041" s="205"/>
      <c r="C1041" s="206"/>
      <c r="D1041" s="196" t="s">
        <v>388</v>
      </c>
      <c r="E1041" s="207" t="s">
        <v>19</v>
      </c>
      <c r="F1041" s="208" t="s">
        <v>1451</v>
      </c>
      <c r="G1041" s="206"/>
      <c r="H1041" s="209">
        <v>45.186</v>
      </c>
      <c r="I1041" s="210"/>
      <c r="J1041" s="206"/>
      <c r="K1041" s="206"/>
      <c r="L1041" s="211"/>
      <c r="M1041" s="212"/>
      <c r="N1041" s="213"/>
      <c r="O1041" s="213"/>
      <c r="P1041" s="213"/>
      <c r="Q1041" s="213"/>
      <c r="R1041" s="213"/>
      <c r="S1041" s="213"/>
      <c r="T1041" s="214"/>
      <c r="AT1041" s="215" t="s">
        <v>388</v>
      </c>
      <c r="AU1041" s="215" t="s">
        <v>82</v>
      </c>
      <c r="AV1041" s="14" t="s">
        <v>82</v>
      </c>
      <c r="AW1041" s="14" t="s">
        <v>33</v>
      </c>
      <c r="AX1041" s="14" t="s">
        <v>72</v>
      </c>
      <c r="AY1041" s="215" t="s">
        <v>380</v>
      </c>
    </row>
    <row r="1042" spans="2:51" s="14" customFormat="1" ht="11.25">
      <c r="B1042" s="205"/>
      <c r="C1042" s="206"/>
      <c r="D1042" s="196" t="s">
        <v>388</v>
      </c>
      <c r="E1042" s="207" t="s">
        <v>19</v>
      </c>
      <c r="F1042" s="208" t="s">
        <v>1452</v>
      </c>
      <c r="G1042" s="206"/>
      <c r="H1042" s="209">
        <v>26.716999999999999</v>
      </c>
      <c r="I1042" s="210"/>
      <c r="J1042" s="206"/>
      <c r="K1042" s="206"/>
      <c r="L1042" s="211"/>
      <c r="M1042" s="212"/>
      <c r="N1042" s="213"/>
      <c r="O1042" s="213"/>
      <c r="P1042" s="213"/>
      <c r="Q1042" s="213"/>
      <c r="R1042" s="213"/>
      <c r="S1042" s="213"/>
      <c r="T1042" s="214"/>
      <c r="AT1042" s="215" t="s">
        <v>388</v>
      </c>
      <c r="AU1042" s="215" t="s">
        <v>82</v>
      </c>
      <c r="AV1042" s="14" t="s">
        <v>82</v>
      </c>
      <c r="AW1042" s="14" t="s">
        <v>33</v>
      </c>
      <c r="AX1042" s="14" t="s">
        <v>72</v>
      </c>
      <c r="AY1042" s="215" t="s">
        <v>380</v>
      </c>
    </row>
    <row r="1043" spans="2:51" s="16" customFormat="1" ht="11.25">
      <c r="B1043" s="237"/>
      <c r="C1043" s="238"/>
      <c r="D1043" s="196" t="s">
        <v>388</v>
      </c>
      <c r="E1043" s="239" t="s">
        <v>19</v>
      </c>
      <c r="F1043" s="240" t="s">
        <v>572</v>
      </c>
      <c r="G1043" s="238"/>
      <c r="H1043" s="241">
        <v>527.41700000000003</v>
      </c>
      <c r="I1043" s="242"/>
      <c r="J1043" s="238"/>
      <c r="K1043" s="238"/>
      <c r="L1043" s="243"/>
      <c r="M1043" s="244"/>
      <c r="N1043" s="245"/>
      <c r="O1043" s="245"/>
      <c r="P1043" s="245"/>
      <c r="Q1043" s="245"/>
      <c r="R1043" s="245"/>
      <c r="S1043" s="245"/>
      <c r="T1043" s="246"/>
      <c r="AT1043" s="247" t="s">
        <v>388</v>
      </c>
      <c r="AU1043" s="247" t="s">
        <v>82</v>
      </c>
      <c r="AV1043" s="16" t="s">
        <v>99</v>
      </c>
      <c r="AW1043" s="16" t="s">
        <v>33</v>
      </c>
      <c r="AX1043" s="16" t="s">
        <v>72</v>
      </c>
      <c r="AY1043" s="247" t="s">
        <v>380</v>
      </c>
    </row>
    <row r="1044" spans="2:51" s="13" customFormat="1" ht="11.25">
      <c r="B1044" s="194"/>
      <c r="C1044" s="195"/>
      <c r="D1044" s="196" t="s">
        <v>388</v>
      </c>
      <c r="E1044" s="197" t="s">
        <v>19</v>
      </c>
      <c r="F1044" s="198" t="s">
        <v>1469</v>
      </c>
      <c r="G1044" s="195"/>
      <c r="H1044" s="197" t="s">
        <v>19</v>
      </c>
      <c r="I1044" s="199"/>
      <c r="J1044" s="195"/>
      <c r="K1044" s="195"/>
      <c r="L1044" s="200"/>
      <c r="M1044" s="201"/>
      <c r="N1044" s="202"/>
      <c r="O1044" s="202"/>
      <c r="P1044" s="202"/>
      <c r="Q1044" s="202"/>
      <c r="R1044" s="202"/>
      <c r="S1044" s="202"/>
      <c r="T1044" s="203"/>
      <c r="AT1044" s="204" t="s">
        <v>388</v>
      </c>
      <c r="AU1044" s="204" t="s">
        <v>82</v>
      </c>
      <c r="AV1044" s="13" t="s">
        <v>79</v>
      </c>
      <c r="AW1044" s="13" t="s">
        <v>33</v>
      </c>
      <c r="AX1044" s="13" t="s">
        <v>72</v>
      </c>
      <c r="AY1044" s="204" t="s">
        <v>380</v>
      </c>
    </row>
    <row r="1045" spans="2:51" s="14" customFormat="1" ht="11.25">
      <c r="B1045" s="205"/>
      <c r="C1045" s="206"/>
      <c r="D1045" s="196" t="s">
        <v>388</v>
      </c>
      <c r="E1045" s="207" t="s">
        <v>19</v>
      </c>
      <c r="F1045" s="208" t="s">
        <v>1453</v>
      </c>
      <c r="G1045" s="206"/>
      <c r="H1045" s="209">
        <v>25.463000000000001</v>
      </c>
      <c r="I1045" s="210"/>
      <c r="J1045" s="206"/>
      <c r="K1045" s="206"/>
      <c r="L1045" s="211"/>
      <c r="M1045" s="212"/>
      <c r="N1045" s="213"/>
      <c r="O1045" s="213"/>
      <c r="P1045" s="213"/>
      <c r="Q1045" s="213"/>
      <c r="R1045" s="213"/>
      <c r="S1045" s="213"/>
      <c r="T1045" s="214"/>
      <c r="AT1045" s="215" t="s">
        <v>388</v>
      </c>
      <c r="AU1045" s="215" t="s">
        <v>82</v>
      </c>
      <c r="AV1045" s="14" t="s">
        <v>82</v>
      </c>
      <c r="AW1045" s="14" t="s">
        <v>33</v>
      </c>
      <c r="AX1045" s="14" t="s">
        <v>72</v>
      </c>
      <c r="AY1045" s="215" t="s">
        <v>380</v>
      </c>
    </row>
    <row r="1046" spans="2:51" s="16" customFormat="1" ht="11.25">
      <c r="B1046" s="237"/>
      <c r="C1046" s="238"/>
      <c r="D1046" s="196" t="s">
        <v>388</v>
      </c>
      <c r="E1046" s="239" t="s">
        <v>19</v>
      </c>
      <c r="F1046" s="240" t="s">
        <v>572</v>
      </c>
      <c r="G1046" s="238"/>
      <c r="H1046" s="241">
        <v>25.463000000000001</v>
      </c>
      <c r="I1046" s="242"/>
      <c r="J1046" s="238"/>
      <c r="K1046" s="238"/>
      <c r="L1046" s="243"/>
      <c r="M1046" s="244"/>
      <c r="N1046" s="245"/>
      <c r="O1046" s="245"/>
      <c r="P1046" s="245"/>
      <c r="Q1046" s="245"/>
      <c r="R1046" s="245"/>
      <c r="S1046" s="245"/>
      <c r="T1046" s="246"/>
      <c r="AT1046" s="247" t="s">
        <v>388</v>
      </c>
      <c r="AU1046" s="247" t="s">
        <v>82</v>
      </c>
      <c r="AV1046" s="16" t="s">
        <v>99</v>
      </c>
      <c r="AW1046" s="16" t="s">
        <v>33</v>
      </c>
      <c r="AX1046" s="16" t="s">
        <v>72</v>
      </c>
      <c r="AY1046" s="247" t="s">
        <v>380</v>
      </c>
    </row>
    <row r="1047" spans="2:51" s="13" customFormat="1" ht="11.25">
      <c r="B1047" s="194"/>
      <c r="C1047" s="195"/>
      <c r="D1047" s="196" t="s">
        <v>388</v>
      </c>
      <c r="E1047" s="197" t="s">
        <v>19</v>
      </c>
      <c r="F1047" s="198" t="s">
        <v>1470</v>
      </c>
      <c r="G1047" s="195"/>
      <c r="H1047" s="197" t="s">
        <v>19</v>
      </c>
      <c r="I1047" s="199"/>
      <c r="J1047" s="195"/>
      <c r="K1047" s="195"/>
      <c r="L1047" s="200"/>
      <c r="M1047" s="201"/>
      <c r="N1047" s="202"/>
      <c r="O1047" s="202"/>
      <c r="P1047" s="202"/>
      <c r="Q1047" s="202"/>
      <c r="R1047" s="202"/>
      <c r="S1047" s="202"/>
      <c r="T1047" s="203"/>
      <c r="AT1047" s="204" t="s">
        <v>388</v>
      </c>
      <c r="AU1047" s="204" t="s">
        <v>82</v>
      </c>
      <c r="AV1047" s="13" t="s">
        <v>79</v>
      </c>
      <c r="AW1047" s="13" t="s">
        <v>33</v>
      </c>
      <c r="AX1047" s="13" t="s">
        <v>72</v>
      </c>
      <c r="AY1047" s="204" t="s">
        <v>380</v>
      </c>
    </row>
    <row r="1048" spans="2:51" s="14" customFormat="1" ht="11.25">
      <c r="B1048" s="205"/>
      <c r="C1048" s="206"/>
      <c r="D1048" s="196" t="s">
        <v>388</v>
      </c>
      <c r="E1048" s="207" t="s">
        <v>19</v>
      </c>
      <c r="F1048" s="208" t="s">
        <v>1454</v>
      </c>
      <c r="G1048" s="206"/>
      <c r="H1048" s="209">
        <v>131.066</v>
      </c>
      <c r="I1048" s="210"/>
      <c r="J1048" s="206"/>
      <c r="K1048" s="206"/>
      <c r="L1048" s="211"/>
      <c r="M1048" s="212"/>
      <c r="N1048" s="213"/>
      <c r="O1048" s="213"/>
      <c r="P1048" s="213"/>
      <c r="Q1048" s="213"/>
      <c r="R1048" s="213"/>
      <c r="S1048" s="213"/>
      <c r="T1048" s="214"/>
      <c r="AT1048" s="215" t="s">
        <v>388</v>
      </c>
      <c r="AU1048" s="215" t="s">
        <v>82</v>
      </c>
      <c r="AV1048" s="14" t="s">
        <v>82</v>
      </c>
      <c r="AW1048" s="14" t="s">
        <v>33</v>
      </c>
      <c r="AX1048" s="14" t="s">
        <v>72</v>
      </c>
      <c r="AY1048" s="215" t="s">
        <v>380</v>
      </c>
    </row>
    <row r="1049" spans="2:51" s="14" customFormat="1" ht="11.25">
      <c r="B1049" s="205"/>
      <c r="C1049" s="206"/>
      <c r="D1049" s="196" t="s">
        <v>388</v>
      </c>
      <c r="E1049" s="207" t="s">
        <v>19</v>
      </c>
      <c r="F1049" s="208" t="s">
        <v>1455</v>
      </c>
      <c r="G1049" s="206"/>
      <c r="H1049" s="209">
        <v>27.859000000000002</v>
      </c>
      <c r="I1049" s="210"/>
      <c r="J1049" s="206"/>
      <c r="K1049" s="206"/>
      <c r="L1049" s="211"/>
      <c r="M1049" s="212"/>
      <c r="N1049" s="213"/>
      <c r="O1049" s="213"/>
      <c r="P1049" s="213"/>
      <c r="Q1049" s="213"/>
      <c r="R1049" s="213"/>
      <c r="S1049" s="213"/>
      <c r="T1049" s="214"/>
      <c r="AT1049" s="215" t="s">
        <v>388</v>
      </c>
      <c r="AU1049" s="215" t="s">
        <v>82</v>
      </c>
      <c r="AV1049" s="14" t="s">
        <v>82</v>
      </c>
      <c r="AW1049" s="14" t="s">
        <v>33</v>
      </c>
      <c r="AX1049" s="14" t="s">
        <v>72</v>
      </c>
      <c r="AY1049" s="215" t="s">
        <v>380</v>
      </c>
    </row>
    <row r="1050" spans="2:51" s="14" customFormat="1" ht="11.25">
      <c r="B1050" s="205"/>
      <c r="C1050" s="206"/>
      <c r="D1050" s="196" t="s">
        <v>388</v>
      </c>
      <c r="E1050" s="207" t="s">
        <v>19</v>
      </c>
      <c r="F1050" s="208" t="s">
        <v>1456</v>
      </c>
      <c r="G1050" s="206"/>
      <c r="H1050" s="209">
        <v>18.731000000000002</v>
      </c>
      <c r="I1050" s="210"/>
      <c r="J1050" s="206"/>
      <c r="K1050" s="206"/>
      <c r="L1050" s="211"/>
      <c r="M1050" s="212"/>
      <c r="N1050" s="213"/>
      <c r="O1050" s="213"/>
      <c r="P1050" s="213"/>
      <c r="Q1050" s="213"/>
      <c r="R1050" s="213"/>
      <c r="S1050" s="213"/>
      <c r="T1050" s="214"/>
      <c r="AT1050" s="215" t="s">
        <v>388</v>
      </c>
      <c r="AU1050" s="215" t="s">
        <v>82</v>
      </c>
      <c r="AV1050" s="14" t="s">
        <v>82</v>
      </c>
      <c r="AW1050" s="14" t="s">
        <v>33</v>
      </c>
      <c r="AX1050" s="14" t="s">
        <v>72</v>
      </c>
      <c r="AY1050" s="215" t="s">
        <v>380</v>
      </c>
    </row>
    <row r="1051" spans="2:51" s="16" customFormat="1" ht="11.25">
      <c r="B1051" s="237"/>
      <c r="C1051" s="238"/>
      <c r="D1051" s="196" t="s">
        <v>388</v>
      </c>
      <c r="E1051" s="239" t="s">
        <v>19</v>
      </c>
      <c r="F1051" s="240" t="s">
        <v>572</v>
      </c>
      <c r="G1051" s="238"/>
      <c r="H1051" s="241">
        <v>177.65600000000001</v>
      </c>
      <c r="I1051" s="242"/>
      <c r="J1051" s="238"/>
      <c r="K1051" s="238"/>
      <c r="L1051" s="243"/>
      <c r="M1051" s="244"/>
      <c r="N1051" s="245"/>
      <c r="O1051" s="245"/>
      <c r="P1051" s="245"/>
      <c r="Q1051" s="245"/>
      <c r="R1051" s="245"/>
      <c r="S1051" s="245"/>
      <c r="T1051" s="246"/>
      <c r="AT1051" s="247" t="s">
        <v>388</v>
      </c>
      <c r="AU1051" s="247" t="s">
        <v>82</v>
      </c>
      <c r="AV1051" s="16" t="s">
        <v>99</v>
      </c>
      <c r="AW1051" s="16" t="s">
        <v>33</v>
      </c>
      <c r="AX1051" s="16" t="s">
        <v>72</v>
      </c>
      <c r="AY1051" s="247" t="s">
        <v>380</v>
      </c>
    </row>
    <row r="1052" spans="2:51" s="13" customFormat="1" ht="11.25">
      <c r="B1052" s="194"/>
      <c r="C1052" s="195"/>
      <c r="D1052" s="196" t="s">
        <v>388</v>
      </c>
      <c r="E1052" s="197" t="s">
        <v>19</v>
      </c>
      <c r="F1052" s="198" t="s">
        <v>1471</v>
      </c>
      <c r="G1052" s="195"/>
      <c r="H1052" s="197" t="s">
        <v>19</v>
      </c>
      <c r="I1052" s="199"/>
      <c r="J1052" s="195"/>
      <c r="K1052" s="195"/>
      <c r="L1052" s="200"/>
      <c r="M1052" s="201"/>
      <c r="N1052" s="202"/>
      <c r="O1052" s="202"/>
      <c r="P1052" s="202"/>
      <c r="Q1052" s="202"/>
      <c r="R1052" s="202"/>
      <c r="S1052" s="202"/>
      <c r="T1052" s="203"/>
      <c r="AT1052" s="204" t="s">
        <v>388</v>
      </c>
      <c r="AU1052" s="204" t="s">
        <v>82</v>
      </c>
      <c r="AV1052" s="13" t="s">
        <v>79</v>
      </c>
      <c r="AW1052" s="13" t="s">
        <v>33</v>
      </c>
      <c r="AX1052" s="13" t="s">
        <v>72</v>
      </c>
      <c r="AY1052" s="204" t="s">
        <v>380</v>
      </c>
    </row>
    <row r="1053" spans="2:51" s="14" customFormat="1" ht="11.25">
      <c r="B1053" s="205"/>
      <c r="C1053" s="206"/>
      <c r="D1053" s="196" t="s">
        <v>388</v>
      </c>
      <c r="E1053" s="207" t="s">
        <v>19</v>
      </c>
      <c r="F1053" s="208" t="s">
        <v>1457</v>
      </c>
      <c r="G1053" s="206"/>
      <c r="H1053" s="209">
        <v>723.74400000000003</v>
      </c>
      <c r="I1053" s="210"/>
      <c r="J1053" s="206"/>
      <c r="K1053" s="206"/>
      <c r="L1053" s="211"/>
      <c r="M1053" s="212"/>
      <c r="N1053" s="213"/>
      <c r="O1053" s="213"/>
      <c r="P1053" s="213"/>
      <c r="Q1053" s="213"/>
      <c r="R1053" s="213"/>
      <c r="S1053" s="213"/>
      <c r="T1053" s="214"/>
      <c r="AT1053" s="215" t="s">
        <v>388</v>
      </c>
      <c r="AU1053" s="215" t="s">
        <v>82</v>
      </c>
      <c r="AV1053" s="14" t="s">
        <v>82</v>
      </c>
      <c r="AW1053" s="14" t="s">
        <v>33</v>
      </c>
      <c r="AX1053" s="14" t="s">
        <v>72</v>
      </c>
      <c r="AY1053" s="215" t="s">
        <v>380</v>
      </c>
    </row>
    <row r="1054" spans="2:51" s="14" customFormat="1" ht="11.25">
      <c r="B1054" s="205"/>
      <c r="C1054" s="206"/>
      <c r="D1054" s="196" t="s">
        <v>388</v>
      </c>
      <c r="E1054" s="207" t="s">
        <v>19</v>
      </c>
      <c r="F1054" s="208" t="s">
        <v>1458</v>
      </c>
      <c r="G1054" s="206"/>
      <c r="H1054" s="209">
        <v>58.156999999999996</v>
      </c>
      <c r="I1054" s="210"/>
      <c r="J1054" s="206"/>
      <c r="K1054" s="206"/>
      <c r="L1054" s="211"/>
      <c r="M1054" s="212"/>
      <c r="N1054" s="213"/>
      <c r="O1054" s="213"/>
      <c r="P1054" s="213"/>
      <c r="Q1054" s="213"/>
      <c r="R1054" s="213"/>
      <c r="S1054" s="213"/>
      <c r="T1054" s="214"/>
      <c r="AT1054" s="215" t="s">
        <v>388</v>
      </c>
      <c r="AU1054" s="215" t="s">
        <v>82</v>
      </c>
      <c r="AV1054" s="14" t="s">
        <v>82</v>
      </c>
      <c r="AW1054" s="14" t="s">
        <v>33</v>
      </c>
      <c r="AX1054" s="14" t="s">
        <v>72</v>
      </c>
      <c r="AY1054" s="215" t="s">
        <v>380</v>
      </c>
    </row>
    <row r="1055" spans="2:51" s="16" customFormat="1" ht="11.25">
      <c r="B1055" s="237"/>
      <c r="C1055" s="238"/>
      <c r="D1055" s="196" t="s">
        <v>388</v>
      </c>
      <c r="E1055" s="239" t="s">
        <v>19</v>
      </c>
      <c r="F1055" s="240" t="s">
        <v>572</v>
      </c>
      <c r="G1055" s="238"/>
      <c r="H1055" s="241">
        <v>781.90099999999995</v>
      </c>
      <c r="I1055" s="242"/>
      <c r="J1055" s="238"/>
      <c r="K1055" s="238"/>
      <c r="L1055" s="243"/>
      <c r="M1055" s="244"/>
      <c r="N1055" s="245"/>
      <c r="O1055" s="245"/>
      <c r="P1055" s="245"/>
      <c r="Q1055" s="245"/>
      <c r="R1055" s="245"/>
      <c r="S1055" s="245"/>
      <c r="T1055" s="246"/>
      <c r="AT1055" s="247" t="s">
        <v>388</v>
      </c>
      <c r="AU1055" s="247" t="s">
        <v>82</v>
      </c>
      <c r="AV1055" s="16" t="s">
        <v>99</v>
      </c>
      <c r="AW1055" s="16" t="s">
        <v>33</v>
      </c>
      <c r="AX1055" s="16" t="s">
        <v>72</v>
      </c>
      <c r="AY1055" s="247" t="s">
        <v>380</v>
      </c>
    </row>
    <row r="1056" spans="2:51" s="15" customFormat="1" ht="11.25">
      <c r="B1056" s="216"/>
      <c r="C1056" s="217"/>
      <c r="D1056" s="196" t="s">
        <v>388</v>
      </c>
      <c r="E1056" s="218" t="s">
        <v>19</v>
      </c>
      <c r="F1056" s="219" t="s">
        <v>419</v>
      </c>
      <c r="G1056" s="217"/>
      <c r="H1056" s="220">
        <v>1512.4369999999999</v>
      </c>
      <c r="I1056" s="221"/>
      <c r="J1056" s="217"/>
      <c r="K1056" s="217"/>
      <c r="L1056" s="222"/>
      <c r="M1056" s="223"/>
      <c r="N1056" s="224"/>
      <c r="O1056" s="224"/>
      <c r="P1056" s="224"/>
      <c r="Q1056" s="224"/>
      <c r="R1056" s="224"/>
      <c r="S1056" s="224"/>
      <c r="T1056" s="225"/>
      <c r="AT1056" s="226" t="s">
        <v>388</v>
      </c>
      <c r="AU1056" s="226" t="s">
        <v>82</v>
      </c>
      <c r="AV1056" s="15" t="s">
        <v>386</v>
      </c>
      <c r="AW1056" s="15" t="s">
        <v>33</v>
      </c>
      <c r="AX1056" s="15" t="s">
        <v>79</v>
      </c>
      <c r="AY1056" s="226" t="s">
        <v>380</v>
      </c>
    </row>
    <row r="1057" spans="1:65" s="2" customFormat="1" ht="16.5" customHeight="1">
      <c r="A1057" s="36"/>
      <c r="B1057" s="37"/>
      <c r="C1057" s="181" t="s">
        <v>1476</v>
      </c>
      <c r="D1057" s="181" t="s">
        <v>382</v>
      </c>
      <c r="E1057" s="182" t="s">
        <v>1477</v>
      </c>
      <c r="F1057" s="183" t="s">
        <v>1478</v>
      </c>
      <c r="G1057" s="184" t="s">
        <v>398</v>
      </c>
      <c r="H1057" s="185">
        <v>722.11699999999996</v>
      </c>
      <c r="I1057" s="186"/>
      <c r="J1057" s="187">
        <f>ROUND(I1057*H1057,2)</f>
        <v>0</v>
      </c>
      <c r="K1057" s="183" t="s">
        <v>399</v>
      </c>
      <c r="L1057" s="41"/>
      <c r="M1057" s="188" t="s">
        <v>19</v>
      </c>
      <c r="N1057" s="189" t="s">
        <v>43</v>
      </c>
      <c r="O1057" s="66"/>
      <c r="P1057" s="190">
        <f>O1057*H1057</f>
        <v>0</v>
      </c>
      <c r="Q1057" s="190">
        <v>3.6374999999999998E-4</v>
      </c>
      <c r="R1057" s="190">
        <f>Q1057*H1057</f>
        <v>0.26267005874999999</v>
      </c>
      <c r="S1057" s="190">
        <v>0</v>
      </c>
      <c r="T1057" s="191">
        <f>S1057*H1057</f>
        <v>0</v>
      </c>
      <c r="U1057" s="36"/>
      <c r="V1057" s="36"/>
      <c r="W1057" s="36"/>
      <c r="X1057" s="36"/>
      <c r="Y1057" s="36"/>
      <c r="Z1057" s="36"/>
      <c r="AA1057" s="36"/>
      <c r="AB1057" s="36"/>
      <c r="AC1057" s="36"/>
      <c r="AD1057" s="36"/>
      <c r="AE1057" s="36"/>
      <c r="AR1057" s="192" t="s">
        <v>281</v>
      </c>
      <c r="AT1057" s="192" t="s">
        <v>382</v>
      </c>
      <c r="AU1057" s="192" t="s">
        <v>82</v>
      </c>
      <c r="AY1057" s="19" t="s">
        <v>380</v>
      </c>
      <c r="BE1057" s="193">
        <f>IF(N1057="základní",J1057,0)</f>
        <v>0</v>
      </c>
      <c r="BF1057" s="193">
        <f>IF(N1057="snížená",J1057,0)</f>
        <v>0</v>
      </c>
      <c r="BG1057" s="193">
        <f>IF(N1057="zákl. přenesená",J1057,0)</f>
        <v>0</v>
      </c>
      <c r="BH1057" s="193">
        <f>IF(N1057="sníž. přenesená",J1057,0)</f>
        <v>0</v>
      </c>
      <c r="BI1057" s="193">
        <f>IF(N1057="nulová",J1057,0)</f>
        <v>0</v>
      </c>
      <c r="BJ1057" s="19" t="s">
        <v>79</v>
      </c>
      <c r="BK1057" s="193">
        <f>ROUND(I1057*H1057,2)</f>
        <v>0</v>
      </c>
      <c r="BL1057" s="19" t="s">
        <v>281</v>
      </c>
      <c r="BM1057" s="192" t="s">
        <v>1479</v>
      </c>
    </row>
    <row r="1058" spans="1:65" s="13" customFormat="1" ht="11.25">
      <c r="B1058" s="194"/>
      <c r="C1058" s="195"/>
      <c r="D1058" s="196" t="s">
        <v>388</v>
      </c>
      <c r="E1058" s="197" t="s">
        <v>19</v>
      </c>
      <c r="F1058" s="198" t="s">
        <v>1414</v>
      </c>
      <c r="G1058" s="195"/>
      <c r="H1058" s="197" t="s">
        <v>19</v>
      </c>
      <c r="I1058" s="199"/>
      <c r="J1058" s="195"/>
      <c r="K1058" s="195"/>
      <c r="L1058" s="200"/>
      <c r="M1058" s="201"/>
      <c r="N1058" s="202"/>
      <c r="O1058" s="202"/>
      <c r="P1058" s="202"/>
      <c r="Q1058" s="202"/>
      <c r="R1058" s="202"/>
      <c r="S1058" s="202"/>
      <c r="T1058" s="203"/>
      <c r="AT1058" s="204" t="s">
        <v>388</v>
      </c>
      <c r="AU1058" s="204" t="s">
        <v>82</v>
      </c>
      <c r="AV1058" s="13" t="s">
        <v>79</v>
      </c>
      <c r="AW1058" s="13" t="s">
        <v>33</v>
      </c>
      <c r="AX1058" s="13" t="s">
        <v>72</v>
      </c>
      <c r="AY1058" s="204" t="s">
        <v>380</v>
      </c>
    </row>
    <row r="1059" spans="1:65" s="14" customFormat="1" ht="11.25">
      <c r="B1059" s="205"/>
      <c r="C1059" s="206"/>
      <c r="D1059" s="196" t="s">
        <v>388</v>
      </c>
      <c r="E1059" s="207" t="s">
        <v>19</v>
      </c>
      <c r="F1059" s="208" t="s">
        <v>1415</v>
      </c>
      <c r="G1059" s="206"/>
      <c r="H1059" s="209">
        <v>396.09899999999999</v>
      </c>
      <c r="I1059" s="210"/>
      <c r="J1059" s="206"/>
      <c r="K1059" s="206"/>
      <c r="L1059" s="211"/>
      <c r="M1059" s="212"/>
      <c r="N1059" s="213"/>
      <c r="O1059" s="213"/>
      <c r="P1059" s="213"/>
      <c r="Q1059" s="213"/>
      <c r="R1059" s="213"/>
      <c r="S1059" s="213"/>
      <c r="T1059" s="214"/>
      <c r="AT1059" s="215" t="s">
        <v>388</v>
      </c>
      <c r="AU1059" s="215" t="s">
        <v>82</v>
      </c>
      <c r="AV1059" s="14" t="s">
        <v>82</v>
      </c>
      <c r="AW1059" s="14" t="s">
        <v>33</v>
      </c>
      <c r="AX1059" s="14" t="s">
        <v>72</v>
      </c>
      <c r="AY1059" s="215" t="s">
        <v>380</v>
      </c>
    </row>
    <row r="1060" spans="1:65" s="14" customFormat="1" ht="11.25">
      <c r="B1060" s="205"/>
      <c r="C1060" s="206"/>
      <c r="D1060" s="196" t="s">
        <v>388</v>
      </c>
      <c r="E1060" s="207" t="s">
        <v>19</v>
      </c>
      <c r="F1060" s="208" t="s">
        <v>1416</v>
      </c>
      <c r="G1060" s="206"/>
      <c r="H1060" s="209">
        <v>82.72</v>
      </c>
      <c r="I1060" s="210"/>
      <c r="J1060" s="206"/>
      <c r="K1060" s="206"/>
      <c r="L1060" s="211"/>
      <c r="M1060" s="212"/>
      <c r="N1060" s="213"/>
      <c r="O1060" s="213"/>
      <c r="P1060" s="213"/>
      <c r="Q1060" s="213"/>
      <c r="R1060" s="213"/>
      <c r="S1060" s="213"/>
      <c r="T1060" s="214"/>
      <c r="AT1060" s="215" t="s">
        <v>388</v>
      </c>
      <c r="AU1060" s="215" t="s">
        <v>82</v>
      </c>
      <c r="AV1060" s="14" t="s">
        <v>82</v>
      </c>
      <c r="AW1060" s="14" t="s">
        <v>33</v>
      </c>
      <c r="AX1060" s="14" t="s">
        <v>72</v>
      </c>
      <c r="AY1060" s="215" t="s">
        <v>380</v>
      </c>
    </row>
    <row r="1061" spans="1:65" s="14" customFormat="1" ht="11.25">
      <c r="B1061" s="205"/>
      <c r="C1061" s="206"/>
      <c r="D1061" s="196" t="s">
        <v>388</v>
      </c>
      <c r="E1061" s="207" t="s">
        <v>19</v>
      </c>
      <c r="F1061" s="208" t="s">
        <v>1417</v>
      </c>
      <c r="G1061" s="206"/>
      <c r="H1061" s="209">
        <v>27.103999999999999</v>
      </c>
      <c r="I1061" s="210"/>
      <c r="J1061" s="206"/>
      <c r="K1061" s="206"/>
      <c r="L1061" s="211"/>
      <c r="M1061" s="212"/>
      <c r="N1061" s="213"/>
      <c r="O1061" s="213"/>
      <c r="P1061" s="213"/>
      <c r="Q1061" s="213"/>
      <c r="R1061" s="213"/>
      <c r="S1061" s="213"/>
      <c r="T1061" s="214"/>
      <c r="AT1061" s="215" t="s">
        <v>388</v>
      </c>
      <c r="AU1061" s="215" t="s">
        <v>82</v>
      </c>
      <c r="AV1061" s="14" t="s">
        <v>82</v>
      </c>
      <c r="AW1061" s="14" t="s">
        <v>33</v>
      </c>
      <c r="AX1061" s="14" t="s">
        <v>72</v>
      </c>
      <c r="AY1061" s="215" t="s">
        <v>380</v>
      </c>
    </row>
    <row r="1062" spans="1:65" s="16" customFormat="1" ht="11.25">
      <c r="B1062" s="237"/>
      <c r="C1062" s="238"/>
      <c r="D1062" s="196" t="s">
        <v>388</v>
      </c>
      <c r="E1062" s="239" t="s">
        <v>19</v>
      </c>
      <c r="F1062" s="240" t="s">
        <v>572</v>
      </c>
      <c r="G1062" s="238"/>
      <c r="H1062" s="241">
        <v>505.923</v>
      </c>
      <c r="I1062" s="242"/>
      <c r="J1062" s="238"/>
      <c r="K1062" s="238"/>
      <c r="L1062" s="243"/>
      <c r="M1062" s="244"/>
      <c r="N1062" s="245"/>
      <c r="O1062" s="245"/>
      <c r="P1062" s="245"/>
      <c r="Q1062" s="245"/>
      <c r="R1062" s="245"/>
      <c r="S1062" s="245"/>
      <c r="T1062" s="246"/>
      <c r="AT1062" s="247" t="s">
        <v>388</v>
      </c>
      <c r="AU1062" s="247" t="s">
        <v>82</v>
      </c>
      <c r="AV1062" s="16" t="s">
        <v>99</v>
      </c>
      <c r="AW1062" s="16" t="s">
        <v>33</v>
      </c>
      <c r="AX1062" s="16" t="s">
        <v>72</v>
      </c>
      <c r="AY1062" s="247" t="s">
        <v>380</v>
      </c>
    </row>
    <row r="1063" spans="1:65" s="13" customFormat="1" ht="11.25">
      <c r="B1063" s="194"/>
      <c r="C1063" s="195"/>
      <c r="D1063" s="196" t="s">
        <v>388</v>
      </c>
      <c r="E1063" s="197" t="s">
        <v>19</v>
      </c>
      <c r="F1063" s="198" t="s">
        <v>1418</v>
      </c>
      <c r="G1063" s="195"/>
      <c r="H1063" s="197" t="s">
        <v>19</v>
      </c>
      <c r="I1063" s="199"/>
      <c r="J1063" s="195"/>
      <c r="K1063" s="195"/>
      <c r="L1063" s="200"/>
      <c r="M1063" s="201"/>
      <c r="N1063" s="202"/>
      <c r="O1063" s="202"/>
      <c r="P1063" s="202"/>
      <c r="Q1063" s="202"/>
      <c r="R1063" s="202"/>
      <c r="S1063" s="202"/>
      <c r="T1063" s="203"/>
      <c r="AT1063" s="204" t="s">
        <v>388</v>
      </c>
      <c r="AU1063" s="204" t="s">
        <v>82</v>
      </c>
      <c r="AV1063" s="13" t="s">
        <v>79</v>
      </c>
      <c r="AW1063" s="13" t="s">
        <v>33</v>
      </c>
      <c r="AX1063" s="13" t="s">
        <v>72</v>
      </c>
      <c r="AY1063" s="204" t="s">
        <v>380</v>
      </c>
    </row>
    <row r="1064" spans="1:65" s="14" customFormat="1" ht="11.25">
      <c r="B1064" s="205"/>
      <c r="C1064" s="206"/>
      <c r="D1064" s="196" t="s">
        <v>388</v>
      </c>
      <c r="E1064" s="207" t="s">
        <v>19</v>
      </c>
      <c r="F1064" s="208" t="s">
        <v>1419</v>
      </c>
      <c r="G1064" s="206"/>
      <c r="H1064" s="209">
        <v>22.140999999999998</v>
      </c>
      <c r="I1064" s="210"/>
      <c r="J1064" s="206"/>
      <c r="K1064" s="206"/>
      <c r="L1064" s="211"/>
      <c r="M1064" s="212"/>
      <c r="N1064" s="213"/>
      <c r="O1064" s="213"/>
      <c r="P1064" s="213"/>
      <c r="Q1064" s="213"/>
      <c r="R1064" s="213"/>
      <c r="S1064" s="213"/>
      <c r="T1064" s="214"/>
      <c r="AT1064" s="215" t="s">
        <v>388</v>
      </c>
      <c r="AU1064" s="215" t="s">
        <v>82</v>
      </c>
      <c r="AV1064" s="14" t="s">
        <v>82</v>
      </c>
      <c r="AW1064" s="14" t="s">
        <v>33</v>
      </c>
      <c r="AX1064" s="14" t="s">
        <v>72</v>
      </c>
      <c r="AY1064" s="215" t="s">
        <v>380</v>
      </c>
    </row>
    <row r="1065" spans="1:65" s="16" customFormat="1" ht="11.25">
      <c r="B1065" s="237"/>
      <c r="C1065" s="238"/>
      <c r="D1065" s="196" t="s">
        <v>388</v>
      </c>
      <c r="E1065" s="239" t="s">
        <v>19</v>
      </c>
      <c r="F1065" s="240" t="s">
        <v>572</v>
      </c>
      <c r="G1065" s="238"/>
      <c r="H1065" s="241">
        <v>22.140999999999998</v>
      </c>
      <c r="I1065" s="242"/>
      <c r="J1065" s="238"/>
      <c r="K1065" s="238"/>
      <c r="L1065" s="243"/>
      <c r="M1065" s="244"/>
      <c r="N1065" s="245"/>
      <c r="O1065" s="245"/>
      <c r="P1065" s="245"/>
      <c r="Q1065" s="245"/>
      <c r="R1065" s="245"/>
      <c r="S1065" s="245"/>
      <c r="T1065" s="246"/>
      <c r="AT1065" s="247" t="s">
        <v>388</v>
      </c>
      <c r="AU1065" s="247" t="s">
        <v>82</v>
      </c>
      <c r="AV1065" s="16" t="s">
        <v>99</v>
      </c>
      <c r="AW1065" s="16" t="s">
        <v>33</v>
      </c>
      <c r="AX1065" s="16" t="s">
        <v>72</v>
      </c>
      <c r="AY1065" s="247" t="s">
        <v>380</v>
      </c>
    </row>
    <row r="1066" spans="1:65" s="13" customFormat="1" ht="11.25">
      <c r="B1066" s="194"/>
      <c r="C1066" s="195"/>
      <c r="D1066" s="196" t="s">
        <v>388</v>
      </c>
      <c r="E1066" s="197" t="s">
        <v>19</v>
      </c>
      <c r="F1066" s="198" t="s">
        <v>1420</v>
      </c>
      <c r="G1066" s="195"/>
      <c r="H1066" s="197" t="s">
        <v>19</v>
      </c>
      <c r="I1066" s="199"/>
      <c r="J1066" s="195"/>
      <c r="K1066" s="195"/>
      <c r="L1066" s="200"/>
      <c r="M1066" s="201"/>
      <c r="N1066" s="202"/>
      <c r="O1066" s="202"/>
      <c r="P1066" s="202"/>
      <c r="Q1066" s="202"/>
      <c r="R1066" s="202"/>
      <c r="S1066" s="202"/>
      <c r="T1066" s="203"/>
      <c r="AT1066" s="204" t="s">
        <v>388</v>
      </c>
      <c r="AU1066" s="204" t="s">
        <v>82</v>
      </c>
      <c r="AV1066" s="13" t="s">
        <v>79</v>
      </c>
      <c r="AW1066" s="13" t="s">
        <v>33</v>
      </c>
      <c r="AX1066" s="13" t="s">
        <v>72</v>
      </c>
      <c r="AY1066" s="204" t="s">
        <v>380</v>
      </c>
    </row>
    <row r="1067" spans="1:65" s="14" customFormat="1" ht="11.25">
      <c r="B1067" s="205"/>
      <c r="C1067" s="206"/>
      <c r="D1067" s="196" t="s">
        <v>388</v>
      </c>
      <c r="E1067" s="207" t="s">
        <v>19</v>
      </c>
      <c r="F1067" s="208" t="s">
        <v>1421</v>
      </c>
      <c r="G1067" s="206"/>
      <c r="H1067" s="209">
        <v>113.97</v>
      </c>
      <c r="I1067" s="210"/>
      <c r="J1067" s="206"/>
      <c r="K1067" s="206"/>
      <c r="L1067" s="211"/>
      <c r="M1067" s="212"/>
      <c r="N1067" s="213"/>
      <c r="O1067" s="213"/>
      <c r="P1067" s="213"/>
      <c r="Q1067" s="213"/>
      <c r="R1067" s="213"/>
      <c r="S1067" s="213"/>
      <c r="T1067" s="214"/>
      <c r="AT1067" s="215" t="s">
        <v>388</v>
      </c>
      <c r="AU1067" s="215" t="s">
        <v>82</v>
      </c>
      <c r="AV1067" s="14" t="s">
        <v>82</v>
      </c>
      <c r="AW1067" s="14" t="s">
        <v>33</v>
      </c>
      <c r="AX1067" s="14" t="s">
        <v>72</v>
      </c>
      <c r="AY1067" s="215" t="s">
        <v>380</v>
      </c>
    </row>
    <row r="1068" spans="1:65" s="14" customFormat="1" ht="11.25">
      <c r="B1068" s="205"/>
      <c r="C1068" s="206"/>
      <c r="D1068" s="196" t="s">
        <v>388</v>
      </c>
      <c r="E1068" s="207" t="s">
        <v>19</v>
      </c>
      <c r="F1068" s="208" t="s">
        <v>1422</v>
      </c>
      <c r="G1068" s="206"/>
      <c r="H1068" s="209">
        <v>36.338000000000001</v>
      </c>
      <c r="I1068" s="210"/>
      <c r="J1068" s="206"/>
      <c r="K1068" s="206"/>
      <c r="L1068" s="211"/>
      <c r="M1068" s="212"/>
      <c r="N1068" s="213"/>
      <c r="O1068" s="213"/>
      <c r="P1068" s="213"/>
      <c r="Q1068" s="213"/>
      <c r="R1068" s="213"/>
      <c r="S1068" s="213"/>
      <c r="T1068" s="214"/>
      <c r="AT1068" s="215" t="s">
        <v>388</v>
      </c>
      <c r="AU1068" s="215" t="s">
        <v>82</v>
      </c>
      <c r="AV1068" s="14" t="s">
        <v>82</v>
      </c>
      <c r="AW1068" s="14" t="s">
        <v>33</v>
      </c>
      <c r="AX1068" s="14" t="s">
        <v>72</v>
      </c>
      <c r="AY1068" s="215" t="s">
        <v>380</v>
      </c>
    </row>
    <row r="1069" spans="1:65" s="14" customFormat="1" ht="11.25">
      <c r="B1069" s="205"/>
      <c r="C1069" s="206"/>
      <c r="D1069" s="196" t="s">
        <v>388</v>
      </c>
      <c r="E1069" s="207" t="s">
        <v>19</v>
      </c>
      <c r="F1069" s="208" t="s">
        <v>1423</v>
      </c>
      <c r="G1069" s="206"/>
      <c r="H1069" s="209">
        <v>22.905000000000001</v>
      </c>
      <c r="I1069" s="210"/>
      <c r="J1069" s="206"/>
      <c r="K1069" s="206"/>
      <c r="L1069" s="211"/>
      <c r="M1069" s="212"/>
      <c r="N1069" s="213"/>
      <c r="O1069" s="213"/>
      <c r="P1069" s="213"/>
      <c r="Q1069" s="213"/>
      <c r="R1069" s="213"/>
      <c r="S1069" s="213"/>
      <c r="T1069" s="214"/>
      <c r="AT1069" s="215" t="s">
        <v>388</v>
      </c>
      <c r="AU1069" s="215" t="s">
        <v>82</v>
      </c>
      <c r="AV1069" s="14" t="s">
        <v>82</v>
      </c>
      <c r="AW1069" s="14" t="s">
        <v>33</v>
      </c>
      <c r="AX1069" s="14" t="s">
        <v>72</v>
      </c>
      <c r="AY1069" s="215" t="s">
        <v>380</v>
      </c>
    </row>
    <row r="1070" spans="1:65" s="16" customFormat="1" ht="11.25">
      <c r="B1070" s="237"/>
      <c r="C1070" s="238"/>
      <c r="D1070" s="196" t="s">
        <v>388</v>
      </c>
      <c r="E1070" s="239" t="s">
        <v>19</v>
      </c>
      <c r="F1070" s="240" t="s">
        <v>572</v>
      </c>
      <c r="G1070" s="238"/>
      <c r="H1070" s="241">
        <v>173.21299999999999</v>
      </c>
      <c r="I1070" s="242"/>
      <c r="J1070" s="238"/>
      <c r="K1070" s="238"/>
      <c r="L1070" s="243"/>
      <c r="M1070" s="244"/>
      <c r="N1070" s="245"/>
      <c r="O1070" s="245"/>
      <c r="P1070" s="245"/>
      <c r="Q1070" s="245"/>
      <c r="R1070" s="245"/>
      <c r="S1070" s="245"/>
      <c r="T1070" s="246"/>
      <c r="AT1070" s="247" t="s">
        <v>388</v>
      </c>
      <c r="AU1070" s="247" t="s">
        <v>82</v>
      </c>
      <c r="AV1070" s="16" t="s">
        <v>99</v>
      </c>
      <c r="AW1070" s="16" t="s">
        <v>33</v>
      </c>
      <c r="AX1070" s="16" t="s">
        <v>72</v>
      </c>
      <c r="AY1070" s="247" t="s">
        <v>380</v>
      </c>
    </row>
    <row r="1071" spans="1:65" s="13" customFormat="1" ht="11.25">
      <c r="B1071" s="194"/>
      <c r="C1071" s="195"/>
      <c r="D1071" s="196" t="s">
        <v>388</v>
      </c>
      <c r="E1071" s="197" t="s">
        <v>19</v>
      </c>
      <c r="F1071" s="198" t="s">
        <v>1426</v>
      </c>
      <c r="G1071" s="195"/>
      <c r="H1071" s="197" t="s">
        <v>19</v>
      </c>
      <c r="I1071" s="199"/>
      <c r="J1071" s="195"/>
      <c r="K1071" s="195"/>
      <c r="L1071" s="200"/>
      <c r="M1071" s="201"/>
      <c r="N1071" s="202"/>
      <c r="O1071" s="202"/>
      <c r="P1071" s="202"/>
      <c r="Q1071" s="202"/>
      <c r="R1071" s="202"/>
      <c r="S1071" s="202"/>
      <c r="T1071" s="203"/>
      <c r="AT1071" s="204" t="s">
        <v>388</v>
      </c>
      <c r="AU1071" s="204" t="s">
        <v>82</v>
      </c>
      <c r="AV1071" s="13" t="s">
        <v>79</v>
      </c>
      <c r="AW1071" s="13" t="s">
        <v>33</v>
      </c>
      <c r="AX1071" s="13" t="s">
        <v>72</v>
      </c>
      <c r="AY1071" s="204" t="s">
        <v>380</v>
      </c>
    </row>
    <row r="1072" spans="1:65" s="14" customFormat="1" ht="11.25">
      <c r="B1072" s="205"/>
      <c r="C1072" s="206"/>
      <c r="D1072" s="196" t="s">
        <v>388</v>
      </c>
      <c r="E1072" s="207" t="s">
        <v>19</v>
      </c>
      <c r="F1072" s="208" t="s">
        <v>1427</v>
      </c>
      <c r="G1072" s="206"/>
      <c r="H1072" s="209">
        <v>17.600000000000001</v>
      </c>
      <c r="I1072" s="210"/>
      <c r="J1072" s="206"/>
      <c r="K1072" s="206"/>
      <c r="L1072" s="211"/>
      <c r="M1072" s="212"/>
      <c r="N1072" s="213"/>
      <c r="O1072" s="213"/>
      <c r="P1072" s="213"/>
      <c r="Q1072" s="213"/>
      <c r="R1072" s="213"/>
      <c r="S1072" s="213"/>
      <c r="T1072" s="214"/>
      <c r="AT1072" s="215" t="s">
        <v>388</v>
      </c>
      <c r="AU1072" s="215" t="s">
        <v>82</v>
      </c>
      <c r="AV1072" s="14" t="s">
        <v>82</v>
      </c>
      <c r="AW1072" s="14" t="s">
        <v>33</v>
      </c>
      <c r="AX1072" s="14" t="s">
        <v>72</v>
      </c>
      <c r="AY1072" s="215" t="s">
        <v>380</v>
      </c>
    </row>
    <row r="1073" spans="1:65" s="14" customFormat="1" ht="11.25">
      <c r="B1073" s="205"/>
      <c r="C1073" s="206"/>
      <c r="D1073" s="196" t="s">
        <v>388</v>
      </c>
      <c r="E1073" s="207" t="s">
        <v>19</v>
      </c>
      <c r="F1073" s="208" t="s">
        <v>1428</v>
      </c>
      <c r="G1073" s="206"/>
      <c r="H1073" s="209">
        <v>3.24</v>
      </c>
      <c r="I1073" s="210"/>
      <c r="J1073" s="206"/>
      <c r="K1073" s="206"/>
      <c r="L1073" s="211"/>
      <c r="M1073" s="212"/>
      <c r="N1073" s="213"/>
      <c r="O1073" s="213"/>
      <c r="P1073" s="213"/>
      <c r="Q1073" s="213"/>
      <c r="R1073" s="213"/>
      <c r="S1073" s="213"/>
      <c r="T1073" s="214"/>
      <c r="AT1073" s="215" t="s">
        <v>388</v>
      </c>
      <c r="AU1073" s="215" t="s">
        <v>82</v>
      </c>
      <c r="AV1073" s="14" t="s">
        <v>82</v>
      </c>
      <c r="AW1073" s="14" t="s">
        <v>33</v>
      </c>
      <c r="AX1073" s="14" t="s">
        <v>72</v>
      </c>
      <c r="AY1073" s="215" t="s">
        <v>380</v>
      </c>
    </row>
    <row r="1074" spans="1:65" s="16" customFormat="1" ht="11.25">
      <c r="B1074" s="237"/>
      <c r="C1074" s="238"/>
      <c r="D1074" s="196" t="s">
        <v>388</v>
      </c>
      <c r="E1074" s="239" t="s">
        <v>19</v>
      </c>
      <c r="F1074" s="240" t="s">
        <v>572</v>
      </c>
      <c r="G1074" s="238"/>
      <c r="H1074" s="241">
        <v>20.84</v>
      </c>
      <c r="I1074" s="242"/>
      <c r="J1074" s="238"/>
      <c r="K1074" s="238"/>
      <c r="L1074" s="243"/>
      <c r="M1074" s="244"/>
      <c r="N1074" s="245"/>
      <c r="O1074" s="245"/>
      <c r="P1074" s="245"/>
      <c r="Q1074" s="245"/>
      <c r="R1074" s="245"/>
      <c r="S1074" s="245"/>
      <c r="T1074" s="246"/>
      <c r="AT1074" s="247" t="s">
        <v>388</v>
      </c>
      <c r="AU1074" s="247" t="s">
        <v>82</v>
      </c>
      <c r="AV1074" s="16" t="s">
        <v>99</v>
      </c>
      <c r="AW1074" s="16" t="s">
        <v>33</v>
      </c>
      <c r="AX1074" s="16" t="s">
        <v>72</v>
      </c>
      <c r="AY1074" s="247" t="s">
        <v>380</v>
      </c>
    </row>
    <row r="1075" spans="1:65" s="15" customFormat="1" ht="11.25">
      <c r="B1075" s="216"/>
      <c r="C1075" s="217"/>
      <c r="D1075" s="196" t="s">
        <v>388</v>
      </c>
      <c r="E1075" s="218" t="s">
        <v>19</v>
      </c>
      <c r="F1075" s="219" t="s">
        <v>419</v>
      </c>
      <c r="G1075" s="217"/>
      <c r="H1075" s="220">
        <v>722.11699999999996</v>
      </c>
      <c r="I1075" s="221"/>
      <c r="J1075" s="217"/>
      <c r="K1075" s="217"/>
      <c r="L1075" s="222"/>
      <c r="M1075" s="223"/>
      <c r="N1075" s="224"/>
      <c r="O1075" s="224"/>
      <c r="P1075" s="224"/>
      <c r="Q1075" s="224"/>
      <c r="R1075" s="224"/>
      <c r="S1075" s="224"/>
      <c r="T1075" s="225"/>
      <c r="AT1075" s="226" t="s">
        <v>388</v>
      </c>
      <c r="AU1075" s="226" t="s">
        <v>82</v>
      </c>
      <c r="AV1075" s="15" t="s">
        <v>386</v>
      </c>
      <c r="AW1075" s="15" t="s">
        <v>33</v>
      </c>
      <c r="AX1075" s="15" t="s">
        <v>79</v>
      </c>
      <c r="AY1075" s="226" t="s">
        <v>380</v>
      </c>
    </row>
    <row r="1076" spans="1:65" s="2" customFormat="1" ht="24.2" customHeight="1">
      <c r="A1076" s="36"/>
      <c r="B1076" s="37"/>
      <c r="C1076" s="227" t="s">
        <v>1480</v>
      </c>
      <c r="D1076" s="227" t="s">
        <v>465</v>
      </c>
      <c r="E1076" s="228" t="s">
        <v>1481</v>
      </c>
      <c r="F1076" s="229" t="s">
        <v>1482</v>
      </c>
      <c r="G1076" s="230" t="s">
        <v>398</v>
      </c>
      <c r="H1076" s="231">
        <v>830.43600000000004</v>
      </c>
      <c r="I1076" s="232"/>
      <c r="J1076" s="233">
        <f>ROUND(I1076*H1076,2)</f>
        <v>0</v>
      </c>
      <c r="K1076" s="229" t="s">
        <v>19</v>
      </c>
      <c r="L1076" s="234"/>
      <c r="M1076" s="235" t="s">
        <v>19</v>
      </c>
      <c r="N1076" s="236" t="s">
        <v>43</v>
      </c>
      <c r="O1076" s="66"/>
      <c r="P1076" s="190">
        <f>O1076*H1076</f>
        <v>0</v>
      </c>
      <c r="Q1076" s="190">
        <v>1E-3</v>
      </c>
      <c r="R1076" s="190">
        <f>Q1076*H1076</f>
        <v>0.83043600000000006</v>
      </c>
      <c r="S1076" s="190">
        <v>0</v>
      </c>
      <c r="T1076" s="191">
        <f>S1076*H1076</f>
        <v>0</v>
      </c>
      <c r="U1076" s="36"/>
      <c r="V1076" s="36"/>
      <c r="W1076" s="36"/>
      <c r="X1076" s="36"/>
      <c r="Y1076" s="36"/>
      <c r="Z1076" s="36"/>
      <c r="AA1076" s="36"/>
      <c r="AB1076" s="36"/>
      <c r="AC1076" s="36"/>
      <c r="AD1076" s="36"/>
      <c r="AE1076" s="36"/>
      <c r="AR1076" s="192" t="s">
        <v>546</v>
      </c>
      <c r="AT1076" s="192" t="s">
        <v>465</v>
      </c>
      <c r="AU1076" s="192" t="s">
        <v>82</v>
      </c>
      <c r="AY1076" s="19" t="s">
        <v>380</v>
      </c>
      <c r="BE1076" s="193">
        <f>IF(N1076="základní",J1076,0)</f>
        <v>0</v>
      </c>
      <c r="BF1076" s="193">
        <f>IF(N1076="snížená",J1076,0)</f>
        <v>0</v>
      </c>
      <c r="BG1076" s="193">
        <f>IF(N1076="zákl. přenesená",J1076,0)</f>
        <v>0</v>
      </c>
      <c r="BH1076" s="193">
        <f>IF(N1076="sníž. přenesená",J1076,0)</f>
        <v>0</v>
      </c>
      <c r="BI1076" s="193">
        <f>IF(N1076="nulová",J1076,0)</f>
        <v>0</v>
      </c>
      <c r="BJ1076" s="19" t="s">
        <v>79</v>
      </c>
      <c r="BK1076" s="193">
        <f>ROUND(I1076*H1076,2)</f>
        <v>0</v>
      </c>
      <c r="BL1076" s="19" t="s">
        <v>281</v>
      </c>
      <c r="BM1076" s="192" t="s">
        <v>1483</v>
      </c>
    </row>
    <row r="1077" spans="1:65" s="13" customFormat="1" ht="11.25">
      <c r="B1077" s="194"/>
      <c r="C1077" s="195"/>
      <c r="D1077" s="196" t="s">
        <v>388</v>
      </c>
      <c r="E1077" s="197" t="s">
        <v>19</v>
      </c>
      <c r="F1077" s="198" t="s">
        <v>1414</v>
      </c>
      <c r="G1077" s="195"/>
      <c r="H1077" s="197" t="s">
        <v>19</v>
      </c>
      <c r="I1077" s="199"/>
      <c r="J1077" s="195"/>
      <c r="K1077" s="195"/>
      <c r="L1077" s="200"/>
      <c r="M1077" s="201"/>
      <c r="N1077" s="202"/>
      <c r="O1077" s="202"/>
      <c r="P1077" s="202"/>
      <c r="Q1077" s="202"/>
      <c r="R1077" s="202"/>
      <c r="S1077" s="202"/>
      <c r="T1077" s="203"/>
      <c r="AT1077" s="204" t="s">
        <v>388</v>
      </c>
      <c r="AU1077" s="204" t="s">
        <v>82</v>
      </c>
      <c r="AV1077" s="13" t="s">
        <v>79</v>
      </c>
      <c r="AW1077" s="13" t="s">
        <v>33</v>
      </c>
      <c r="AX1077" s="13" t="s">
        <v>72</v>
      </c>
      <c r="AY1077" s="204" t="s">
        <v>380</v>
      </c>
    </row>
    <row r="1078" spans="1:65" s="14" customFormat="1" ht="11.25">
      <c r="B1078" s="205"/>
      <c r="C1078" s="206"/>
      <c r="D1078" s="196" t="s">
        <v>388</v>
      </c>
      <c r="E1078" s="207" t="s">
        <v>19</v>
      </c>
      <c r="F1078" s="208" t="s">
        <v>1450</v>
      </c>
      <c r="G1078" s="206"/>
      <c r="H1078" s="209">
        <v>455.51400000000001</v>
      </c>
      <c r="I1078" s="210"/>
      <c r="J1078" s="206"/>
      <c r="K1078" s="206"/>
      <c r="L1078" s="211"/>
      <c r="M1078" s="212"/>
      <c r="N1078" s="213"/>
      <c r="O1078" s="213"/>
      <c r="P1078" s="213"/>
      <c r="Q1078" s="213"/>
      <c r="R1078" s="213"/>
      <c r="S1078" s="213"/>
      <c r="T1078" s="214"/>
      <c r="AT1078" s="215" t="s">
        <v>388</v>
      </c>
      <c r="AU1078" s="215" t="s">
        <v>82</v>
      </c>
      <c r="AV1078" s="14" t="s">
        <v>82</v>
      </c>
      <c r="AW1078" s="14" t="s">
        <v>33</v>
      </c>
      <c r="AX1078" s="14" t="s">
        <v>72</v>
      </c>
      <c r="AY1078" s="215" t="s">
        <v>380</v>
      </c>
    </row>
    <row r="1079" spans="1:65" s="14" customFormat="1" ht="11.25">
      <c r="B1079" s="205"/>
      <c r="C1079" s="206"/>
      <c r="D1079" s="196" t="s">
        <v>388</v>
      </c>
      <c r="E1079" s="207" t="s">
        <v>19</v>
      </c>
      <c r="F1079" s="208" t="s">
        <v>1484</v>
      </c>
      <c r="G1079" s="206"/>
      <c r="H1079" s="209">
        <v>95.128</v>
      </c>
      <c r="I1079" s="210"/>
      <c r="J1079" s="206"/>
      <c r="K1079" s="206"/>
      <c r="L1079" s="211"/>
      <c r="M1079" s="212"/>
      <c r="N1079" s="213"/>
      <c r="O1079" s="213"/>
      <c r="P1079" s="213"/>
      <c r="Q1079" s="213"/>
      <c r="R1079" s="213"/>
      <c r="S1079" s="213"/>
      <c r="T1079" s="214"/>
      <c r="AT1079" s="215" t="s">
        <v>388</v>
      </c>
      <c r="AU1079" s="215" t="s">
        <v>82</v>
      </c>
      <c r="AV1079" s="14" t="s">
        <v>82</v>
      </c>
      <c r="AW1079" s="14" t="s">
        <v>33</v>
      </c>
      <c r="AX1079" s="14" t="s">
        <v>72</v>
      </c>
      <c r="AY1079" s="215" t="s">
        <v>380</v>
      </c>
    </row>
    <row r="1080" spans="1:65" s="14" customFormat="1" ht="11.25">
      <c r="B1080" s="205"/>
      <c r="C1080" s="206"/>
      <c r="D1080" s="196" t="s">
        <v>388</v>
      </c>
      <c r="E1080" s="207" t="s">
        <v>19</v>
      </c>
      <c r="F1080" s="208" t="s">
        <v>1485</v>
      </c>
      <c r="G1080" s="206"/>
      <c r="H1080" s="209">
        <v>31.17</v>
      </c>
      <c r="I1080" s="210"/>
      <c r="J1080" s="206"/>
      <c r="K1080" s="206"/>
      <c r="L1080" s="211"/>
      <c r="M1080" s="212"/>
      <c r="N1080" s="213"/>
      <c r="O1080" s="213"/>
      <c r="P1080" s="213"/>
      <c r="Q1080" s="213"/>
      <c r="R1080" s="213"/>
      <c r="S1080" s="213"/>
      <c r="T1080" s="214"/>
      <c r="AT1080" s="215" t="s">
        <v>388</v>
      </c>
      <c r="AU1080" s="215" t="s">
        <v>82</v>
      </c>
      <c r="AV1080" s="14" t="s">
        <v>82</v>
      </c>
      <c r="AW1080" s="14" t="s">
        <v>33</v>
      </c>
      <c r="AX1080" s="14" t="s">
        <v>72</v>
      </c>
      <c r="AY1080" s="215" t="s">
        <v>380</v>
      </c>
    </row>
    <row r="1081" spans="1:65" s="16" customFormat="1" ht="11.25">
      <c r="B1081" s="237"/>
      <c r="C1081" s="238"/>
      <c r="D1081" s="196" t="s">
        <v>388</v>
      </c>
      <c r="E1081" s="239" t="s">
        <v>19</v>
      </c>
      <c r="F1081" s="240" t="s">
        <v>572</v>
      </c>
      <c r="G1081" s="238"/>
      <c r="H1081" s="241">
        <v>581.81200000000001</v>
      </c>
      <c r="I1081" s="242"/>
      <c r="J1081" s="238"/>
      <c r="K1081" s="238"/>
      <c r="L1081" s="243"/>
      <c r="M1081" s="244"/>
      <c r="N1081" s="245"/>
      <c r="O1081" s="245"/>
      <c r="P1081" s="245"/>
      <c r="Q1081" s="245"/>
      <c r="R1081" s="245"/>
      <c r="S1081" s="245"/>
      <c r="T1081" s="246"/>
      <c r="AT1081" s="247" t="s">
        <v>388</v>
      </c>
      <c r="AU1081" s="247" t="s">
        <v>82</v>
      </c>
      <c r="AV1081" s="16" t="s">
        <v>99</v>
      </c>
      <c r="AW1081" s="16" t="s">
        <v>33</v>
      </c>
      <c r="AX1081" s="16" t="s">
        <v>72</v>
      </c>
      <c r="AY1081" s="247" t="s">
        <v>380</v>
      </c>
    </row>
    <row r="1082" spans="1:65" s="13" customFormat="1" ht="11.25">
      <c r="B1082" s="194"/>
      <c r="C1082" s="195"/>
      <c r="D1082" s="196" t="s">
        <v>388</v>
      </c>
      <c r="E1082" s="197" t="s">
        <v>19</v>
      </c>
      <c r="F1082" s="198" t="s">
        <v>1418</v>
      </c>
      <c r="G1082" s="195"/>
      <c r="H1082" s="197" t="s">
        <v>19</v>
      </c>
      <c r="I1082" s="199"/>
      <c r="J1082" s="195"/>
      <c r="K1082" s="195"/>
      <c r="L1082" s="200"/>
      <c r="M1082" s="201"/>
      <c r="N1082" s="202"/>
      <c r="O1082" s="202"/>
      <c r="P1082" s="202"/>
      <c r="Q1082" s="202"/>
      <c r="R1082" s="202"/>
      <c r="S1082" s="202"/>
      <c r="T1082" s="203"/>
      <c r="AT1082" s="204" t="s">
        <v>388</v>
      </c>
      <c r="AU1082" s="204" t="s">
        <v>82</v>
      </c>
      <c r="AV1082" s="13" t="s">
        <v>79</v>
      </c>
      <c r="AW1082" s="13" t="s">
        <v>33</v>
      </c>
      <c r="AX1082" s="13" t="s">
        <v>72</v>
      </c>
      <c r="AY1082" s="204" t="s">
        <v>380</v>
      </c>
    </row>
    <row r="1083" spans="1:65" s="14" customFormat="1" ht="11.25">
      <c r="B1083" s="205"/>
      <c r="C1083" s="206"/>
      <c r="D1083" s="196" t="s">
        <v>388</v>
      </c>
      <c r="E1083" s="207" t="s">
        <v>19</v>
      </c>
      <c r="F1083" s="208" t="s">
        <v>1453</v>
      </c>
      <c r="G1083" s="206"/>
      <c r="H1083" s="209">
        <v>25.463000000000001</v>
      </c>
      <c r="I1083" s="210"/>
      <c r="J1083" s="206"/>
      <c r="K1083" s="206"/>
      <c r="L1083" s="211"/>
      <c r="M1083" s="212"/>
      <c r="N1083" s="213"/>
      <c r="O1083" s="213"/>
      <c r="P1083" s="213"/>
      <c r="Q1083" s="213"/>
      <c r="R1083" s="213"/>
      <c r="S1083" s="213"/>
      <c r="T1083" s="214"/>
      <c r="AT1083" s="215" t="s">
        <v>388</v>
      </c>
      <c r="AU1083" s="215" t="s">
        <v>82</v>
      </c>
      <c r="AV1083" s="14" t="s">
        <v>82</v>
      </c>
      <c r="AW1083" s="14" t="s">
        <v>33</v>
      </c>
      <c r="AX1083" s="14" t="s">
        <v>72</v>
      </c>
      <c r="AY1083" s="215" t="s">
        <v>380</v>
      </c>
    </row>
    <row r="1084" spans="1:65" s="16" customFormat="1" ht="11.25">
      <c r="B1084" s="237"/>
      <c r="C1084" s="238"/>
      <c r="D1084" s="196" t="s">
        <v>388</v>
      </c>
      <c r="E1084" s="239" t="s">
        <v>19</v>
      </c>
      <c r="F1084" s="240" t="s">
        <v>572</v>
      </c>
      <c r="G1084" s="238"/>
      <c r="H1084" s="241">
        <v>25.463000000000001</v>
      </c>
      <c r="I1084" s="242"/>
      <c r="J1084" s="238"/>
      <c r="K1084" s="238"/>
      <c r="L1084" s="243"/>
      <c r="M1084" s="244"/>
      <c r="N1084" s="245"/>
      <c r="O1084" s="245"/>
      <c r="P1084" s="245"/>
      <c r="Q1084" s="245"/>
      <c r="R1084" s="245"/>
      <c r="S1084" s="245"/>
      <c r="T1084" s="246"/>
      <c r="AT1084" s="247" t="s">
        <v>388</v>
      </c>
      <c r="AU1084" s="247" t="s">
        <v>82</v>
      </c>
      <c r="AV1084" s="16" t="s">
        <v>99</v>
      </c>
      <c r="AW1084" s="16" t="s">
        <v>33</v>
      </c>
      <c r="AX1084" s="16" t="s">
        <v>72</v>
      </c>
      <c r="AY1084" s="247" t="s">
        <v>380</v>
      </c>
    </row>
    <row r="1085" spans="1:65" s="13" customFormat="1" ht="11.25">
      <c r="B1085" s="194"/>
      <c r="C1085" s="195"/>
      <c r="D1085" s="196" t="s">
        <v>388</v>
      </c>
      <c r="E1085" s="197" t="s">
        <v>19</v>
      </c>
      <c r="F1085" s="198" t="s">
        <v>1420</v>
      </c>
      <c r="G1085" s="195"/>
      <c r="H1085" s="197" t="s">
        <v>19</v>
      </c>
      <c r="I1085" s="199"/>
      <c r="J1085" s="195"/>
      <c r="K1085" s="195"/>
      <c r="L1085" s="200"/>
      <c r="M1085" s="201"/>
      <c r="N1085" s="202"/>
      <c r="O1085" s="202"/>
      <c r="P1085" s="202"/>
      <c r="Q1085" s="202"/>
      <c r="R1085" s="202"/>
      <c r="S1085" s="202"/>
      <c r="T1085" s="203"/>
      <c r="AT1085" s="204" t="s">
        <v>388</v>
      </c>
      <c r="AU1085" s="204" t="s">
        <v>82</v>
      </c>
      <c r="AV1085" s="13" t="s">
        <v>79</v>
      </c>
      <c r="AW1085" s="13" t="s">
        <v>33</v>
      </c>
      <c r="AX1085" s="13" t="s">
        <v>72</v>
      </c>
      <c r="AY1085" s="204" t="s">
        <v>380</v>
      </c>
    </row>
    <row r="1086" spans="1:65" s="14" customFormat="1" ht="11.25">
      <c r="B1086" s="205"/>
      <c r="C1086" s="206"/>
      <c r="D1086" s="196" t="s">
        <v>388</v>
      </c>
      <c r="E1086" s="207" t="s">
        <v>19</v>
      </c>
      <c r="F1086" s="208" t="s">
        <v>1454</v>
      </c>
      <c r="G1086" s="206"/>
      <c r="H1086" s="209">
        <v>131.066</v>
      </c>
      <c r="I1086" s="210"/>
      <c r="J1086" s="206"/>
      <c r="K1086" s="206"/>
      <c r="L1086" s="211"/>
      <c r="M1086" s="212"/>
      <c r="N1086" s="213"/>
      <c r="O1086" s="213"/>
      <c r="P1086" s="213"/>
      <c r="Q1086" s="213"/>
      <c r="R1086" s="213"/>
      <c r="S1086" s="213"/>
      <c r="T1086" s="214"/>
      <c r="AT1086" s="215" t="s">
        <v>388</v>
      </c>
      <c r="AU1086" s="215" t="s">
        <v>82</v>
      </c>
      <c r="AV1086" s="14" t="s">
        <v>82</v>
      </c>
      <c r="AW1086" s="14" t="s">
        <v>33</v>
      </c>
      <c r="AX1086" s="14" t="s">
        <v>72</v>
      </c>
      <c r="AY1086" s="215" t="s">
        <v>380</v>
      </c>
    </row>
    <row r="1087" spans="1:65" s="14" customFormat="1" ht="11.25">
      <c r="B1087" s="205"/>
      <c r="C1087" s="206"/>
      <c r="D1087" s="196" t="s">
        <v>388</v>
      </c>
      <c r="E1087" s="207" t="s">
        <v>19</v>
      </c>
      <c r="F1087" s="208" t="s">
        <v>1486</v>
      </c>
      <c r="G1087" s="206"/>
      <c r="H1087" s="209">
        <v>41.787999999999997</v>
      </c>
      <c r="I1087" s="210"/>
      <c r="J1087" s="206"/>
      <c r="K1087" s="206"/>
      <c r="L1087" s="211"/>
      <c r="M1087" s="212"/>
      <c r="N1087" s="213"/>
      <c r="O1087" s="213"/>
      <c r="P1087" s="213"/>
      <c r="Q1087" s="213"/>
      <c r="R1087" s="213"/>
      <c r="S1087" s="213"/>
      <c r="T1087" s="214"/>
      <c r="AT1087" s="215" t="s">
        <v>388</v>
      </c>
      <c r="AU1087" s="215" t="s">
        <v>82</v>
      </c>
      <c r="AV1087" s="14" t="s">
        <v>82</v>
      </c>
      <c r="AW1087" s="14" t="s">
        <v>33</v>
      </c>
      <c r="AX1087" s="14" t="s">
        <v>72</v>
      </c>
      <c r="AY1087" s="215" t="s">
        <v>380</v>
      </c>
    </row>
    <row r="1088" spans="1:65" s="14" customFormat="1" ht="11.25">
      <c r="B1088" s="205"/>
      <c r="C1088" s="206"/>
      <c r="D1088" s="196" t="s">
        <v>388</v>
      </c>
      <c r="E1088" s="207" t="s">
        <v>19</v>
      </c>
      <c r="F1088" s="208" t="s">
        <v>1487</v>
      </c>
      <c r="G1088" s="206"/>
      <c r="H1088" s="209">
        <v>26.341000000000001</v>
      </c>
      <c r="I1088" s="210"/>
      <c r="J1088" s="206"/>
      <c r="K1088" s="206"/>
      <c r="L1088" s="211"/>
      <c r="M1088" s="212"/>
      <c r="N1088" s="213"/>
      <c r="O1088" s="213"/>
      <c r="P1088" s="213"/>
      <c r="Q1088" s="213"/>
      <c r="R1088" s="213"/>
      <c r="S1088" s="213"/>
      <c r="T1088" s="214"/>
      <c r="AT1088" s="215" t="s">
        <v>388</v>
      </c>
      <c r="AU1088" s="215" t="s">
        <v>82</v>
      </c>
      <c r="AV1088" s="14" t="s">
        <v>82</v>
      </c>
      <c r="AW1088" s="14" t="s">
        <v>33</v>
      </c>
      <c r="AX1088" s="14" t="s">
        <v>72</v>
      </c>
      <c r="AY1088" s="215" t="s">
        <v>380</v>
      </c>
    </row>
    <row r="1089" spans="1:65" s="16" customFormat="1" ht="11.25">
      <c r="B1089" s="237"/>
      <c r="C1089" s="238"/>
      <c r="D1089" s="196" t="s">
        <v>388</v>
      </c>
      <c r="E1089" s="239" t="s">
        <v>19</v>
      </c>
      <c r="F1089" s="240" t="s">
        <v>572</v>
      </c>
      <c r="G1089" s="238"/>
      <c r="H1089" s="241">
        <v>199.19499999999999</v>
      </c>
      <c r="I1089" s="242"/>
      <c r="J1089" s="238"/>
      <c r="K1089" s="238"/>
      <c r="L1089" s="243"/>
      <c r="M1089" s="244"/>
      <c r="N1089" s="245"/>
      <c r="O1089" s="245"/>
      <c r="P1089" s="245"/>
      <c r="Q1089" s="245"/>
      <c r="R1089" s="245"/>
      <c r="S1089" s="245"/>
      <c r="T1089" s="246"/>
      <c r="AT1089" s="247" t="s">
        <v>388</v>
      </c>
      <c r="AU1089" s="247" t="s">
        <v>82</v>
      </c>
      <c r="AV1089" s="16" t="s">
        <v>99</v>
      </c>
      <c r="AW1089" s="16" t="s">
        <v>33</v>
      </c>
      <c r="AX1089" s="16" t="s">
        <v>72</v>
      </c>
      <c r="AY1089" s="247" t="s">
        <v>380</v>
      </c>
    </row>
    <row r="1090" spans="1:65" s="13" customFormat="1" ht="11.25">
      <c r="B1090" s="194"/>
      <c r="C1090" s="195"/>
      <c r="D1090" s="196" t="s">
        <v>388</v>
      </c>
      <c r="E1090" s="197" t="s">
        <v>19</v>
      </c>
      <c r="F1090" s="198" t="s">
        <v>1426</v>
      </c>
      <c r="G1090" s="195"/>
      <c r="H1090" s="197" t="s">
        <v>19</v>
      </c>
      <c r="I1090" s="199"/>
      <c r="J1090" s="195"/>
      <c r="K1090" s="195"/>
      <c r="L1090" s="200"/>
      <c r="M1090" s="201"/>
      <c r="N1090" s="202"/>
      <c r="O1090" s="202"/>
      <c r="P1090" s="202"/>
      <c r="Q1090" s="202"/>
      <c r="R1090" s="202"/>
      <c r="S1090" s="202"/>
      <c r="T1090" s="203"/>
      <c r="AT1090" s="204" t="s">
        <v>388</v>
      </c>
      <c r="AU1090" s="204" t="s">
        <v>82</v>
      </c>
      <c r="AV1090" s="13" t="s">
        <v>79</v>
      </c>
      <c r="AW1090" s="13" t="s">
        <v>33</v>
      </c>
      <c r="AX1090" s="13" t="s">
        <v>72</v>
      </c>
      <c r="AY1090" s="204" t="s">
        <v>380</v>
      </c>
    </row>
    <row r="1091" spans="1:65" s="14" customFormat="1" ht="11.25">
      <c r="B1091" s="205"/>
      <c r="C1091" s="206"/>
      <c r="D1091" s="196" t="s">
        <v>388</v>
      </c>
      <c r="E1091" s="207" t="s">
        <v>19</v>
      </c>
      <c r="F1091" s="208" t="s">
        <v>1488</v>
      </c>
      <c r="G1091" s="206"/>
      <c r="H1091" s="209">
        <v>20.239999999999998</v>
      </c>
      <c r="I1091" s="210"/>
      <c r="J1091" s="206"/>
      <c r="K1091" s="206"/>
      <c r="L1091" s="211"/>
      <c r="M1091" s="212"/>
      <c r="N1091" s="213"/>
      <c r="O1091" s="213"/>
      <c r="P1091" s="213"/>
      <c r="Q1091" s="213"/>
      <c r="R1091" s="213"/>
      <c r="S1091" s="213"/>
      <c r="T1091" s="214"/>
      <c r="AT1091" s="215" t="s">
        <v>388</v>
      </c>
      <c r="AU1091" s="215" t="s">
        <v>82</v>
      </c>
      <c r="AV1091" s="14" t="s">
        <v>82</v>
      </c>
      <c r="AW1091" s="14" t="s">
        <v>33</v>
      </c>
      <c r="AX1091" s="14" t="s">
        <v>72</v>
      </c>
      <c r="AY1091" s="215" t="s">
        <v>380</v>
      </c>
    </row>
    <row r="1092" spans="1:65" s="14" customFormat="1" ht="11.25">
      <c r="B1092" s="205"/>
      <c r="C1092" s="206"/>
      <c r="D1092" s="196" t="s">
        <v>388</v>
      </c>
      <c r="E1092" s="207" t="s">
        <v>19</v>
      </c>
      <c r="F1092" s="208" t="s">
        <v>1489</v>
      </c>
      <c r="G1092" s="206"/>
      <c r="H1092" s="209">
        <v>3.726</v>
      </c>
      <c r="I1092" s="210"/>
      <c r="J1092" s="206"/>
      <c r="K1092" s="206"/>
      <c r="L1092" s="211"/>
      <c r="M1092" s="212"/>
      <c r="N1092" s="213"/>
      <c r="O1092" s="213"/>
      <c r="P1092" s="213"/>
      <c r="Q1092" s="213"/>
      <c r="R1092" s="213"/>
      <c r="S1092" s="213"/>
      <c r="T1092" s="214"/>
      <c r="AT1092" s="215" t="s">
        <v>388</v>
      </c>
      <c r="AU1092" s="215" t="s">
        <v>82</v>
      </c>
      <c r="AV1092" s="14" t="s">
        <v>82</v>
      </c>
      <c r="AW1092" s="14" t="s">
        <v>33</v>
      </c>
      <c r="AX1092" s="14" t="s">
        <v>72</v>
      </c>
      <c r="AY1092" s="215" t="s">
        <v>380</v>
      </c>
    </row>
    <row r="1093" spans="1:65" s="16" customFormat="1" ht="11.25">
      <c r="B1093" s="237"/>
      <c r="C1093" s="238"/>
      <c r="D1093" s="196" t="s">
        <v>388</v>
      </c>
      <c r="E1093" s="239" t="s">
        <v>19</v>
      </c>
      <c r="F1093" s="240" t="s">
        <v>572</v>
      </c>
      <c r="G1093" s="238"/>
      <c r="H1093" s="241">
        <v>23.966000000000001</v>
      </c>
      <c r="I1093" s="242"/>
      <c r="J1093" s="238"/>
      <c r="K1093" s="238"/>
      <c r="L1093" s="243"/>
      <c r="M1093" s="244"/>
      <c r="N1093" s="245"/>
      <c r="O1093" s="245"/>
      <c r="P1093" s="245"/>
      <c r="Q1093" s="245"/>
      <c r="R1093" s="245"/>
      <c r="S1093" s="245"/>
      <c r="T1093" s="246"/>
      <c r="AT1093" s="247" t="s">
        <v>388</v>
      </c>
      <c r="AU1093" s="247" t="s">
        <v>82</v>
      </c>
      <c r="AV1093" s="16" t="s">
        <v>99</v>
      </c>
      <c r="AW1093" s="16" t="s">
        <v>33</v>
      </c>
      <c r="AX1093" s="16" t="s">
        <v>72</v>
      </c>
      <c r="AY1093" s="247" t="s">
        <v>380</v>
      </c>
    </row>
    <row r="1094" spans="1:65" s="15" customFormat="1" ht="11.25">
      <c r="B1094" s="216"/>
      <c r="C1094" s="217"/>
      <c r="D1094" s="196" t="s">
        <v>388</v>
      </c>
      <c r="E1094" s="218" t="s">
        <v>19</v>
      </c>
      <c r="F1094" s="219" t="s">
        <v>419</v>
      </c>
      <c r="G1094" s="217"/>
      <c r="H1094" s="220">
        <v>830.43600000000004</v>
      </c>
      <c r="I1094" s="221"/>
      <c r="J1094" s="217"/>
      <c r="K1094" s="217"/>
      <c r="L1094" s="222"/>
      <c r="M1094" s="223"/>
      <c r="N1094" s="224"/>
      <c r="O1094" s="224"/>
      <c r="P1094" s="224"/>
      <c r="Q1094" s="224"/>
      <c r="R1094" s="224"/>
      <c r="S1094" s="224"/>
      <c r="T1094" s="225"/>
      <c r="AT1094" s="226" t="s">
        <v>388</v>
      </c>
      <c r="AU1094" s="226" t="s">
        <v>82</v>
      </c>
      <c r="AV1094" s="15" t="s">
        <v>386</v>
      </c>
      <c r="AW1094" s="15" t="s">
        <v>33</v>
      </c>
      <c r="AX1094" s="15" t="s">
        <v>79</v>
      </c>
      <c r="AY1094" s="226" t="s">
        <v>380</v>
      </c>
    </row>
    <row r="1095" spans="1:65" s="2" customFormat="1" ht="16.5" customHeight="1">
      <c r="A1095" s="36"/>
      <c r="B1095" s="37"/>
      <c r="C1095" s="181" t="s">
        <v>1490</v>
      </c>
      <c r="D1095" s="181" t="s">
        <v>382</v>
      </c>
      <c r="E1095" s="182" t="s">
        <v>1491</v>
      </c>
      <c r="F1095" s="183" t="s">
        <v>1492</v>
      </c>
      <c r="G1095" s="184" t="s">
        <v>398</v>
      </c>
      <c r="H1095" s="185">
        <v>20.84</v>
      </c>
      <c r="I1095" s="186"/>
      <c r="J1095" s="187">
        <f>ROUND(I1095*H1095,2)</f>
        <v>0</v>
      </c>
      <c r="K1095" s="183" t="s">
        <v>399</v>
      </c>
      <c r="L1095" s="41"/>
      <c r="M1095" s="188" t="s">
        <v>19</v>
      </c>
      <c r="N1095" s="189" t="s">
        <v>43</v>
      </c>
      <c r="O1095" s="66"/>
      <c r="P1095" s="190">
        <f>O1095*H1095</f>
        <v>0</v>
      </c>
      <c r="Q1095" s="190">
        <v>1.94E-4</v>
      </c>
      <c r="R1095" s="190">
        <f>Q1095*H1095</f>
        <v>4.04296E-3</v>
      </c>
      <c r="S1095" s="190">
        <v>0</v>
      </c>
      <c r="T1095" s="191">
        <f>S1095*H1095</f>
        <v>0</v>
      </c>
      <c r="U1095" s="36"/>
      <c r="V1095" s="36"/>
      <c r="W1095" s="36"/>
      <c r="X1095" s="36"/>
      <c r="Y1095" s="36"/>
      <c r="Z1095" s="36"/>
      <c r="AA1095" s="36"/>
      <c r="AB1095" s="36"/>
      <c r="AC1095" s="36"/>
      <c r="AD1095" s="36"/>
      <c r="AE1095" s="36"/>
      <c r="AR1095" s="192" t="s">
        <v>281</v>
      </c>
      <c r="AT1095" s="192" t="s">
        <v>382</v>
      </c>
      <c r="AU1095" s="192" t="s">
        <v>82</v>
      </c>
      <c r="AY1095" s="19" t="s">
        <v>380</v>
      </c>
      <c r="BE1095" s="193">
        <f>IF(N1095="základní",J1095,0)</f>
        <v>0</v>
      </c>
      <c r="BF1095" s="193">
        <f>IF(N1095="snížená",J1095,0)</f>
        <v>0</v>
      </c>
      <c r="BG1095" s="193">
        <f>IF(N1095="zákl. přenesená",J1095,0)</f>
        <v>0</v>
      </c>
      <c r="BH1095" s="193">
        <f>IF(N1095="sníž. přenesená",J1095,0)</f>
        <v>0</v>
      </c>
      <c r="BI1095" s="193">
        <f>IF(N1095="nulová",J1095,0)</f>
        <v>0</v>
      </c>
      <c r="BJ1095" s="19" t="s">
        <v>79</v>
      </c>
      <c r="BK1095" s="193">
        <f>ROUND(I1095*H1095,2)</f>
        <v>0</v>
      </c>
      <c r="BL1095" s="19" t="s">
        <v>281</v>
      </c>
      <c r="BM1095" s="192" t="s">
        <v>1493</v>
      </c>
    </row>
    <row r="1096" spans="1:65" s="13" customFormat="1" ht="11.25">
      <c r="B1096" s="194"/>
      <c r="C1096" s="195"/>
      <c r="D1096" s="196" t="s">
        <v>388</v>
      </c>
      <c r="E1096" s="197" t="s">
        <v>19</v>
      </c>
      <c r="F1096" s="198" t="s">
        <v>1426</v>
      </c>
      <c r="G1096" s="195"/>
      <c r="H1096" s="197" t="s">
        <v>19</v>
      </c>
      <c r="I1096" s="199"/>
      <c r="J1096" s="195"/>
      <c r="K1096" s="195"/>
      <c r="L1096" s="200"/>
      <c r="M1096" s="201"/>
      <c r="N1096" s="202"/>
      <c r="O1096" s="202"/>
      <c r="P1096" s="202"/>
      <c r="Q1096" s="202"/>
      <c r="R1096" s="202"/>
      <c r="S1096" s="202"/>
      <c r="T1096" s="203"/>
      <c r="AT1096" s="204" t="s">
        <v>388</v>
      </c>
      <c r="AU1096" s="204" t="s">
        <v>82</v>
      </c>
      <c r="AV1096" s="13" t="s">
        <v>79</v>
      </c>
      <c r="AW1096" s="13" t="s">
        <v>33</v>
      </c>
      <c r="AX1096" s="13" t="s">
        <v>72</v>
      </c>
      <c r="AY1096" s="204" t="s">
        <v>380</v>
      </c>
    </row>
    <row r="1097" spans="1:65" s="14" customFormat="1" ht="11.25">
      <c r="B1097" s="205"/>
      <c r="C1097" s="206"/>
      <c r="D1097" s="196" t="s">
        <v>388</v>
      </c>
      <c r="E1097" s="207" t="s">
        <v>19</v>
      </c>
      <c r="F1097" s="208" t="s">
        <v>1427</v>
      </c>
      <c r="G1097" s="206"/>
      <c r="H1097" s="209">
        <v>17.600000000000001</v>
      </c>
      <c r="I1097" s="210"/>
      <c r="J1097" s="206"/>
      <c r="K1097" s="206"/>
      <c r="L1097" s="211"/>
      <c r="M1097" s="212"/>
      <c r="N1097" s="213"/>
      <c r="O1097" s="213"/>
      <c r="P1097" s="213"/>
      <c r="Q1097" s="213"/>
      <c r="R1097" s="213"/>
      <c r="S1097" s="213"/>
      <c r="T1097" s="214"/>
      <c r="AT1097" s="215" t="s">
        <v>388</v>
      </c>
      <c r="AU1097" s="215" t="s">
        <v>82</v>
      </c>
      <c r="AV1097" s="14" t="s">
        <v>82</v>
      </c>
      <c r="AW1097" s="14" t="s">
        <v>33</v>
      </c>
      <c r="AX1097" s="14" t="s">
        <v>72</v>
      </c>
      <c r="AY1097" s="215" t="s">
        <v>380</v>
      </c>
    </row>
    <row r="1098" spans="1:65" s="14" customFormat="1" ht="11.25">
      <c r="B1098" s="205"/>
      <c r="C1098" s="206"/>
      <c r="D1098" s="196" t="s">
        <v>388</v>
      </c>
      <c r="E1098" s="207" t="s">
        <v>19</v>
      </c>
      <c r="F1098" s="208" t="s">
        <v>1428</v>
      </c>
      <c r="G1098" s="206"/>
      <c r="H1098" s="209">
        <v>3.24</v>
      </c>
      <c r="I1098" s="210"/>
      <c r="J1098" s="206"/>
      <c r="K1098" s="206"/>
      <c r="L1098" s="211"/>
      <c r="M1098" s="212"/>
      <c r="N1098" s="213"/>
      <c r="O1098" s="213"/>
      <c r="P1098" s="213"/>
      <c r="Q1098" s="213"/>
      <c r="R1098" s="213"/>
      <c r="S1098" s="213"/>
      <c r="T1098" s="214"/>
      <c r="AT1098" s="215" t="s">
        <v>388</v>
      </c>
      <c r="AU1098" s="215" t="s">
        <v>82</v>
      </c>
      <c r="AV1098" s="14" t="s">
        <v>82</v>
      </c>
      <c r="AW1098" s="14" t="s">
        <v>33</v>
      </c>
      <c r="AX1098" s="14" t="s">
        <v>72</v>
      </c>
      <c r="AY1098" s="215" t="s">
        <v>380</v>
      </c>
    </row>
    <row r="1099" spans="1:65" s="15" customFormat="1" ht="11.25">
      <c r="B1099" s="216"/>
      <c r="C1099" s="217"/>
      <c r="D1099" s="196" t="s">
        <v>388</v>
      </c>
      <c r="E1099" s="218" t="s">
        <v>19</v>
      </c>
      <c r="F1099" s="219" t="s">
        <v>419</v>
      </c>
      <c r="G1099" s="217"/>
      <c r="H1099" s="220">
        <v>20.84</v>
      </c>
      <c r="I1099" s="221"/>
      <c r="J1099" s="217"/>
      <c r="K1099" s="217"/>
      <c r="L1099" s="222"/>
      <c r="M1099" s="223"/>
      <c r="N1099" s="224"/>
      <c r="O1099" s="224"/>
      <c r="P1099" s="224"/>
      <c r="Q1099" s="224"/>
      <c r="R1099" s="224"/>
      <c r="S1099" s="224"/>
      <c r="T1099" s="225"/>
      <c r="AT1099" s="226" t="s">
        <v>388</v>
      </c>
      <c r="AU1099" s="226" t="s">
        <v>82</v>
      </c>
      <c r="AV1099" s="15" t="s">
        <v>386</v>
      </c>
      <c r="AW1099" s="15" t="s">
        <v>33</v>
      </c>
      <c r="AX1099" s="15" t="s">
        <v>79</v>
      </c>
      <c r="AY1099" s="226" t="s">
        <v>380</v>
      </c>
    </row>
    <row r="1100" spans="1:65" s="2" customFormat="1" ht="16.5" customHeight="1">
      <c r="A1100" s="36"/>
      <c r="B1100" s="37"/>
      <c r="C1100" s="227" t="s">
        <v>1494</v>
      </c>
      <c r="D1100" s="227" t="s">
        <v>465</v>
      </c>
      <c r="E1100" s="228" t="s">
        <v>1495</v>
      </c>
      <c r="F1100" s="229" t="s">
        <v>1496</v>
      </c>
      <c r="G1100" s="230" t="s">
        <v>398</v>
      </c>
      <c r="H1100" s="231">
        <v>23.966000000000001</v>
      </c>
      <c r="I1100" s="232"/>
      <c r="J1100" s="233">
        <f>ROUND(I1100*H1100,2)</f>
        <v>0</v>
      </c>
      <c r="K1100" s="229" t="s">
        <v>19</v>
      </c>
      <c r="L1100" s="234"/>
      <c r="M1100" s="235" t="s">
        <v>19</v>
      </c>
      <c r="N1100" s="236" t="s">
        <v>43</v>
      </c>
      <c r="O1100" s="66"/>
      <c r="P1100" s="190">
        <f>O1100*H1100</f>
        <v>0</v>
      </c>
      <c r="Q1100" s="190">
        <v>2.0999999999999999E-3</v>
      </c>
      <c r="R1100" s="190">
        <f>Q1100*H1100</f>
        <v>5.0328600000000001E-2</v>
      </c>
      <c r="S1100" s="190">
        <v>0</v>
      </c>
      <c r="T1100" s="191">
        <f>S1100*H1100</f>
        <v>0</v>
      </c>
      <c r="U1100" s="36"/>
      <c r="V1100" s="36"/>
      <c r="W1100" s="36"/>
      <c r="X1100" s="36"/>
      <c r="Y1100" s="36"/>
      <c r="Z1100" s="36"/>
      <c r="AA1100" s="36"/>
      <c r="AB1100" s="36"/>
      <c r="AC1100" s="36"/>
      <c r="AD1100" s="36"/>
      <c r="AE1100" s="36"/>
      <c r="AR1100" s="192" t="s">
        <v>546</v>
      </c>
      <c r="AT1100" s="192" t="s">
        <v>465</v>
      </c>
      <c r="AU1100" s="192" t="s">
        <v>82</v>
      </c>
      <c r="AY1100" s="19" t="s">
        <v>380</v>
      </c>
      <c r="BE1100" s="193">
        <f>IF(N1100="základní",J1100,0)</f>
        <v>0</v>
      </c>
      <c r="BF1100" s="193">
        <f>IF(N1100="snížená",J1100,0)</f>
        <v>0</v>
      </c>
      <c r="BG1100" s="193">
        <f>IF(N1100="zákl. přenesená",J1100,0)</f>
        <v>0</v>
      </c>
      <c r="BH1100" s="193">
        <f>IF(N1100="sníž. přenesená",J1100,0)</f>
        <v>0</v>
      </c>
      <c r="BI1100" s="193">
        <f>IF(N1100="nulová",J1100,0)</f>
        <v>0</v>
      </c>
      <c r="BJ1100" s="19" t="s">
        <v>79</v>
      </c>
      <c r="BK1100" s="193">
        <f>ROUND(I1100*H1100,2)</f>
        <v>0</v>
      </c>
      <c r="BL1100" s="19" t="s">
        <v>281</v>
      </c>
      <c r="BM1100" s="192" t="s">
        <v>1497</v>
      </c>
    </row>
    <row r="1101" spans="1:65" s="13" customFormat="1" ht="11.25">
      <c r="B1101" s="194"/>
      <c r="C1101" s="195"/>
      <c r="D1101" s="196" t="s">
        <v>388</v>
      </c>
      <c r="E1101" s="197" t="s">
        <v>19</v>
      </c>
      <c r="F1101" s="198" t="s">
        <v>1426</v>
      </c>
      <c r="G1101" s="195"/>
      <c r="H1101" s="197" t="s">
        <v>19</v>
      </c>
      <c r="I1101" s="199"/>
      <c r="J1101" s="195"/>
      <c r="K1101" s="195"/>
      <c r="L1101" s="200"/>
      <c r="M1101" s="201"/>
      <c r="N1101" s="202"/>
      <c r="O1101" s="202"/>
      <c r="P1101" s="202"/>
      <c r="Q1101" s="202"/>
      <c r="R1101" s="202"/>
      <c r="S1101" s="202"/>
      <c r="T1101" s="203"/>
      <c r="AT1101" s="204" t="s">
        <v>388</v>
      </c>
      <c r="AU1101" s="204" t="s">
        <v>82</v>
      </c>
      <c r="AV1101" s="13" t="s">
        <v>79</v>
      </c>
      <c r="AW1101" s="13" t="s">
        <v>33</v>
      </c>
      <c r="AX1101" s="13" t="s">
        <v>72</v>
      </c>
      <c r="AY1101" s="204" t="s">
        <v>380</v>
      </c>
    </row>
    <row r="1102" spans="1:65" s="14" customFormat="1" ht="11.25">
      <c r="B1102" s="205"/>
      <c r="C1102" s="206"/>
      <c r="D1102" s="196" t="s">
        <v>388</v>
      </c>
      <c r="E1102" s="207" t="s">
        <v>19</v>
      </c>
      <c r="F1102" s="208" t="s">
        <v>1488</v>
      </c>
      <c r="G1102" s="206"/>
      <c r="H1102" s="209">
        <v>20.239999999999998</v>
      </c>
      <c r="I1102" s="210"/>
      <c r="J1102" s="206"/>
      <c r="K1102" s="206"/>
      <c r="L1102" s="211"/>
      <c r="M1102" s="212"/>
      <c r="N1102" s="213"/>
      <c r="O1102" s="213"/>
      <c r="P1102" s="213"/>
      <c r="Q1102" s="213"/>
      <c r="R1102" s="213"/>
      <c r="S1102" s="213"/>
      <c r="T1102" s="214"/>
      <c r="AT1102" s="215" t="s">
        <v>388</v>
      </c>
      <c r="AU1102" s="215" t="s">
        <v>82</v>
      </c>
      <c r="AV1102" s="14" t="s">
        <v>82</v>
      </c>
      <c r="AW1102" s="14" t="s">
        <v>33</v>
      </c>
      <c r="AX1102" s="14" t="s">
        <v>72</v>
      </c>
      <c r="AY1102" s="215" t="s">
        <v>380</v>
      </c>
    </row>
    <row r="1103" spans="1:65" s="14" customFormat="1" ht="11.25">
      <c r="B1103" s="205"/>
      <c r="C1103" s="206"/>
      <c r="D1103" s="196" t="s">
        <v>388</v>
      </c>
      <c r="E1103" s="207" t="s">
        <v>19</v>
      </c>
      <c r="F1103" s="208" t="s">
        <v>1489</v>
      </c>
      <c r="G1103" s="206"/>
      <c r="H1103" s="209">
        <v>3.726</v>
      </c>
      <c r="I1103" s="210"/>
      <c r="J1103" s="206"/>
      <c r="K1103" s="206"/>
      <c r="L1103" s="211"/>
      <c r="M1103" s="212"/>
      <c r="N1103" s="213"/>
      <c r="O1103" s="213"/>
      <c r="P1103" s="213"/>
      <c r="Q1103" s="213"/>
      <c r="R1103" s="213"/>
      <c r="S1103" s="213"/>
      <c r="T1103" s="214"/>
      <c r="AT1103" s="215" t="s">
        <v>388</v>
      </c>
      <c r="AU1103" s="215" t="s">
        <v>82</v>
      </c>
      <c r="AV1103" s="14" t="s">
        <v>82</v>
      </c>
      <c r="AW1103" s="14" t="s">
        <v>33</v>
      </c>
      <c r="AX1103" s="14" t="s">
        <v>72</v>
      </c>
      <c r="AY1103" s="215" t="s">
        <v>380</v>
      </c>
    </row>
    <row r="1104" spans="1:65" s="15" customFormat="1" ht="11.25">
      <c r="B1104" s="216"/>
      <c r="C1104" s="217"/>
      <c r="D1104" s="196" t="s">
        <v>388</v>
      </c>
      <c r="E1104" s="218" t="s">
        <v>19</v>
      </c>
      <c r="F1104" s="219" t="s">
        <v>419</v>
      </c>
      <c r="G1104" s="217"/>
      <c r="H1104" s="220">
        <v>23.966000000000001</v>
      </c>
      <c r="I1104" s="221"/>
      <c r="J1104" s="217"/>
      <c r="K1104" s="217"/>
      <c r="L1104" s="222"/>
      <c r="M1104" s="223"/>
      <c r="N1104" s="224"/>
      <c r="O1104" s="224"/>
      <c r="P1104" s="224"/>
      <c r="Q1104" s="224"/>
      <c r="R1104" s="224"/>
      <c r="S1104" s="224"/>
      <c r="T1104" s="225"/>
      <c r="AT1104" s="226" t="s">
        <v>388</v>
      </c>
      <c r="AU1104" s="226" t="s">
        <v>82</v>
      </c>
      <c r="AV1104" s="15" t="s">
        <v>386</v>
      </c>
      <c r="AW1104" s="15" t="s">
        <v>33</v>
      </c>
      <c r="AX1104" s="15" t="s">
        <v>79</v>
      </c>
      <c r="AY1104" s="226" t="s">
        <v>380</v>
      </c>
    </row>
    <row r="1105" spans="1:65" s="2" customFormat="1" ht="21.75" customHeight="1">
      <c r="A1105" s="36"/>
      <c r="B1105" s="37"/>
      <c r="C1105" s="181" t="s">
        <v>1498</v>
      </c>
      <c r="D1105" s="181" t="s">
        <v>382</v>
      </c>
      <c r="E1105" s="182" t="s">
        <v>1499</v>
      </c>
      <c r="F1105" s="183" t="s">
        <v>1500</v>
      </c>
      <c r="G1105" s="184" t="s">
        <v>398</v>
      </c>
      <c r="H1105" s="185">
        <v>20.84</v>
      </c>
      <c r="I1105" s="186"/>
      <c r="J1105" s="187">
        <f>ROUND(I1105*H1105,2)</f>
        <v>0</v>
      </c>
      <c r="K1105" s="183" t="s">
        <v>399</v>
      </c>
      <c r="L1105" s="41"/>
      <c r="M1105" s="188" t="s">
        <v>19</v>
      </c>
      <c r="N1105" s="189" t="s">
        <v>43</v>
      </c>
      <c r="O1105" s="66"/>
      <c r="P1105" s="190">
        <f>O1105*H1105</f>
        <v>0</v>
      </c>
      <c r="Q1105" s="190">
        <v>0</v>
      </c>
      <c r="R1105" s="190">
        <f>Q1105*H1105</f>
        <v>0</v>
      </c>
      <c r="S1105" s="190">
        <v>0</v>
      </c>
      <c r="T1105" s="191">
        <f>S1105*H1105</f>
        <v>0</v>
      </c>
      <c r="U1105" s="36"/>
      <c r="V1105" s="36"/>
      <c r="W1105" s="36"/>
      <c r="X1105" s="36"/>
      <c r="Y1105" s="36"/>
      <c r="Z1105" s="36"/>
      <c r="AA1105" s="36"/>
      <c r="AB1105" s="36"/>
      <c r="AC1105" s="36"/>
      <c r="AD1105" s="36"/>
      <c r="AE1105" s="36"/>
      <c r="AR1105" s="192" t="s">
        <v>281</v>
      </c>
      <c r="AT1105" s="192" t="s">
        <v>382</v>
      </c>
      <c r="AU1105" s="192" t="s">
        <v>82</v>
      </c>
      <c r="AY1105" s="19" t="s">
        <v>380</v>
      </c>
      <c r="BE1105" s="193">
        <f>IF(N1105="základní",J1105,0)</f>
        <v>0</v>
      </c>
      <c r="BF1105" s="193">
        <f>IF(N1105="snížená",J1105,0)</f>
        <v>0</v>
      </c>
      <c r="BG1105" s="193">
        <f>IF(N1105="zákl. přenesená",J1105,0)</f>
        <v>0</v>
      </c>
      <c r="BH1105" s="193">
        <f>IF(N1105="sníž. přenesená",J1105,0)</f>
        <v>0</v>
      </c>
      <c r="BI1105" s="193">
        <f>IF(N1105="nulová",J1105,0)</f>
        <v>0</v>
      </c>
      <c r="BJ1105" s="19" t="s">
        <v>79</v>
      </c>
      <c r="BK1105" s="193">
        <f>ROUND(I1105*H1105,2)</f>
        <v>0</v>
      </c>
      <c r="BL1105" s="19" t="s">
        <v>281</v>
      </c>
      <c r="BM1105" s="192" t="s">
        <v>1501</v>
      </c>
    </row>
    <row r="1106" spans="1:65" s="13" customFormat="1" ht="11.25">
      <c r="B1106" s="194"/>
      <c r="C1106" s="195"/>
      <c r="D1106" s="196" t="s">
        <v>388</v>
      </c>
      <c r="E1106" s="197" t="s">
        <v>19</v>
      </c>
      <c r="F1106" s="198" t="s">
        <v>1426</v>
      </c>
      <c r="G1106" s="195"/>
      <c r="H1106" s="197" t="s">
        <v>19</v>
      </c>
      <c r="I1106" s="199"/>
      <c r="J1106" s="195"/>
      <c r="K1106" s="195"/>
      <c r="L1106" s="200"/>
      <c r="M1106" s="201"/>
      <c r="N1106" s="202"/>
      <c r="O1106" s="202"/>
      <c r="P1106" s="202"/>
      <c r="Q1106" s="202"/>
      <c r="R1106" s="202"/>
      <c r="S1106" s="202"/>
      <c r="T1106" s="203"/>
      <c r="AT1106" s="204" t="s">
        <v>388</v>
      </c>
      <c r="AU1106" s="204" t="s">
        <v>82</v>
      </c>
      <c r="AV1106" s="13" t="s">
        <v>79</v>
      </c>
      <c r="AW1106" s="13" t="s">
        <v>33</v>
      </c>
      <c r="AX1106" s="13" t="s">
        <v>72</v>
      </c>
      <c r="AY1106" s="204" t="s">
        <v>380</v>
      </c>
    </row>
    <row r="1107" spans="1:65" s="14" customFormat="1" ht="11.25">
      <c r="B1107" s="205"/>
      <c r="C1107" s="206"/>
      <c r="D1107" s="196" t="s">
        <v>388</v>
      </c>
      <c r="E1107" s="207" t="s">
        <v>19</v>
      </c>
      <c r="F1107" s="208" t="s">
        <v>1427</v>
      </c>
      <c r="G1107" s="206"/>
      <c r="H1107" s="209">
        <v>17.600000000000001</v>
      </c>
      <c r="I1107" s="210"/>
      <c r="J1107" s="206"/>
      <c r="K1107" s="206"/>
      <c r="L1107" s="211"/>
      <c r="M1107" s="212"/>
      <c r="N1107" s="213"/>
      <c r="O1107" s="213"/>
      <c r="P1107" s="213"/>
      <c r="Q1107" s="213"/>
      <c r="R1107" s="213"/>
      <c r="S1107" s="213"/>
      <c r="T1107" s="214"/>
      <c r="AT1107" s="215" t="s">
        <v>388</v>
      </c>
      <c r="AU1107" s="215" t="s">
        <v>82</v>
      </c>
      <c r="AV1107" s="14" t="s">
        <v>82</v>
      </c>
      <c r="AW1107" s="14" t="s">
        <v>33</v>
      </c>
      <c r="AX1107" s="14" t="s">
        <v>72</v>
      </c>
      <c r="AY1107" s="215" t="s">
        <v>380</v>
      </c>
    </row>
    <row r="1108" spans="1:65" s="14" customFormat="1" ht="11.25">
      <c r="B1108" s="205"/>
      <c r="C1108" s="206"/>
      <c r="D1108" s="196" t="s">
        <v>388</v>
      </c>
      <c r="E1108" s="207" t="s">
        <v>19</v>
      </c>
      <c r="F1108" s="208" t="s">
        <v>1428</v>
      </c>
      <c r="G1108" s="206"/>
      <c r="H1108" s="209">
        <v>3.24</v>
      </c>
      <c r="I1108" s="210"/>
      <c r="J1108" s="206"/>
      <c r="K1108" s="206"/>
      <c r="L1108" s="211"/>
      <c r="M1108" s="212"/>
      <c r="N1108" s="213"/>
      <c r="O1108" s="213"/>
      <c r="P1108" s="213"/>
      <c r="Q1108" s="213"/>
      <c r="R1108" s="213"/>
      <c r="S1108" s="213"/>
      <c r="T1108" s="214"/>
      <c r="AT1108" s="215" t="s">
        <v>388</v>
      </c>
      <c r="AU1108" s="215" t="s">
        <v>82</v>
      </c>
      <c r="AV1108" s="14" t="s">
        <v>82</v>
      </c>
      <c r="AW1108" s="14" t="s">
        <v>33</v>
      </c>
      <c r="AX1108" s="14" t="s">
        <v>72</v>
      </c>
      <c r="AY1108" s="215" t="s">
        <v>380</v>
      </c>
    </row>
    <row r="1109" spans="1:65" s="15" customFormat="1" ht="11.25">
      <c r="B1109" s="216"/>
      <c r="C1109" s="217"/>
      <c r="D1109" s="196" t="s">
        <v>388</v>
      </c>
      <c r="E1109" s="218" t="s">
        <v>19</v>
      </c>
      <c r="F1109" s="219" t="s">
        <v>419</v>
      </c>
      <c r="G1109" s="217"/>
      <c r="H1109" s="220">
        <v>20.84</v>
      </c>
      <c r="I1109" s="221"/>
      <c r="J1109" s="217"/>
      <c r="K1109" s="217"/>
      <c r="L1109" s="222"/>
      <c r="M1109" s="223"/>
      <c r="N1109" s="224"/>
      <c r="O1109" s="224"/>
      <c r="P1109" s="224"/>
      <c r="Q1109" s="224"/>
      <c r="R1109" s="224"/>
      <c r="S1109" s="224"/>
      <c r="T1109" s="225"/>
      <c r="AT1109" s="226" t="s">
        <v>388</v>
      </c>
      <c r="AU1109" s="226" t="s">
        <v>82</v>
      </c>
      <c r="AV1109" s="15" t="s">
        <v>386</v>
      </c>
      <c r="AW1109" s="15" t="s">
        <v>33</v>
      </c>
      <c r="AX1109" s="15" t="s">
        <v>79</v>
      </c>
      <c r="AY1109" s="226" t="s">
        <v>380</v>
      </c>
    </row>
    <row r="1110" spans="1:65" s="2" customFormat="1" ht="16.5" customHeight="1">
      <c r="A1110" s="36"/>
      <c r="B1110" s="37"/>
      <c r="C1110" s="227" t="s">
        <v>1502</v>
      </c>
      <c r="D1110" s="227" t="s">
        <v>465</v>
      </c>
      <c r="E1110" s="228" t="s">
        <v>1503</v>
      </c>
      <c r="F1110" s="229" t="s">
        <v>1504</v>
      </c>
      <c r="G1110" s="230" t="s">
        <v>398</v>
      </c>
      <c r="H1110" s="231">
        <v>23.966000000000001</v>
      </c>
      <c r="I1110" s="232"/>
      <c r="J1110" s="233">
        <f>ROUND(I1110*H1110,2)</f>
        <v>0</v>
      </c>
      <c r="K1110" s="229" t="s">
        <v>19</v>
      </c>
      <c r="L1110" s="234"/>
      <c r="M1110" s="235" t="s">
        <v>19</v>
      </c>
      <c r="N1110" s="236" t="s">
        <v>43</v>
      </c>
      <c r="O1110" s="66"/>
      <c r="P1110" s="190">
        <f>O1110*H1110</f>
        <v>0</v>
      </c>
      <c r="Q1110" s="190">
        <v>2.9999999999999997E-4</v>
      </c>
      <c r="R1110" s="190">
        <f>Q1110*H1110</f>
        <v>7.1897999999999997E-3</v>
      </c>
      <c r="S1110" s="190">
        <v>0</v>
      </c>
      <c r="T1110" s="191">
        <f>S1110*H1110</f>
        <v>0</v>
      </c>
      <c r="U1110" s="36"/>
      <c r="V1110" s="36"/>
      <c r="W1110" s="36"/>
      <c r="X1110" s="36"/>
      <c r="Y1110" s="36"/>
      <c r="Z1110" s="36"/>
      <c r="AA1110" s="36"/>
      <c r="AB1110" s="36"/>
      <c r="AC1110" s="36"/>
      <c r="AD1110" s="36"/>
      <c r="AE1110" s="36"/>
      <c r="AR1110" s="192" t="s">
        <v>546</v>
      </c>
      <c r="AT1110" s="192" t="s">
        <v>465</v>
      </c>
      <c r="AU1110" s="192" t="s">
        <v>82</v>
      </c>
      <c r="AY1110" s="19" t="s">
        <v>380</v>
      </c>
      <c r="BE1110" s="193">
        <f>IF(N1110="základní",J1110,0)</f>
        <v>0</v>
      </c>
      <c r="BF1110" s="193">
        <f>IF(N1110="snížená",J1110,0)</f>
        <v>0</v>
      </c>
      <c r="BG1110" s="193">
        <f>IF(N1110="zákl. přenesená",J1110,0)</f>
        <v>0</v>
      </c>
      <c r="BH1110" s="193">
        <f>IF(N1110="sníž. přenesená",J1110,0)</f>
        <v>0</v>
      </c>
      <c r="BI1110" s="193">
        <f>IF(N1110="nulová",J1110,0)</f>
        <v>0</v>
      </c>
      <c r="BJ1110" s="19" t="s">
        <v>79</v>
      </c>
      <c r="BK1110" s="193">
        <f>ROUND(I1110*H1110,2)</f>
        <v>0</v>
      </c>
      <c r="BL1110" s="19" t="s">
        <v>281</v>
      </c>
      <c r="BM1110" s="192" t="s">
        <v>1505</v>
      </c>
    </row>
    <row r="1111" spans="1:65" s="13" customFormat="1" ht="11.25">
      <c r="B1111" s="194"/>
      <c r="C1111" s="195"/>
      <c r="D1111" s="196" t="s">
        <v>388</v>
      </c>
      <c r="E1111" s="197" t="s">
        <v>19</v>
      </c>
      <c r="F1111" s="198" t="s">
        <v>1426</v>
      </c>
      <c r="G1111" s="195"/>
      <c r="H1111" s="197" t="s">
        <v>19</v>
      </c>
      <c r="I1111" s="199"/>
      <c r="J1111" s="195"/>
      <c r="K1111" s="195"/>
      <c r="L1111" s="200"/>
      <c r="M1111" s="201"/>
      <c r="N1111" s="202"/>
      <c r="O1111" s="202"/>
      <c r="P1111" s="202"/>
      <c r="Q1111" s="202"/>
      <c r="R1111" s="202"/>
      <c r="S1111" s="202"/>
      <c r="T1111" s="203"/>
      <c r="AT1111" s="204" t="s">
        <v>388</v>
      </c>
      <c r="AU1111" s="204" t="s">
        <v>82</v>
      </c>
      <c r="AV1111" s="13" t="s">
        <v>79</v>
      </c>
      <c r="AW1111" s="13" t="s">
        <v>33</v>
      </c>
      <c r="AX1111" s="13" t="s">
        <v>72</v>
      </c>
      <c r="AY1111" s="204" t="s">
        <v>380</v>
      </c>
    </row>
    <row r="1112" spans="1:65" s="14" customFormat="1" ht="11.25">
      <c r="B1112" s="205"/>
      <c r="C1112" s="206"/>
      <c r="D1112" s="196" t="s">
        <v>388</v>
      </c>
      <c r="E1112" s="207" t="s">
        <v>19</v>
      </c>
      <c r="F1112" s="208" t="s">
        <v>1488</v>
      </c>
      <c r="G1112" s="206"/>
      <c r="H1112" s="209">
        <v>20.239999999999998</v>
      </c>
      <c r="I1112" s="210"/>
      <c r="J1112" s="206"/>
      <c r="K1112" s="206"/>
      <c r="L1112" s="211"/>
      <c r="M1112" s="212"/>
      <c r="N1112" s="213"/>
      <c r="O1112" s="213"/>
      <c r="P1112" s="213"/>
      <c r="Q1112" s="213"/>
      <c r="R1112" s="213"/>
      <c r="S1112" s="213"/>
      <c r="T1112" s="214"/>
      <c r="AT1112" s="215" t="s">
        <v>388</v>
      </c>
      <c r="AU1112" s="215" t="s">
        <v>82</v>
      </c>
      <c r="AV1112" s="14" t="s">
        <v>82</v>
      </c>
      <c r="AW1112" s="14" t="s">
        <v>33</v>
      </c>
      <c r="AX1112" s="14" t="s">
        <v>72</v>
      </c>
      <c r="AY1112" s="215" t="s">
        <v>380</v>
      </c>
    </row>
    <row r="1113" spans="1:65" s="14" customFormat="1" ht="11.25">
      <c r="B1113" s="205"/>
      <c r="C1113" s="206"/>
      <c r="D1113" s="196" t="s">
        <v>388</v>
      </c>
      <c r="E1113" s="207" t="s">
        <v>19</v>
      </c>
      <c r="F1113" s="208" t="s">
        <v>1489</v>
      </c>
      <c r="G1113" s="206"/>
      <c r="H1113" s="209">
        <v>3.726</v>
      </c>
      <c r="I1113" s="210"/>
      <c r="J1113" s="206"/>
      <c r="K1113" s="206"/>
      <c r="L1113" s="211"/>
      <c r="M1113" s="212"/>
      <c r="N1113" s="213"/>
      <c r="O1113" s="213"/>
      <c r="P1113" s="213"/>
      <c r="Q1113" s="213"/>
      <c r="R1113" s="213"/>
      <c r="S1113" s="213"/>
      <c r="T1113" s="214"/>
      <c r="AT1113" s="215" t="s">
        <v>388</v>
      </c>
      <c r="AU1113" s="215" t="s">
        <v>82</v>
      </c>
      <c r="AV1113" s="14" t="s">
        <v>82</v>
      </c>
      <c r="AW1113" s="14" t="s">
        <v>33</v>
      </c>
      <c r="AX1113" s="14" t="s">
        <v>72</v>
      </c>
      <c r="AY1113" s="215" t="s">
        <v>380</v>
      </c>
    </row>
    <row r="1114" spans="1:65" s="15" customFormat="1" ht="11.25">
      <c r="B1114" s="216"/>
      <c r="C1114" s="217"/>
      <c r="D1114" s="196" t="s">
        <v>388</v>
      </c>
      <c r="E1114" s="218" t="s">
        <v>19</v>
      </c>
      <c r="F1114" s="219" t="s">
        <v>419</v>
      </c>
      <c r="G1114" s="217"/>
      <c r="H1114" s="220">
        <v>23.966000000000001</v>
      </c>
      <c r="I1114" s="221"/>
      <c r="J1114" s="217"/>
      <c r="K1114" s="217"/>
      <c r="L1114" s="222"/>
      <c r="M1114" s="223"/>
      <c r="N1114" s="224"/>
      <c r="O1114" s="224"/>
      <c r="P1114" s="224"/>
      <c r="Q1114" s="224"/>
      <c r="R1114" s="224"/>
      <c r="S1114" s="224"/>
      <c r="T1114" s="225"/>
      <c r="AT1114" s="226" t="s">
        <v>388</v>
      </c>
      <c r="AU1114" s="226" t="s">
        <v>82</v>
      </c>
      <c r="AV1114" s="15" t="s">
        <v>386</v>
      </c>
      <c r="AW1114" s="15" t="s">
        <v>33</v>
      </c>
      <c r="AX1114" s="15" t="s">
        <v>79</v>
      </c>
      <c r="AY1114" s="226" t="s">
        <v>380</v>
      </c>
    </row>
    <row r="1115" spans="1:65" s="2" customFormat="1" ht="24.2" customHeight="1">
      <c r="A1115" s="36"/>
      <c r="B1115" s="37"/>
      <c r="C1115" s="181" t="s">
        <v>1506</v>
      </c>
      <c r="D1115" s="181" t="s">
        <v>382</v>
      </c>
      <c r="E1115" s="182" t="s">
        <v>1507</v>
      </c>
      <c r="F1115" s="183" t="s">
        <v>1508</v>
      </c>
      <c r="G1115" s="184" t="s">
        <v>398</v>
      </c>
      <c r="H1115" s="185">
        <v>17.600000000000001</v>
      </c>
      <c r="I1115" s="186"/>
      <c r="J1115" s="187">
        <f>ROUND(I1115*H1115,2)</f>
        <v>0</v>
      </c>
      <c r="K1115" s="183" t="s">
        <v>19</v>
      </c>
      <c r="L1115" s="41"/>
      <c r="M1115" s="188" t="s">
        <v>19</v>
      </c>
      <c r="N1115" s="189" t="s">
        <v>43</v>
      </c>
      <c r="O1115" s="66"/>
      <c r="P1115" s="190">
        <f>O1115*H1115</f>
        <v>0</v>
      </c>
      <c r="Q1115" s="190">
        <v>0.06</v>
      </c>
      <c r="R1115" s="190">
        <f>Q1115*H1115</f>
        <v>1.056</v>
      </c>
      <c r="S1115" s="190">
        <v>0</v>
      </c>
      <c r="T1115" s="191">
        <f>S1115*H1115</f>
        <v>0</v>
      </c>
      <c r="U1115" s="36"/>
      <c r="V1115" s="36"/>
      <c r="W1115" s="36"/>
      <c r="X1115" s="36"/>
      <c r="Y1115" s="36"/>
      <c r="Z1115" s="36"/>
      <c r="AA1115" s="36"/>
      <c r="AB1115" s="36"/>
      <c r="AC1115" s="36"/>
      <c r="AD1115" s="36"/>
      <c r="AE1115" s="36"/>
      <c r="AR1115" s="192" t="s">
        <v>281</v>
      </c>
      <c r="AT1115" s="192" t="s">
        <v>382</v>
      </c>
      <c r="AU1115" s="192" t="s">
        <v>82</v>
      </c>
      <c r="AY1115" s="19" t="s">
        <v>380</v>
      </c>
      <c r="BE1115" s="193">
        <f>IF(N1115="základní",J1115,0)</f>
        <v>0</v>
      </c>
      <c r="BF1115" s="193">
        <f>IF(N1115="snížená",J1115,0)</f>
        <v>0</v>
      </c>
      <c r="BG1115" s="193">
        <f>IF(N1115="zákl. přenesená",J1115,0)</f>
        <v>0</v>
      </c>
      <c r="BH1115" s="193">
        <f>IF(N1115="sníž. přenesená",J1115,0)</f>
        <v>0</v>
      </c>
      <c r="BI1115" s="193">
        <f>IF(N1115="nulová",J1115,0)</f>
        <v>0</v>
      </c>
      <c r="BJ1115" s="19" t="s">
        <v>79</v>
      </c>
      <c r="BK1115" s="193">
        <f>ROUND(I1115*H1115,2)</f>
        <v>0</v>
      </c>
      <c r="BL1115" s="19" t="s">
        <v>281</v>
      </c>
      <c r="BM1115" s="192" t="s">
        <v>1509</v>
      </c>
    </row>
    <row r="1116" spans="1:65" s="13" customFormat="1" ht="11.25">
      <c r="B1116" s="194"/>
      <c r="C1116" s="195"/>
      <c r="D1116" s="196" t="s">
        <v>388</v>
      </c>
      <c r="E1116" s="197" t="s">
        <v>19</v>
      </c>
      <c r="F1116" s="198" t="s">
        <v>1426</v>
      </c>
      <c r="G1116" s="195"/>
      <c r="H1116" s="197" t="s">
        <v>19</v>
      </c>
      <c r="I1116" s="199"/>
      <c r="J1116" s="195"/>
      <c r="K1116" s="195"/>
      <c r="L1116" s="200"/>
      <c r="M1116" s="201"/>
      <c r="N1116" s="202"/>
      <c r="O1116" s="202"/>
      <c r="P1116" s="202"/>
      <c r="Q1116" s="202"/>
      <c r="R1116" s="202"/>
      <c r="S1116" s="202"/>
      <c r="T1116" s="203"/>
      <c r="AT1116" s="204" t="s">
        <v>388</v>
      </c>
      <c r="AU1116" s="204" t="s">
        <v>82</v>
      </c>
      <c r="AV1116" s="13" t="s">
        <v>79</v>
      </c>
      <c r="AW1116" s="13" t="s">
        <v>33</v>
      </c>
      <c r="AX1116" s="13" t="s">
        <v>72</v>
      </c>
      <c r="AY1116" s="204" t="s">
        <v>380</v>
      </c>
    </row>
    <row r="1117" spans="1:65" s="14" customFormat="1" ht="11.25">
      <c r="B1117" s="205"/>
      <c r="C1117" s="206"/>
      <c r="D1117" s="196" t="s">
        <v>388</v>
      </c>
      <c r="E1117" s="207" t="s">
        <v>19</v>
      </c>
      <c r="F1117" s="208" t="s">
        <v>1427</v>
      </c>
      <c r="G1117" s="206"/>
      <c r="H1117" s="209">
        <v>17.600000000000001</v>
      </c>
      <c r="I1117" s="210"/>
      <c r="J1117" s="206"/>
      <c r="K1117" s="206"/>
      <c r="L1117" s="211"/>
      <c r="M1117" s="212"/>
      <c r="N1117" s="213"/>
      <c r="O1117" s="213"/>
      <c r="P1117" s="213"/>
      <c r="Q1117" s="213"/>
      <c r="R1117" s="213"/>
      <c r="S1117" s="213"/>
      <c r="T1117" s="214"/>
      <c r="AT1117" s="215" t="s">
        <v>388</v>
      </c>
      <c r="AU1117" s="215" t="s">
        <v>82</v>
      </c>
      <c r="AV1117" s="14" t="s">
        <v>82</v>
      </c>
      <c r="AW1117" s="14" t="s">
        <v>33</v>
      </c>
      <c r="AX1117" s="14" t="s">
        <v>79</v>
      </c>
      <c r="AY1117" s="215" t="s">
        <v>380</v>
      </c>
    </row>
    <row r="1118" spans="1:65" s="2" customFormat="1" ht="21.75" customHeight="1">
      <c r="A1118" s="36"/>
      <c r="B1118" s="37"/>
      <c r="C1118" s="181" t="s">
        <v>1510</v>
      </c>
      <c r="D1118" s="181" t="s">
        <v>382</v>
      </c>
      <c r="E1118" s="182" t="s">
        <v>1511</v>
      </c>
      <c r="F1118" s="183" t="s">
        <v>1512</v>
      </c>
      <c r="G1118" s="184" t="s">
        <v>641</v>
      </c>
      <c r="H1118" s="185">
        <v>117</v>
      </c>
      <c r="I1118" s="186"/>
      <c r="J1118" s="187">
        <f>ROUND(I1118*H1118,2)</f>
        <v>0</v>
      </c>
      <c r="K1118" s="183" t="s">
        <v>19</v>
      </c>
      <c r="L1118" s="41"/>
      <c r="M1118" s="188" t="s">
        <v>19</v>
      </c>
      <c r="N1118" s="189" t="s">
        <v>43</v>
      </c>
      <c r="O1118" s="66"/>
      <c r="P1118" s="190">
        <f>O1118*H1118</f>
        <v>0</v>
      </c>
      <c r="Q1118" s="190">
        <v>3.5000000000000003E-2</v>
      </c>
      <c r="R1118" s="190">
        <f>Q1118*H1118</f>
        <v>4.0950000000000006</v>
      </c>
      <c r="S1118" s="190">
        <v>0</v>
      </c>
      <c r="T1118" s="191">
        <f>S1118*H1118</f>
        <v>0</v>
      </c>
      <c r="U1118" s="36"/>
      <c r="V1118" s="36"/>
      <c r="W1118" s="36"/>
      <c r="X1118" s="36"/>
      <c r="Y1118" s="36"/>
      <c r="Z1118" s="36"/>
      <c r="AA1118" s="36"/>
      <c r="AB1118" s="36"/>
      <c r="AC1118" s="36"/>
      <c r="AD1118" s="36"/>
      <c r="AE1118" s="36"/>
      <c r="AR1118" s="192" t="s">
        <v>281</v>
      </c>
      <c r="AT1118" s="192" t="s">
        <v>382</v>
      </c>
      <c r="AU1118" s="192" t="s">
        <v>82</v>
      </c>
      <c r="AY1118" s="19" t="s">
        <v>380</v>
      </c>
      <c r="BE1118" s="193">
        <f>IF(N1118="základní",J1118,0)</f>
        <v>0</v>
      </c>
      <c r="BF1118" s="193">
        <f>IF(N1118="snížená",J1118,0)</f>
        <v>0</v>
      </c>
      <c r="BG1118" s="193">
        <f>IF(N1118="zákl. přenesená",J1118,0)</f>
        <v>0</v>
      </c>
      <c r="BH1118" s="193">
        <f>IF(N1118="sníž. přenesená",J1118,0)</f>
        <v>0</v>
      </c>
      <c r="BI1118" s="193">
        <f>IF(N1118="nulová",J1118,0)</f>
        <v>0</v>
      </c>
      <c r="BJ1118" s="19" t="s">
        <v>79</v>
      </c>
      <c r="BK1118" s="193">
        <f>ROUND(I1118*H1118,2)</f>
        <v>0</v>
      </c>
      <c r="BL1118" s="19" t="s">
        <v>281</v>
      </c>
      <c r="BM1118" s="192" t="s">
        <v>1513</v>
      </c>
    </row>
    <row r="1119" spans="1:65" s="14" customFormat="1" ht="11.25">
      <c r="B1119" s="205"/>
      <c r="C1119" s="206"/>
      <c r="D1119" s="196" t="s">
        <v>388</v>
      </c>
      <c r="E1119" s="207" t="s">
        <v>19</v>
      </c>
      <c r="F1119" s="208" t="s">
        <v>1514</v>
      </c>
      <c r="G1119" s="206"/>
      <c r="H1119" s="209">
        <v>117</v>
      </c>
      <c r="I1119" s="210"/>
      <c r="J1119" s="206"/>
      <c r="K1119" s="206"/>
      <c r="L1119" s="211"/>
      <c r="M1119" s="212"/>
      <c r="N1119" s="213"/>
      <c r="O1119" s="213"/>
      <c r="P1119" s="213"/>
      <c r="Q1119" s="213"/>
      <c r="R1119" s="213"/>
      <c r="S1119" s="213"/>
      <c r="T1119" s="214"/>
      <c r="AT1119" s="215" t="s">
        <v>388</v>
      </c>
      <c r="AU1119" s="215" t="s">
        <v>82</v>
      </c>
      <c r="AV1119" s="14" t="s">
        <v>82</v>
      </c>
      <c r="AW1119" s="14" t="s">
        <v>33</v>
      </c>
      <c r="AX1119" s="14" t="s">
        <v>79</v>
      </c>
      <c r="AY1119" s="215" t="s">
        <v>380</v>
      </c>
    </row>
    <row r="1120" spans="1:65" s="2" customFormat="1" ht="16.5" customHeight="1">
      <c r="A1120" s="36"/>
      <c r="B1120" s="37"/>
      <c r="C1120" s="181" t="s">
        <v>1515</v>
      </c>
      <c r="D1120" s="181" t="s">
        <v>382</v>
      </c>
      <c r="E1120" s="182" t="s">
        <v>1516</v>
      </c>
      <c r="F1120" s="183" t="s">
        <v>1517</v>
      </c>
      <c r="G1120" s="184" t="s">
        <v>641</v>
      </c>
      <c r="H1120" s="185">
        <v>3</v>
      </c>
      <c r="I1120" s="186"/>
      <c r="J1120" s="187">
        <f>ROUND(I1120*H1120,2)</f>
        <v>0</v>
      </c>
      <c r="K1120" s="183" t="s">
        <v>19</v>
      </c>
      <c r="L1120" s="41"/>
      <c r="M1120" s="188" t="s">
        <v>19</v>
      </c>
      <c r="N1120" s="189" t="s">
        <v>43</v>
      </c>
      <c r="O1120" s="66"/>
      <c r="P1120" s="190">
        <f>O1120*H1120</f>
        <v>0</v>
      </c>
      <c r="Q1120" s="190">
        <v>0</v>
      </c>
      <c r="R1120" s="190">
        <f>Q1120*H1120</f>
        <v>0</v>
      </c>
      <c r="S1120" s="190">
        <v>0</v>
      </c>
      <c r="T1120" s="191">
        <f>S1120*H1120</f>
        <v>0</v>
      </c>
      <c r="U1120" s="36"/>
      <c r="V1120" s="36"/>
      <c r="W1120" s="36"/>
      <c r="X1120" s="36"/>
      <c r="Y1120" s="36"/>
      <c r="Z1120" s="36"/>
      <c r="AA1120" s="36"/>
      <c r="AB1120" s="36"/>
      <c r="AC1120" s="36"/>
      <c r="AD1120" s="36"/>
      <c r="AE1120" s="36"/>
      <c r="AR1120" s="192" t="s">
        <v>281</v>
      </c>
      <c r="AT1120" s="192" t="s">
        <v>382</v>
      </c>
      <c r="AU1120" s="192" t="s">
        <v>82</v>
      </c>
      <c r="AY1120" s="19" t="s">
        <v>380</v>
      </c>
      <c r="BE1120" s="193">
        <f>IF(N1120="základní",J1120,0)</f>
        <v>0</v>
      </c>
      <c r="BF1120" s="193">
        <f>IF(N1120="snížená",J1120,0)</f>
        <v>0</v>
      </c>
      <c r="BG1120" s="193">
        <f>IF(N1120="zákl. přenesená",J1120,0)</f>
        <v>0</v>
      </c>
      <c r="BH1120" s="193">
        <f>IF(N1120="sníž. přenesená",J1120,0)</f>
        <v>0</v>
      </c>
      <c r="BI1120" s="193">
        <f>IF(N1120="nulová",J1120,0)</f>
        <v>0</v>
      </c>
      <c r="BJ1120" s="19" t="s">
        <v>79</v>
      </c>
      <c r="BK1120" s="193">
        <f>ROUND(I1120*H1120,2)</f>
        <v>0</v>
      </c>
      <c r="BL1120" s="19" t="s">
        <v>281</v>
      </c>
      <c r="BM1120" s="192" t="s">
        <v>1518</v>
      </c>
    </row>
    <row r="1121" spans="1:65" s="2" customFormat="1" ht="24.2" customHeight="1">
      <c r="A1121" s="36"/>
      <c r="B1121" s="37"/>
      <c r="C1121" s="181" t="s">
        <v>1519</v>
      </c>
      <c r="D1121" s="181" t="s">
        <v>382</v>
      </c>
      <c r="E1121" s="182" t="s">
        <v>1520</v>
      </c>
      <c r="F1121" s="183" t="s">
        <v>1521</v>
      </c>
      <c r="G1121" s="184" t="s">
        <v>437</v>
      </c>
      <c r="H1121" s="185">
        <v>11.714</v>
      </c>
      <c r="I1121" s="186"/>
      <c r="J1121" s="187">
        <f>ROUND(I1121*H1121,2)</f>
        <v>0</v>
      </c>
      <c r="K1121" s="183" t="s">
        <v>399</v>
      </c>
      <c r="L1121" s="41"/>
      <c r="M1121" s="188" t="s">
        <v>19</v>
      </c>
      <c r="N1121" s="189" t="s">
        <v>43</v>
      </c>
      <c r="O1121" s="66"/>
      <c r="P1121" s="190">
        <f>O1121*H1121</f>
        <v>0</v>
      </c>
      <c r="Q1121" s="190">
        <v>0</v>
      </c>
      <c r="R1121" s="190">
        <f>Q1121*H1121</f>
        <v>0</v>
      </c>
      <c r="S1121" s="190">
        <v>0</v>
      </c>
      <c r="T1121" s="191">
        <f>S1121*H1121</f>
        <v>0</v>
      </c>
      <c r="U1121" s="36"/>
      <c r="V1121" s="36"/>
      <c r="W1121" s="36"/>
      <c r="X1121" s="36"/>
      <c r="Y1121" s="36"/>
      <c r="Z1121" s="36"/>
      <c r="AA1121" s="36"/>
      <c r="AB1121" s="36"/>
      <c r="AC1121" s="36"/>
      <c r="AD1121" s="36"/>
      <c r="AE1121" s="36"/>
      <c r="AR1121" s="192" t="s">
        <v>281</v>
      </c>
      <c r="AT1121" s="192" t="s">
        <v>382</v>
      </c>
      <c r="AU1121" s="192" t="s">
        <v>82</v>
      </c>
      <c r="AY1121" s="19" t="s">
        <v>380</v>
      </c>
      <c r="BE1121" s="193">
        <f>IF(N1121="základní",J1121,0)</f>
        <v>0</v>
      </c>
      <c r="BF1121" s="193">
        <f>IF(N1121="snížená",J1121,0)</f>
        <v>0</v>
      </c>
      <c r="BG1121" s="193">
        <f>IF(N1121="zákl. přenesená",J1121,0)</f>
        <v>0</v>
      </c>
      <c r="BH1121" s="193">
        <f>IF(N1121="sníž. přenesená",J1121,0)</f>
        <v>0</v>
      </c>
      <c r="BI1121" s="193">
        <f>IF(N1121="nulová",J1121,0)</f>
        <v>0</v>
      </c>
      <c r="BJ1121" s="19" t="s">
        <v>79</v>
      </c>
      <c r="BK1121" s="193">
        <f>ROUND(I1121*H1121,2)</f>
        <v>0</v>
      </c>
      <c r="BL1121" s="19" t="s">
        <v>281</v>
      </c>
      <c r="BM1121" s="192" t="s">
        <v>1522</v>
      </c>
    </row>
    <row r="1122" spans="1:65" s="12" customFormat="1" ht="22.9" customHeight="1">
      <c r="B1122" s="165"/>
      <c r="C1122" s="166"/>
      <c r="D1122" s="167" t="s">
        <v>71</v>
      </c>
      <c r="E1122" s="179" t="s">
        <v>1523</v>
      </c>
      <c r="F1122" s="179" t="s">
        <v>1524</v>
      </c>
      <c r="G1122" s="166"/>
      <c r="H1122" s="166"/>
      <c r="I1122" s="169"/>
      <c r="J1122" s="180">
        <f>BK1122</f>
        <v>0</v>
      </c>
      <c r="K1122" s="166"/>
      <c r="L1122" s="171"/>
      <c r="M1122" s="172"/>
      <c r="N1122" s="173"/>
      <c r="O1122" s="173"/>
      <c r="P1122" s="174">
        <f>SUM(P1123:P1288)</f>
        <v>0</v>
      </c>
      <c r="Q1122" s="173"/>
      <c r="R1122" s="174">
        <f>SUM(R1123:R1288)</f>
        <v>49.399816472999994</v>
      </c>
      <c r="S1122" s="173"/>
      <c r="T1122" s="175">
        <f>SUM(T1123:T1288)</f>
        <v>0</v>
      </c>
      <c r="AR1122" s="176" t="s">
        <v>82</v>
      </c>
      <c r="AT1122" s="177" t="s">
        <v>71</v>
      </c>
      <c r="AU1122" s="177" t="s">
        <v>79</v>
      </c>
      <c r="AY1122" s="176" t="s">
        <v>380</v>
      </c>
      <c r="BK1122" s="178">
        <f>SUM(BK1123:BK1288)</f>
        <v>0</v>
      </c>
    </row>
    <row r="1123" spans="1:65" s="2" customFormat="1" ht="24.2" customHeight="1">
      <c r="A1123" s="36"/>
      <c r="B1123" s="37"/>
      <c r="C1123" s="181" t="s">
        <v>1525</v>
      </c>
      <c r="D1123" s="181" t="s">
        <v>382</v>
      </c>
      <c r="E1123" s="182" t="s">
        <v>1526</v>
      </c>
      <c r="F1123" s="183" t="s">
        <v>1527</v>
      </c>
      <c r="G1123" s="184" t="s">
        <v>398</v>
      </c>
      <c r="H1123" s="185">
        <v>4438.3890000000001</v>
      </c>
      <c r="I1123" s="186"/>
      <c r="J1123" s="187">
        <f>ROUND(I1123*H1123,2)</f>
        <v>0</v>
      </c>
      <c r="K1123" s="183" t="s">
        <v>399</v>
      </c>
      <c r="L1123" s="41"/>
      <c r="M1123" s="188" t="s">
        <v>19</v>
      </c>
      <c r="N1123" s="189" t="s">
        <v>43</v>
      </c>
      <c r="O1123" s="66"/>
      <c r="P1123" s="190">
        <f>O1123*H1123</f>
        <v>0</v>
      </c>
      <c r="Q1123" s="190">
        <v>0</v>
      </c>
      <c r="R1123" s="190">
        <f>Q1123*H1123</f>
        <v>0</v>
      </c>
      <c r="S1123" s="190">
        <v>0</v>
      </c>
      <c r="T1123" s="191">
        <f>S1123*H1123</f>
        <v>0</v>
      </c>
      <c r="U1123" s="36"/>
      <c r="V1123" s="36"/>
      <c r="W1123" s="36"/>
      <c r="X1123" s="36"/>
      <c r="Y1123" s="36"/>
      <c r="Z1123" s="36"/>
      <c r="AA1123" s="36"/>
      <c r="AB1123" s="36"/>
      <c r="AC1123" s="36"/>
      <c r="AD1123" s="36"/>
      <c r="AE1123" s="36"/>
      <c r="AR1123" s="192" t="s">
        <v>281</v>
      </c>
      <c r="AT1123" s="192" t="s">
        <v>382</v>
      </c>
      <c r="AU1123" s="192" t="s">
        <v>82</v>
      </c>
      <c r="AY1123" s="19" t="s">
        <v>380</v>
      </c>
      <c r="BE1123" s="193">
        <f>IF(N1123="základní",J1123,0)</f>
        <v>0</v>
      </c>
      <c r="BF1123" s="193">
        <f>IF(N1123="snížená",J1123,0)</f>
        <v>0</v>
      </c>
      <c r="BG1123" s="193">
        <f>IF(N1123="zákl. přenesená",J1123,0)</f>
        <v>0</v>
      </c>
      <c r="BH1123" s="193">
        <f>IF(N1123="sníž. přenesená",J1123,0)</f>
        <v>0</v>
      </c>
      <c r="BI1123" s="193">
        <f>IF(N1123="nulová",J1123,0)</f>
        <v>0</v>
      </c>
      <c r="BJ1123" s="19" t="s">
        <v>79</v>
      </c>
      <c r="BK1123" s="193">
        <f>ROUND(I1123*H1123,2)</f>
        <v>0</v>
      </c>
      <c r="BL1123" s="19" t="s">
        <v>281</v>
      </c>
      <c r="BM1123" s="192" t="s">
        <v>1528</v>
      </c>
    </row>
    <row r="1124" spans="1:65" s="13" customFormat="1" ht="11.25">
      <c r="B1124" s="194"/>
      <c r="C1124" s="195"/>
      <c r="D1124" s="196" t="s">
        <v>388</v>
      </c>
      <c r="E1124" s="197" t="s">
        <v>19</v>
      </c>
      <c r="F1124" s="198" t="s">
        <v>1529</v>
      </c>
      <c r="G1124" s="195"/>
      <c r="H1124" s="197" t="s">
        <v>19</v>
      </c>
      <c r="I1124" s="199"/>
      <c r="J1124" s="195"/>
      <c r="K1124" s="195"/>
      <c r="L1124" s="200"/>
      <c r="M1124" s="201"/>
      <c r="N1124" s="202"/>
      <c r="O1124" s="202"/>
      <c r="P1124" s="202"/>
      <c r="Q1124" s="202"/>
      <c r="R1124" s="202"/>
      <c r="S1124" s="202"/>
      <c r="T1124" s="203"/>
      <c r="AT1124" s="204" t="s">
        <v>388</v>
      </c>
      <c r="AU1124" s="204" t="s">
        <v>82</v>
      </c>
      <c r="AV1124" s="13" t="s">
        <v>79</v>
      </c>
      <c r="AW1124" s="13" t="s">
        <v>33</v>
      </c>
      <c r="AX1124" s="13" t="s">
        <v>72</v>
      </c>
      <c r="AY1124" s="204" t="s">
        <v>380</v>
      </c>
    </row>
    <row r="1125" spans="1:65" s="14" customFormat="1" ht="11.25">
      <c r="B1125" s="205"/>
      <c r="C1125" s="206"/>
      <c r="D1125" s="196" t="s">
        <v>388</v>
      </c>
      <c r="E1125" s="207" t="s">
        <v>19</v>
      </c>
      <c r="F1125" s="208" t="s">
        <v>1530</v>
      </c>
      <c r="G1125" s="206"/>
      <c r="H1125" s="209">
        <v>1184.9000000000001</v>
      </c>
      <c r="I1125" s="210"/>
      <c r="J1125" s="206"/>
      <c r="K1125" s="206"/>
      <c r="L1125" s="211"/>
      <c r="M1125" s="212"/>
      <c r="N1125" s="213"/>
      <c r="O1125" s="213"/>
      <c r="P1125" s="213"/>
      <c r="Q1125" s="213"/>
      <c r="R1125" s="213"/>
      <c r="S1125" s="213"/>
      <c r="T1125" s="214"/>
      <c r="AT1125" s="215" t="s">
        <v>388</v>
      </c>
      <c r="AU1125" s="215" t="s">
        <v>82</v>
      </c>
      <c r="AV1125" s="14" t="s">
        <v>82</v>
      </c>
      <c r="AW1125" s="14" t="s">
        <v>33</v>
      </c>
      <c r="AX1125" s="14" t="s">
        <v>72</v>
      </c>
      <c r="AY1125" s="215" t="s">
        <v>380</v>
      </c>
    </row>
    <row r="1126" spans="1:65" s="13" customFormat="1" ht="11.25">
      <c r="B1126" s="194"/>
      <c r="C1126" s="195"/>
      <c r="D1126" s="196" t="s">
        <v>388</v>
      </c>
      <c r="E1126" s="197" t="s">
        <v>19</v>
      </c>
      <c r="F1126" s="198" t="s">
        <v>1531</v>
      </c>
      <c r="G1126" s="195"/>
      <c r="H1126" s="197" t="s">
        <v>19</v>
      </c>
      <c r="I1126" s="199"/>
      <c r="J1126" s="195"/>
      <c r="K1126" s="195"/>
      <c r="L1126" s="200"/>
      <c r="M1126" s="201"/>
      <c r="N1126" s="202"/>
      <c r="O1126" s="202"/>
      <c r="P1126" s="202"/>
      <c r="Q1126" s="202"/>
      <c r="R1126" s="202"/>
      <c r="S1126" s="202"/>
      <c r="T1126" s="203"/>
      <c r="AT1126" s="204" t="s">
        <v>388</v>
      </c>
      <c r="AU1126" s="204" t="s">
        <v>82</v>
      </c>
      <c r="AV1126" s="13" t="s">
        <v>79</v>
      </c>
      <c r="AW1126" s="13" t="s">
        <v>33</v>
      </c>
      <c r="AX1126" s="13" t="s">
        <v>72</v>
      </c>
      <c r="AY1126" s="204" t="s">
        <v>380</v>
      </c>
    </row>
    <row r="1127" spans="1:65" s="14" customFormat="1" ht="11.25">
      <c r="B1127" s="205"/>
      <c r="C1127" s="206"/>
      <c r="D1127" s="196" t="s">
        <v>388</v>
      </c>
      <c r="E1127" s="207" t="s">
        <v>19</v>
      </c>
      <c r="F1127" s="208" t="s">
        <v>1532</v>
      </c>
      <c r="G1127" s="206"/>
      <c r="H1127" s="209">
        <v>957</v>
      </c>
      <c r="I1127" s="210"/>
      <c r="J1127" s="206"/>
      <c r="K1127" s="206"/>
      <c r="L1127" s="211"/>
      <c r="M1127" s="212"/>
      <c r="N1127" s="213"/>
      <c r="O1127" s="213"/>
      <c r="P1127" s="213"/>
      <c r="Q1127" s="213"/>
      <c r="R1127" s="213"/>
      <c r="S1127" s="213"/>
      <c r="T1127" s="214"/>
      <c r="AT1127" s="215" t="s">
        <v>388</v>
      </c>
      <c r="AU1127" s="215" t="s">
        <v>82</v>
      </c>
      <c r="AV1127" s="14" t="s">
        <v>82</v>
      </c>
      <c r="AW1127" s="14" t="s">
        <v>33</v>
      </c>
      <c r="AX1127" s="14" t="s">
        <v>72</v>
      </c>
      <c r="AY1127" s="215" t="s">
        <v>380</v>
      </c>
    </row>
    <row r="1128" spans="1:65" s="13" customFormat="1" ht="11.25">
      <c r="B1128" s="194"/>
      <c r="C1128" s="195"/>
      <c r="D1128" s="196" t="s">
        <v>388</v>
      </c>
      <c r="E1128" s="197" t="s">
        <v>19</v>
      </c>
      <c r="F1128" s="198" t="s">
        <v>1533</v>
      </c>
      <c r="G1128" s="195"/>
      <c r="H1128" s="197" t="s">
        <v>19</v>
      </c>
      <c r="I1128" s="199"/>
      <c r="J1128" s="195"/>
      <c r="K1128" s="195"/>
      <c r="L1128" s="200"/>
      <c r="M1128" s="201"/>
      <c r="N1128" s="202"/>
      <c r="O1128" s="202"/>
      <c r="P1128" s="202"/>
      <c r="Q1128" s="202"/>
      <c r="R1128" s="202"/>
      <c r="S1128" s="202"/>
      <c r="T1128" s="203"/>
      <c r="AT1128" s="204" t="s">
        <v>388</v>
      </c>
      <c r="AU1128" s="204" t="s">
        <v>82</v>
      </c>
      <c r="AV1128" s="13" t="s">
        <v>79</v>
      </c>
      <c r="AW1128" s="13" t="s">
        <v>33</v>
      </c>
      <c r="AX1128" s="13" t="s">
        <v>72</v>
      </c>
      <c r="AY1128" s="204" t="s">
        <v>380</v>
      </c>
    </row>
    <row r="1129" spans="1:65" s="14" customFormat="1" ht="11.25">
      <c r="B1129" s="205"/>
      <c r="C1129" s="206"/>
      <c r="D1129" s="196" t="s">
        <v>388</v>
      </c>
      <c r="E1129" s="207" t="s">
        <v>19</v>
      </c>
      <c r="F1129" s="208" t="s">
        <v>1534</v>
      </c>
      <c r="G1129" s="206"/>
      <c r="H1129" s="209">
        <v>1370.7</v>
      </c>
      <c r="I1129" s="210"/>
      <c r="J1129" s="206"/>
      <c r="K1129" s="206"/>
      <c r="L1129" s="211"/>
      <c r="M1129" s="212"/>
      <c r="N1129" s="213"/>
      <c r="O1129" s="213"/>
      <c r="P1129" s="213"/>
      <c r="Q1129" s="213"/>
      <c r="R1129" s="213"/>
      <c r="S1129" s="213"/>
      <c r="T1129" s="214"/>
      <c r="AT1129" s="215" t="s">
        <v>388</v>
      </c>
      <c r="AU1129" s="215" t="s">
        <v>82</v>
      </c>
      <c r="AV1129" s="14" t="s">
        <v>82</v>
      </c>
      <c r="AW1129" s="14" t="s">
        <v>33</v>
      </c>
      <c r="AX1129" s="14" t="s">
        <v>72</v>
      </c>
      <c r="AY1129" s="215" t="s">
        <v>380</v>
      </c>
    </row>
    <row r="1130" spans="1:65" s="13" customFormat="1" ht="11.25">
      <c r="B1130" s="194"/>
      <c r="C1130" s="195"/>
      <c r="D1130" s="196" t="s">
        <v>388</v>
      </c>
      <c r="E1130" s="197" t="s">
        <v>19</v>
      </c>
      <c r="F1130" s="198" t="s">
        <v>1535</v>
      </c>
      <c r="G1130" s="195"/>
      <c r="H1130" s="197" t="s">
        <v>19</v>
      </c>
      <c r="I1130" s="199"/>
      <c r="J1130" s="195"/>
      <c r="K1130" s="195"/>
      <c r="L1130" s="200"/>
      <c r="M1130" s="201"/>
      <c r="N1130" s="202"/>
      <c r="O1130" s="202"/>
      <c r="P1130" s="202"/>
      <c r="Q1130" s="202"/>
      <c r="R1130" s="202"/>
      <c r="S1130" s="202"/>
      <c r="T1130" s="203"/>
      <c r="AT1130" s="204" t="s">
        <v>388</v>
      </c>
      <c r="AU1130" s="204" t="s">
        <v>82</v>
      </c>
      <c r="AV1130" s="13" t="s">
        <v>79</v>
      </c>
      <c r="AW1130" s="13" t="s">
        <v>33</v>
      </c>
      <c r="AX1130" s="13" t="s">
        <v>72</v>
      </c>
      <c r="AY1130" s="204" t="s">
        <v>380</v>
      </c>
    </row>
    <row r="1131" spans="1:65" s="14" customFormat="1" ht="11.25">
      <c r="B1131" s="205"/>
      <c r="C1131" s="206"/>
      <c r="D1131" s="196" t="s">
        <v>388</v>
      </c>
      <c r="E1131" s="207" t="s">
        <v>19</v>
      </c>
      <c r="F1131" s="208" t="s">
        <v>292</v>
      </c>
      <c r="G1131" s="206"/>
      <c r="H1131" s="209">
        <v>841.1</v>
      </c>
      <c r="I1131" s="210"/>
      <c r="J1131" s="206"/>
      <c r="K1131" s="206"/>
      <c r="L1131" s="211"/>
      <c r="M1131" s="212"/>
      <c r="N1131" s="213"/>
      <c r="O1131" s="213"/>
      <c r="P1131" s="213"/>
      <c r="Q1131" s="213"/>
      <c r="R1131" s="213"/>
      <c r="S1131" s="213"/>
      <c r="T1131" s="214"/>
      <c r="AT1131" s="215" t="s">
        <v>388</v>
      </c>
      <c r="AU1131" s="215" t="s">
        <v>82</v>
      </c>
      <c r="AV1131" s="14" t="s">
        <v>82</v>
      </c>
      <c r="AW1131" s="14" t="s">
        <v>33</v>
      </c>
      <c r="AX1131" s="14" t="s">
        <v>72</v>
      </c>
      <c r="AY1131" s="215" t="s">
        <v>380</v>
      </c>
    </row>
    <row r="1132" spans="1:65" s="13" customFormat="1" ht="11.25">
      <c r="B1132" s="194"/>
      <c r="C1132" s="195"/>
      <c r="D1132" s="196" t="s">
        <v>388</v>
      </c>
      <c r="E1132" s="197" t="s">
        <v>19</v>
      </c>
      <c r="F1132" s="198" t="s">
        <v>1536</v>
      </c>
      <c r="G1132" s="195"/>
      <c r="H1132" s="197" t="s">
        <v>19</v>
      </c>
      <c r="I1132" s="199"/>
      <c r="J1132" s="195"/>
      <c r="K1132" s="195"/>
      <c r="L1132" s="200"/>
      <c r="M1132" s="201"/>
      <c r="N1132" s="202"/>
      <c r="O1132" s="202"/>
      <c r="P1132" s="202"/>
      <c r="Q1132" s="202"/>
      <c r="R1132" s="202"/>
      <c r="S1132" s="202"/>
      <c r="T1132" s="203"/>
      <c r="AT1132" s="204" t="s">
        <v>388</v>
      </c>
      <c r="AU1132" s="204" t="s">
        <v>82</v>
      </c>
      <c r="AV1132" s="13" t="s">
        <v>79</v>
      </c>
      <c r="AW1132" s="13" t="s">
        <v>33</v>
      </c>
      <c r="AX1132" s="13" t="s">
        <v>72</v>
      </c>
      <c r="AY1132" s="204" t="s">
        <v>380</v>
      </c>
    </row>
    <row r="1133" spans="1:65" s="14" customFormat="1" ht="11.25">
      <c r="B1133" s="205"/>
      <c r="C1133" s="206"/>
      <c r="D1133" s="196" t="s">
        <v>388</v>
      </c>
      <c r="E1133" s="207" t="s">
        <v>19</v>
      </c>
      <c r="F1133" s="208" t="s">
        <v>1537</v>
      </c>
      <c r="G1133" s="206"/>
      <c r="H1133" s="209">
        <v>84.688999999999993</v>
      </c>
      <c r="I1133" s="210"/>
      <c r="J1133" s="206"/>
      <c r="K1133" s="206"/>
      <c r="L1133" s="211"/>
      <c r="M1133" s="212"/>
      <c r="N1133" s="213"/>
      <c r="O1133" s="213"/>
      <c r="P1133" s="213"/>
      <c r="Q1133" s="213"/>
      <c r="R1133" s="213"/>
      <c r="S1133" s="213"/>
      <c r="T1133" s="214"/>
      <c r="AT1133" s="215" t="s">
        <v>388</v>
      </c>
      <c r="AU1133" s="215" t="s">
        <v>82</v>
      </c>
      <c r="AV1133" s="14" t="s">
        <v>82</v>
      </c>
      <c r="AW1133" s="14" t="s">
        <v>33</v>
      </c>
      <c r="AX1133" s="14" t="s">
        <v>72</v>
      </c>
      <c r="AY1133" s="215" t="s">
        <v>380</v>
      </c>
    </row>
    <row r="1134" spans="1:65" s="15" customFormat="1" ht="11.25">
      <c r="B1134" s="216"/>
      <c r="C1134" s="217"/>
      <c r="D1134" s="196" t="s">
        <v>388</v>
      </c>
      <c r="E1134" s="218" t="s">
        <v>19</v>
      </c>
      <c r="F1134" s="219" t="s">
        <v>419</v>
      </c>
      <c r="G1134" s="217"/>
      <c r="H1134" s="220">
        <v>4438.3890000000001</v>
      </c>
      <c r="I1134" s="221"/>
      <c r="J1134" s="217"/>
      <c r="K1134" s="217"/>
      <c r="L1134" s="222"/>
      <c r="M1134" s="223"/>
      <c r="N1134" s="224"/>
      <c r="O1134" s="224"/>
      <c r="P1134" s="224"/>
      <c r="Q1134" s="224"/>
      <c r="R1134" s="224"/>
      <c r="S1134" s="224"/>
      <c r="T1134" s="225"/>
      <c r="AT1134" s="226" t="s">
        <v>388</v>
      </c>
      <c r="AU1134" s="226" t="s">
        <v>82</v>
      </c>
      <c r="AV1134" s="15" t="s">
        <v>386</v>
      </c>
      <c r="AW1134" s="15" t="s">
        <v>33</v>
      </c>
      <c r="AX1134" s="15" t="s">
        <v>79</v>
      </c>
      <c r="AY1134" s="226" t="s">
        <v>380</v>
      </c>
    </row>
    <row r="1135" spans="1:65" s="2" customFormat="1" ht="16.5" customHeight="1">
      <c r="A1135" s="36"/>
      <c r="B1135" s="37"/>
      <c r="C1135" s="227" t="s">
        <v>1538</v>
      </c>
      <c r="D1135" s="227" t="s">
        <v>465</v>
      </c>
      <c r="E1135" s="228" t="s">
        <v>1539</v>
      </c>
      <c r="F1135" s="229" t="s">
        <v>1540</v>
      </c>
      <c r="G1135" s="230" t="s">
        <v>398</v>
      </c>
      <c r="H1135" s="231">
        <v>1208.598</v>
      </c>
      <c r="I1135" s="232"/>
      <c r="J1135" s="233">
        <f>ROUND(I1135*H1135,2)</f>
        <v>0</v>
      </c>
      <c r="K1135" s="229" t="s">
        <v>399</v>
      </c>
      <c r="L1135" s="234"/>
      <c r="M1135" s="235" t="s">
        <v>19</v>
      </c>
      <c r="N1135" s="236" t="s">
        <v>43</v>
      </c>
      <c r="O1135" s="66"/>
      <c r="P1135" s="190">
        <f>O1135*H1135</f>
        <v>0</v>
      </c>
      <c r="Q1135" s="190">
        <v>1.5E-3</v>
      </c>
      <c r="R1135" s="190">
        <f>Q1135*H1135</f>
        <v>1.812897</v>
      </c>
      <c r="S1135" s="190">
        <v>0</v>
      </c>
      <c r="T1135" s="191">
        <f>S1135*H1135</f>
        <v>0</v>
      </c>
      <c r="U1135" s="36"/>
      <c r="V1135" s="36"/>
      <c r="W1135" s="36"/>
      <c r="X1135" s="36"/>
      <c r="Y1135" s="36"/>
      <c r="Z1135" s="36"/>
      <c r="AA1135" s="36"/>
      <c r="AB1135" s="36"/>
      <c r="AC1135" s="36"/>
      <c r="AD1135" s="36"/>
      <c r="AE1135" s="36"/>
      <c r="AR1135" s="192" t="s">
        <v>546</v>
      </c>
      <c r="AT1135" s="192" t="s">
        <v>465</v>
      </c>
      <c r="AU1135" s="192" t="s">
        <v>82</v>
      </c>
      <c r="AY1135" s="19" t="s">
        <v>380</v>
      </c>
      <c r="BE1135" s="193">
        <f>IF(N1135="základní",J1135,0)</f>
        <v>0</v>
      </c>
      <c r="BF1135" s="193">
        <f>IF(N1135="snížená",J1135,0)</f>
        <v>0</v>
      </c>
      <c r="BG1135" s="193">
        <f>IF(N1135="zákl. přenesená",J1135,0)</f>
        <v>0</v>
      </c>
      <c r="BH1135" s="193">
        <f>IF(N1135="sníž. přenesená",J1135,0)</f>
        <v>0</v>
      </c>
      <c r="BI1135" s="193">
        <f>IF(N1135="nulová",J1135,0)</f>
        <v>0</v>
      </c>
      <c r="BJ1135" s="19" t="s">
        <v>79</v>
      </c>
      <c r="BK1135" s="193">
        <f>ROUND(I1135*H1135,2)</f>
        <v>0</v>
      </c>
      <c r="BL1135" s="19" t="s">
        <v>281</v>
      </c>
      <c r="BM1135" s="192" t="s">
        <v>1541</v>
      </c>
    </row>
    <row r="1136" spans="1:65" s="14" customFormat="1" ht="11.25">
      <c r="B1136" s="205"/>
      <c r="C1136" s="206"/>
      <c r="D1136" s="196" t="s">
        <v>388</v>
      </c>
      <c r="E1136" s="207" t="s">
        <v>19</v>
      </c>
      <c r="F1136" s="208" t="s">
        <v>1542</v>
      </c>
      <c r="G1136" s="206"/>
      <c r="H1136" s="209">
        <v>1208.598</v>
      </c>
      <c r="I1136" s="210"/>
      <c r="J1136" s="206"/>
      <c r="K1136" s="206"/>
      <c r="L1136" s="211"/>
      <c r="M1136" s="212"/>
      <c r="N1136" s="213"/>
      <c r="O1136" s="213"/>
      <c r="P1136" s="213"/>
      <c r="Q1136" s="213"/>
      <c r="R1136" s="213"/>
      <c r="S1136" s="213"/>
      <c r="T1136" s="214"/>
      <c r="AT1136" s="215" t="s">
        <v>388</v>
      </c>
      <c r="AU1136" s="215" t="s">
        <v>82</v>
      </c>
      <c r="AV1136" s="14" t="s">
        <v>82</v>
      </c>
      <c r="AW1136" s="14" t="s">
        <v>33</v>
      </c>
      <c r="AX1136" s="14" t="s">
        <v>79</v>
      </c>
      <c r="AY1136" s="215" t="s">
        <v>380</v>
      </c>
    </row>
    <row r="1137" spans="1:65" s="2" customFormat="1" ht="16.5" customHeight="1">
      <c r="A1137" s="36"/>
      <c r="B1137" s="37"/>
      <c r="C1137" s="227" t="s">
        <v>1543</v>
      </c>
      <c r="D1137" s="227" t="s">
        <v>465</v>
      </c>
      <c r="E1137" s="228" t="s">
        <v>1544</v>
      </c>
      <c r="F1137" s="229" t="s">
        <v>1545</v>
      </c>
      <c r="G1137" s="230" t="s">
        <v>398</v>
      </c>
      <c r="H1137" s="231">
        <v>1398.114</v>
      </c>
      <c r="I1137" s="232"/>
      <c r="J1137" s="233">
        <f>ROUND(I1137*H1137,2)</f>
        <v>0</v>
      </c>
      <c r="K1137" s="229" t="s">
        <v>399</v>
      </c>
      <c r="L1137" s="234"/>
      <c r="M1137" s="235" t="s">
        <v>19</v>
      </c>
      <c r="N1137" s="236" t="s">
        <v>43</v>
      </c>
      <c r="O1137" s="66"/>
      <c r="P1137" s="190">
        <f>O1137*H1137</f>
        <v>0</v>
      </c>
      <c r="Q1137" s="190">
        <v>3.1E-4</v>
      </c>
      <c r="R1137" s="190">
        <f>Q1137*H1137</f>
        <v>0.43341534000000004</v>
      </c>
      <c r="S1137" s="190">
        <v>0</v>
      </c>
      <c r="T1137" s="191">
        <f>S1137*H1137</f>
        <v>0</v>
      </c>
      <c r="U1137" s="36"/>
      <c r="V1137" s="36"/>
      <c r="W1137" s="36"/>
      <c r="X1137" s="36"/>
      <c r="Y1137" s="36"/>
      <c r="Z1137" s="36"/>
      <c r="AA1137" s="36"/>
      <c r="AB1137" s="36"/>
      <c r="AC1137" s="36"/>
      <c r="AD1137" s="36"/>
      <c r="AE1137" s="36"/>
      <c r="AR1137" s="192" t="s">
        <v>546</v>
      </c>
      <c r="AT1137" s="192" t="s">
        <v>465</v>
      </c>
      <c r="AU1137" s="192" t="s">
        <v>82</v>
      </c>
      <c r="AY1137" s="19" t="s">
        <v>380</v>
      </c>
      <c r="BE1137" s="193">
        <f>IF(N1137="základní",J1137,0)</f>
        <v>0</v>
      </c>
      <c r="BF1137" s="193">
        <f>IF(N1137="snížená",J1137,0)</f>
        <v>0</v>
      </c>
      <c r="BG1137" s="193">
        <f>IF(N1137="zákl. přenesená",J1137,0)</f>
        <v>0</v>
      </c>
      <c r="BH1137" s="193">
        <f>IF(N1137="sníž. přenesená",J1137,0)</f>
        <v>0</v>
      </c>
      <c r="BI1137" s="193">
        <f>IF(N1137="nulová",J1137,0)</f>
        <v>0</v>
      </c>
      <c r="BJ1137" s="19" t="s">
        <v>79</v>
      </c>
      <c r="BK1137" s="193">
        <f>ROUND(I1137*H1137,2)</f>
        <v>0</v>
      </c>
      <c r="BL1137" s="19" t="s">
        <v>281</v>
      </c>
      <c r="BM1137" s="192" t="s">
        <v>1546</v>
      </c>
    </row>
    <row r="1138" spans="1:65" s="14" customFormat="1" ht="11.25">
      <c r="B1138" s="205"/>
      <c r="C1138" s="206"/>
      <c r="D1138" s="196" t="s">
        <v>388</v>
      </c>
      <c r="E1138" s="207" t="s">
        <v>19</v>
      </c>
      <c r="F1138" s="208" t="s">
        <v>1547</v>
      </c>
      <c r="G1138" s="206"/>
      <c r="H1138" s="209">
        <v>1398.114</v>
      </c>
      <c r="I1138" s="210"/>
      <c r="J1138" s="206"/>
      <c r="K1138" s="206"/>
      <c r="L1138" s="211"/>
      <c r="M1138" s="212"/>
      <c r="N1138" s="213"/>
      <c r="O1138" s="213"/>
      <c r="P1138" s="213"/>
      <c r="Q1138" s="213"/>
      <c r="R1138" s="213"/>
      <c r="S1138" s="213"/>
      <c r="T1138" s="214"/>
      <c r="AT1138" s="215" t="s">
        <v>388</v>
      </c>
      <c r="AU1138" s="215" t="s">
        <v>82</v>
      </c>
      <c r="AV1138" s="14" t="s">
        <v>82</v>
      </c>
      <c r="AW1138" s="14" t="s">
        <v>33</v>
      </c>
      <c r="AX1138" s="14" t="s">
        <v>79</v>
      </c>
      <c r="AY1138" s="215" t="s">
        <v>380</v>
      </c>
    </row>
    <row r="1139" spans="1:65" s="2" customFormat="1" ht="16.5" customHeight="1">
      <c r="A1139" s="36"/>
      <c r="B1139" s="37"/>
      <c r="C1139" s="227" t="s">
        <v>1548</v>
      </c>
      <c r="D1139" s="227" t="s">
        <v>465</v>
      </c>
      <c r="E1139" s="228" t="s">
        <v>1549</v>
      </c>
      <c r="F1139" s="229" t="s">
        <v>1550</v>
      </c>
      <c r="G1139" s="230" t="s">
        <v>398</v>
      </c>
      <c r="H1139" s="231">
        <v>857.92200000000003</v>
      </c>
      <c r="I1139" s="232"/>
      <c r="J1139" s="233">
        <f>ROUND(I1139*H1139,2)</f>
        <v>0</v>
      </c>
      <c r="K1139" s="229" t="s">
        <v>399</v>
      </c>
      <c r="L1139" s="234"/>
      <c r="M1139" s="235" t="s">
        <v>19</v>
      </c>
      <c r="N1139" s="236" t="s">
        <v>43</v>
      </c>
      <c r="O1139" s="66"/>
      <c r="P1139" s="190">
        <f>O1139*H1139</f>
        <v>0</v>
      </c>
      <c r="Q1139" s="190">
        <v>4.6000000000000001E-4</v>
      </c>
      <c r="R1139" s="190">
        <f>Q1139*H1139</f>
        <v>0.39464412000000004</v>
      </c>
      <c r="S1139" s="190">
        <v>0</v>
      </c>
      <c r="T1139" s="191">
        <f>S1139*H1139</f>
        <v>0</v>
      </c>
      <c r="U1139" s="36"/>
      <c r="V1139" s="36"/>
      <c r="W1139" s="36"/>
      <c r="X1139" s="36"/>
      <c r="Y1139" s="36"/>
      <c r="Z1139" s="36"/>
      <c r="AA1139" s="36"/>
      <c r="AB1139" s="36"/>
      <c r="AC1139" s="36"/>
      <c r="AD1139" s="36"/>
      <c r="AE1139" s="36"/>
      <c r="AR1139" s="192" t="s">
        <v>546</v>
      </c>
      <c r="AT1139" s="192" t="s">
        <v>465</v>
      </c>
      <c r="AU1139" s="192" t="s">
        <v>82</v>
      </c>
      <c r="AY1139" s="19" t="s">
        <v>380</v>
      </c>
      <c r="BE1139" s="193">
        <f>IF(N1139="základní",J1139,0)</f>
        <v>0</v>
      </c>
      <c r="BF1139" s="193">
        <f>IF(N1139="snížená",J1139,0)</f>
        <v>0</v>
      </c>
      <c r="BG1139" s="193">
        <f>IF(N1139="zákl. přenesená",J1139,0)</f>
        <v>0</v>
      </c>
      <c r="BH1139" s="193">
        <f>IF(N1139="sníž. přenesená",J1139,0)</f>
        <v>0</v>
      </c>
      <c r="BI1139" s="193">
        <f>IF(N1139="nulová",J1139,0)</f>
        <v>0</v>
      </c>
      <c r="BJ1139" s="19" t="s">
        <v>79</v>
      </c>
      <c r="BK1139" s="193">
        <f>ROUND(I1139*H1139,2)</f>
        <v>0</v>
      </c>
      <c r="BL1139" s="19" t="s">
        <v>281</v>
      </c>
      <c r="BM1139" s="192" t="s">
        <v>1551</v>
      </c>
    </row>
    <row r="1140" spans="1:65" s="14" customFormat="1" ht="11.25">
      <c r="B1140" s="205"/>
      <c r="C1140" s="206"/>
      <c r="D1140" s="196" t="s">
        <v>388</v>
      </c>
      <c r="E1140" s="207" t="s">
        <v>19</v>
      </c>
      <c r="F1140" s="208" t="s">
        <v>1552</v>
      </c>
      <c r="G1140" s="206"/>
      <c r="H1140" s="209">
        <v>857.92200000000003</v>
      </c>
      <c r="I1140" s="210"/>
      <c r="J1140" s="206"/>
      <c r="K1140" s="206"/>
      <c r="L1140" s="211"/>
      <c r="M1140" s="212"/>
      <c r="N1140" s="213"/>
      <c r="O1140" s="213"/>
      <c r="P1140" s="213"/>
      <c r="Q1140" s="213"/>
      <c r="R1140" s="213"/>
      <c r="S1140" s="213"/>
      <c r="T1140" s="214"/>
      <c r="AT1140" s="215" t="s">
        <v>388</v>
      </c>
      <c r="AU1140" s="215" t="s">
        <v>82</v>
      </c>
      <c r="AV1140" s="14" t="s">
        <v>82</v>
      </c>
      <c r="AW1140" s="14" t="s">
        <v>33</v>
      </c>
      <c r="AX1140" s="14" t="s">
        <v>79</v>
      </c>
      <c r="AY1140" s="215" t="s">
        <v>380</v>
      </c>
    </row>
    <row r="1141" spans="1:65" s="2" customFormat="1" ht="24.2" customHeight="1">
      <c r="A1141" s="36"/>
      <c r="B1141" s="37"/>
      <c r="C1141" s="227" t="s">
        <v>1553</v>
      </c>
      <c r="D1141" s="227" t="s">
        <v>465</v>
      </c>
      <c r="E1141" s="228" t="s">
        <v>1554</v>
      </c>
      <c r="F1141" s="229" t="s">
        <v>1555</v>
      </c>
      <c r="G1141" s="230" t="s">
        <v>398</v>
      </c>
      <c r="H1141" s="231">
        <v>976.14</v>
      </c>
      <c r="I1141" s="232"/>
      <c r="J1141" s="233">
        <f>ROUND(I1141*H1141,2)</f>
        <v>0</v>
      </c>
      <c r="K1141" s="229" t="s">
        <v>19</v>
      </c>
      <c r="L1141" s="234"/>
      <c r="M1141" s="235" t="s">
        <v>19</v>
      </c>
      <c r="N1141" s="236" t="s">
        <v>43</v>
      </c>
      <c r="O1141" s="66"/>
      <c r="P1141" s="190">
        <f>O1141*H1141</f>
        <v>0</v>
      </c>
      <c r="Q1141" s="190">
        <v>2.3999999999999998E-3</v>
      </c>
      <c r="R1141" s="190">
        <f>Q1141*H1141</f>
        <v>2.3427359999999999</v>
      </c>
      <c r="S1141" s="190">
        <v>0</v>
      </c>
      <c r="T1141" s="191">
        <f>S1141*H1141</f>
        <v>0</v>
      </c>
      <c r="U1141" s="36"/>
      <c r="V1141" s="36"/>
      <c r="W1141" s="36"/>
      <c r="X1141" s="36"/>
      <c r="Y1141" s="36"/>
      <c r="Z1141" s="36"/>
      <c r="AA1141" s="36"/>
      <c r="AB1141" s="36"/>
      <c r="AC1141" s="36"/>
      <c r="AD1141" s="36"/>
      <c r="AE1141" s="36"/>
      <c r="AR1141" s="192" t="s">
        <v>546</v>
      </c>
      <c r="AT1141" s="192" t="s">
        <v>465</v>
      </c>
      <c r="AU1141" s="192" t="s">
        <v>82</v>
      </c>
      <c r="AY1141" s="19" t="s">
        <v>380</v>
      </c>
      <c r="BE1141" s="193">
        <f>IF(N1141="základní",J1141,0)</f>
        <v>0</v>
      </c>
      <c r="BF1141" s="193">
        <f>IF(N1141="snížená",J1141,0)</f>
        <v>0</v>
      </c>
      <c r="BG1141" s="193">
        <f>IF(N1141="zákl. přenesená",J1141,0)</f>
        <v>0</v>
      </c>
      <c r="BH1141" s="193">
        <f>IF(N1141="sníž. přenesená",J1141,0)</f>
        <v>0</v>
      </c>
      <c r="BI1141" s="193">
        <f>IF(N1141="nulová",J1141,0)</f>
        <v>0</v>
      </c>
      <c r="BJ1141" s="19" t="s">
        <v>79</v>
      </c>
      <c r="BK1141" s="193">
        <f>ROUND(I1141*H1141,2)</f>
        <v>0</v>
      </c>
      <c r="BL1141" s="19" t="s">
        <v>281</v>
      </c>
      <c r="BM1141" s="192" t="s">
        <v>1556</v>
      </c>
    </row>
    <row r="1142" spans="1:65" s="14" customFormat="1" ht="11.25">
      <c r="B1142" s="205"/>
      <c r="C1142" s="206"/>
      <c r="D1142" s="196" t="s">
        <v>388</v>
      </c>
      <c r="E1142" s="207" t="s">
        <v>19</v>
      </c>
      <c r="F1142" s="208" t="s">
        <v>1557</v>
      </c>
      <c r="G1142" s="206"/>
      <c r="H1142" s="209">
        <v>976.14</v>
      </c>
      <c r="I1142" s="210"/>
      <c r="J1142" s="206"/>
      <c r="K1142" s="206"/>
      <c r="L1142" s="211"/>
      <c r="M1142" s="212"/>
      <c r="N1142" s="213"/>
      <c r="O1142" s="213"/>
      <c r="P1142" s="213"/>
      <c r="Q1142" s="213"/>
      <c r="R1142" s="213"/>
      <c r="S1142" s="213"/>
      <c r="T1142" s="214"/>
      <c r="AT1142" s="215" t="s">
        <v>388</v>
      </c>
      <c r="AU1142" s="215" t="s">
        <v>82</v>
      </c>
      <c r="AV1142" s="14" t="s">
        <v>82</v>
      </c>
      <c r="AW1142" s="14" t="s">
        <v>33</v>
      </c>
      <c r="AX1142" s="14" t="s">
        <v>79</v>
      </c>
      <c r="AY1142" s="215" t="s">
        <v>380</v>
      </c>
    </row>
    <row r="1143" spans="1:65" s="2" customFormat="1" ht="16.5" customHeight="1">
      <c r="A1143" s="36"/>
      <c r="B1143" s="37"/>
      <c r="C1143" s="227" t="s">
        <v>1558</v>
      </c>
      <c r="D1143" s="227" t="s">
        <v>465</v>
      </c>
      <c r="E1143" s="228" t="s">
        <v>1559</v>
      </c>
      <c r="F1143" s="229" t="s">
        <v>1560</v>
      </c>
      <c r="G1143" s="230" t="s">
        <v>398</v>
      </c>
      <c r="H1143" s="231">
        <v>86.382999999999996</v>
      </c>
      <c r="I1143" s="232"/>
      <c r="J1143" s="233">
        <f>ROUND(I1143*H1143,2)</f>
        <v>0</v>
      </c>
      <c r="K1143" s="229" t="s">
        <v>399</v>
      </c>
      <c r="L1143" s="234"/>
      <c r="M1143" s="235" t="s">
        <v>19</v>
      </c>
      <c r="N1143" s="236" t="s">
        <v>43</v>
      </c>
      <c r="O1143" s="66"/>
      <c r="P1143" s="190">
        <f>O1143*H1143</f>
        <v>0</v>
      </c>
      <c r="Q1143" s="190">
        <v>8.4999999999999995E-4</v>
      </c>
      <c r="R1143" s="190">
        <f>Q1143*H1143</f>
        <v>7.3425549999999992E-2</v>
      </c>
      <c r="S1143" s="190">
        <v>0</v>
      </c>
      <c r="T1143" s="191">
        <f>S1143*H1143</f>
        <v>0</v>
      </c>
      <c r="U1143" s="36"/>
      <c r="V1143" s="36"/>
      <c r="W1143" s="36"/>
      <c r="X1143" s="36"/>
      <c r="Y1143" s="36"/>
      <c r="Z1143" s="36"/>
      <c r="AA1143" s="36"/>
      <c r="AB1143" s="36"/>
      <c r="AC1143" s="36"/>
      <c r="AD1143" s="36"/>
      <c r="AE1143" s="36"/>
      <c r="AR1143" s="192" t="s">
        <v>546</v>
      </c>
      <c r="AT1143" s="192" t="s">
        <v>465</v>
      </c>
      <c r="AU1143" s="192" t="s">
        <v>82</v>
      </c>
      <c r="AY1143" s="19" t="s">
        <v>380</v>
      </c>
      <c r="BE1143" s="193">
        <f>IF(N1143="základní",J1143,0)</f>
        <v>0</v>
      </c>
      <c r="BF1143" s="193">
        <f>IF(N1143="snížená",J1143,0)</f>
        <v>0</v>
      </c>
      <c r="BG1143" s="193">
        <f>IF(N1143="zákl. přenesená",J1143,0)</f>
        <v>0</v>
      </c>
      <c r="BH1143" s="193">
        <f>IF(N1143="sníž. přenesená",J1143,0)</f>
        <v>0</v>
      </c>
      <c r="BI1143" s="193">
        <f>IF(N1143="nulová",J1143,0)</f>
        <v>0</v>
      </c>
      <c r="BJ1143" s="19" t="s">
        <v>79</v>
      </c>
      <c r="BK1143" s="193">
        <f>ROUND(I1143*H1143,2)</f>
        <v>0</v>
      </c>
      <c r="BL1143" s="19" t="s">
        <v>281</v>
      </c>
      <c r="BM1143" s="192" t="s">
        <v>1561</v>
      </c>
    </row>
    <row r="1144" spans="1:65" s="13" customFormat="1" ht="11.25">
      <c r="B1144" s="194"/>
      <c r="C1144" s="195"/>
      <c r="D1144" s="196" t="s">
        <v>388</v>
      </c>
      <c r="E1144" s="197" t="s">
        <v>19</v>
      </c>
      <c r="F1144" s="198" t="s">
        <v>1536</v>
      </c>
      <c r="G1144" s="195"/>
      <c r="H1144" s="197" t="s">
        <v>19</v>
      </c>
      <c r="I1144" s="199"/>
      <c r="J1144" s="195"/>
      <c r="K1144" s="195"/>
      <c r="L1144" s="200"/>
      <c r="M1144" s="201"/>
      <c r="N1144" s="202"/>
      <c r="O1144" s="202"/>
      <c r="P1144" s="202"/>
      <c r="Q1144" s="202"/>
      <c r="R1144" s="202"/>
      <c r="S1144" s="202"/>
      <c r="T1144" s="203"/>
      <c r="AT1144" s="204" t="s">
        <v>388</v>
      </c>
      <c r="AU1144" s="204" t="s">
        <v>82</v>
      </c>
      <c r="AV1144" s="13" t="s">
        <v>79</v>
      </c>
      <c r="AW1144" s="13" t="s">
        <v>33</v>
      </c>
      <c r="AX1144" s="13" t="s">
        <v>72</v>
      </c>
      <c r="AY1144" s="204" t="s">
        <v>380</v>
      </c>
    </row>
    <row r="1145" spans="1:65" s="14" customFormat="1" ht="11.25">
      <c r="B1145" s="205"/>
      <c r="C1145" s="206"/>
      <c r="D1145" s="196" t="s">
        <v>388</v>
      </c>
      <c r="E1145" s="207" t="s">
        <v>19</v>
      </c>
      <c r="F1145" s="208" t="s">
        <v>1562</v>
      </c>
      <c r="G1145" s="206"/>
      <c r="H1145" s="209">
        <v>86.382999999999996</v>
      </c>
      <c r="I1145" s="210"/>
      <c r="J1145" s="206"/>
      <c r="K1145" s="206"/>
      <c r="L1145" s="211"/>
      <c r="M1145" s="212"/>
      <c r="N1145" s="213"/>
      <c r="O1145" s="213"/>
      <c r="P1145" s="213"/>
      <c r="Q1145" s="213"/>
      <c r="R1145" s="213"/>
      <c r="S1145" s="213"/>
      <c r="T1145" s="214"/>
      <c r="AT1145" s="215" t="s">
        <v>388</v>
      </c>
      <c r="AU1145" s="215" t="s">
        <v>82</v>
      </c>
      <c r="AV1145" s="14" t="s">
        <v>82</v>
      </c>
      <c r="AW1145" s="14" t="s">
        <v>33</v>
      </c>
      <c r="AX1145" s="14" t="s">
        <v>79</v>
      </c>
      <c r="AY1145" s="215" t="s">
        <v>380</v>
      </c>
    </row>
    <row r="1146" spans="1:65" s="2" customFormat="1" ht="21.75" customHeight="1">
      <c r="A1146" s="36"/>
      <c r="B1146" s="37"/>
      <c r="C1146" s="181" t="s">
        <v>1563</v>
      </c>
      <c r="D1146" s="181" t="s">
        <v>382</v>
      </c>
      <c r="E1146" s="182" t="s">
        <v>1564</v>
      </c>
      <c r="F1146" s="183" t="s">
        <v>1565</v>
      </c>
      <c r="G1146" s="184" t="s">
        <v>398</v>
      </c>
      <c r="H1146" s="185">
        <v>1280.0619999999999</v>
      </c>
      <c r="I1146" s="186"/>
      <c r="J1146" s="187">
        <f>ROUND(I1146*H1146,2)</f>
        <v>0</v>
      </c>
      <c r="K1146" s="183" t="s">
        <v>19</v>
      </c>
      <c r="L1146" s="41"/>
      <c r="M1146" s="188" t="s">
        <v>19</v>
      </c>
      <c r="N1146" s="189" t="s">
        <v>43</v>
      </c>
      <c r="O1146" s="66"/>
      <c r="P1146" s="190">
        <f>O1146*H1146</f>
        <v>0</v>
      </c>
      <c r="Q1146" s="190">
        <v>2.9999999999999997E-4</v>
      </c>
      <c r="R1146" s="190">
        <f>Q1146*H1146</f>
        <v>0.38401859999999993</v>
      </c>
      <c r="S1146" s="190">
        <v>0</v>
      </c>
      <c r="T1146" s="191">
        <f>S1146*H1146</f>
        <v>0</v>
      </c>
      <c r="U1146" s="36"/>
      <c r="V1146" s="36"/>
      <c r="W1146" s="36"/>
      <c r="X1146" s="36"/>
      <c r="Y1146" s="36"/>
      <c r="Z1146" s="36"/>
      <c r="AA1146" s="36"/>
      <c r="AB1146" s="36"/>
      <c r="AC1146" s="36"/>
      <c r="AD1146" s="36"/>
      <c r="AE1146" s="36"/>
      <c r="AR1146" s="192" t="s">
        <v>281</v>
      </c>
      <c r="AT1146" s="192" t="s">
        <v>382</v>
      </c>
      <c r="AU1146" s="192" t="s">
        <v>82</v>
      </c>
      <c r="AY1146" s="19" t="s">
        <v>380</v>
      </c>
      <c r="BE1146" s="193">
        <f>IF(N1146="základní",J1146,0)</f>
        <v>0</v>
      </c>
      <c r="BF1146" s="193">
        <f>IF(N1146="snížená",J1146,0)</f>
        <v>0</v>
      </c>
      <c r="BG1146" s="193">
        <f>IF(N1146="zákl. přenesená",J1146,0)</f>
        <v>0</v>
      </c>
      <c r="BH1146" s="193">
        <f>IF(N1146="sníž. přenesená",J1146,0)</f>
        <v>0</v>
      </c>
      <c r="BI1146" s="193">
        <f>IF(N1146="nulová",J1146,0)</f>
        <v>0</v>
      </c>
      <c r="BJ1146" s="19" t="s">
        <v>79</v>
      </c>
      <c r="BK1146" s="193">
        <f>ROUND(I1146*H1146,2)</f>
        <v>0</v>
      </c>
      <c r="BL1146" s="19" t="s">
        <v>281</v>
      </c>
      <c r="BM1146" s="192" t="s">
        <v>1566</v>
      </c>
    </row>
    <row r="1147" spans="1:65" s="13" customFormat="1" ht="11.25">
      <c r="B1147" s="194"/>
      <c r="C1147" s="195"/>
      <c r="D1147" s="196" t="s">
        <v>388</v>
      </c>
      <c r="E1147" s="197" t="s">
        <v>19</v>
      </c>
      <c r="F1147" s="198" t="s">
        <v>1567</v>
      </c>
      <c r="G1147" s="195"/>
      <c r="H1147" s="197" t="s">
        <v>19</v>
      </c>
      <c r="I1147" s="199"/>
      <c r="J1147" s="195"/>
      <c r="K1147" s="195"/>
      <c r="L1147" s="200"/>
      <c r="M1147" s="201"/>
      <c r="N1147" s="202"/>
      <c r="O1147" s="202"/>
      <c r="P1147" s="202"/>
      <c r="Q1147" s="202"/>
      <c r="R1147" s="202"/>
      <c r="S1147" s="202"/>
      <c r="T1147" s="203"/>
      <c r="AT1147" s="204" t="s">
        <v>388</v>
      </c>
      <c r="AU1147" s="204" t="s">
        <v>82</v>
      </c>
      <c r="AV1147" s="13" t="s">
        <v>79</v>
      </c>
      <c r="AW1147" s="13" t="s">
        <v>33</v>
      </c>
      <c r="AX1147" s="13" t="s">
        <v>72</v>
      </c>
      <c r="AY1147" s="204" t="s">
        <v>380</v>
      </c>
    </row>
    <row r="1148" spans="1:65" s="13" customFormat="1" ht="11.25">
      <c r="B1148" s="194"/>
      <c r="C1148" s="195"/>
      <c r="D1148" s="196" t="s">
        <v>388</v>
      </c>
      <c r="E1148" s="197" t="s">
        <v>19</v>
      </c>
      <c r="F1148" s="198" t="s">
        <v>1170</v>
      </c>
      <c r="G1148" s="195"/>
      <c r="H1148" s="197" t="s">
        <v>19</v>
      </c>
      <c r="I1148" s="199"/>
      <c r="J1148" s="195"/>
      <c r="K1148" s="195"/>
      <c r="L1148" s="200"/>
      <c r="M1148" s="201"/>
      <c r="N1148" s="202"/>
      <c r="O1148" s="202"/>
      <c r="P1148" s="202"/>
      <c r="Q1148" s="202"/>
      <c r="R1148" s="202"/>
      <c r="S1148" s="202"/>
      <c r="T1148" s="203"/>
      <c r="AT1148" s="204" t="s">
        <v>388</v>
      </c>
      <c r="AU1148" s="204" t="s">
        <v>82</v>
      </c>
      <c r="AV1148" s="13" t="s">
        <v>79</v>
      </c>
      <c r="AW1148" s="13" t="s">
        <v>33</v>
      </c>
      <c r="AX1148" s="13" t="s">
        <v>72</v>
      </c>
      <c r="AY1148" s="204" t="s">
        <v>380</v>
      </c>
    </row>
    <row r="1149" spans="1:65" s="13" customFormat="1" ht="11.25">
      <c r="B1149" s="194"/>
      <c r="C1149" s="195"/>
      <c r="D1149" s="196" t="s">
        <v>388</v>
      </c>
      <c r="E1149" s="197" t="s">
        <v>19</v>
      </c>
      <c r="F1149" s="198" t="s">
        <v>1228</v>
      </c>
      <c r="G1149" s="195"/>
      <c r="H1149" s="197" t="s">
        <v>19</v>
      </c>
      <c r="I1149" s="199"/>
      <c r="J1149" s="195"/>
      <c r="K1149" s="195"/>
      <c r="L1149" s="200"/>
      <c r="M1149" s="201"/>
      <c r="N1149" s="202"/>
      <c r="O1149" s="202"/>
      <c r="P1149" s="202"/>
      <c r="Q1149" s="202"/>
      <c r="R1149" s="202"/>
      <c r="S1149" s="202"/>
      <c r="T1149" s="203"/>
      <c r="AT1149" s="204" t="s">
        <v>388</v>
      </c>
      <c r="AU1149" s="204" t="s">
        <v>82</v>
      </c>
      <c r="AV1149" s="13" t="s">
        <v>79</v>
      </c>
      <c r="AW1149" s="13" t="s">
        <v>33</v>
      </c>
      <c r="AX1149" s="13" t="s">
        <v>72</v>
      </c>
      <c r="AY1149" s="204" t="s">
        <v>380</v>
      </c>
    </row>
    <row r="1150" spans="1:65" s="14" customFormat="1" ht="11.25">
      <c r="B1150" s="205"/>
      <c r="C1150" s="206"/>
      <c r="D1150" s="196" t="s">
        <v>388</v>
      </c>
      <c r="E1150" s="207" t="s">
        <v>19</v>
      </c>
      <c r="F1150" s="208" t="s">
        <v>1229</v>
      </c>
      <c r="G1150" s="206"/>
      <c r="H1150" s="209">
        <v>283.83800000000002</v>
      </c>
      <c r="I1150" s="210"/>
      <c r="J1150" s="206"/>
      <c r="K1150" s="206"/>
      <c r="L1150" s="211"/>
      <c r="M1150" s="212"/>
      <c r="N1150" s="213"/>
      <c r="O1150" s="213"/>
      <c r="P1150" s="213"/>
      <c r="Q1150" s="213"/>
      <c r="R1150" s="213"/>
      <c r="S1150" s="213"/>
      <c r="T1150" s="214"/>
      <c r="AT1150" s="215" t="s">
        <v>388</v>
      </c>
      <c r="AU1150" s="215" t="s">
        <v>82</v>
      </c>
      <c r="AV1150" s="14" t="s">
        <v>82</v>
      </c>
      <c r="AW1150" s="14" t="s">
        <v>33</v>
      </c>
      <c r="AX1150" s="14" t="s">
        <v>72</v>
      </c>
      <c r="AY1150" s="215" t="s">
        <v>380</v>
      </c>
    </row>
    <row r="1151" spans="1:65" s="14" customFormat="1" ht="11.25">
      <c r="B1151" s="205"/>
      <c r="C1151" s="206"/>
      <c r="D1151" s="196" t="s">
        <v>388</v>
      </c>
      <c r="E1151" s="207" t="s">
        <v>19</v>
      </c>
      <c r="F1151" s="208" t="s">
        <v>1568</v>
      </c>
      <c r="G1151" s="206"/>
      <c r="H1151" s="209">
        <v>-5.7</v>
      </c>
      <c r="I1151" s="210"/>
      <c r="J1151" s="206"/>
      <c r="K1151" s="206"/>
      <c r="L1151" s="211"/>
      <c r="M1151" s="212"/>
      <c r="N1151" s="213"/>
      <c r="O1151" s="213"/>
      <c r="P1151" s="213"/>
      <c r="Q1151" s="213"/>
      <c r="R1151" s="213"/>
      <c r="S1151" s="213"/>
      <c r="T1151" s="214"/>
      <c r="AT1151" s="215" t="s">
        <v>388</v>
      </c>
      <c r="AU1151" s="215" t="s">
        <v>82</v>
      </c>
      <c r="AV1151" s="14" t="s">
        <v>82</v>
      </c>
      <c r="AW1151" s="14" t="s">
        <v>33</v>
      </c>
      <c r="AX1151" s="14" t="s">
        <v>72</v>
      </c>
      <c r="AY1151" s="215" t="s">
        <v>380</v>
      </c>
    </row>
    <row r="1152" spans="1:65" s="13" customFormat="1" ht="11.25">
      <c r="B1152" s="194"/>
      <c r="C1152" s="195"/>
      <c r="D1152" s="196" t="s">
        <v>388</v>
      </c>
      <c r="E1152" s="197" t="s">
        <v>19</v>
      </c>
      <c r="F1152" s="198" t="s">
        <v>1230</v>
      </c>
      <c r="G1152" s="195"/>
      <c r="H1152" s="197" t="s">
        <v>19</v>
      </c>
      <c r="I1152" s="199"/>
      <c r="J1152" s="195"/>
      <c r="K1152" s="195"/>
      <c r="L1152" s="200"/>
      <c r="M1152" s="201"/>
      <c r="N1152" s="202"/>
      <c r="O1152" s="202"/>
      <c r="P1152" s="202"/>
      <c r="Q1152" s="202"/>
      <c r="R1152" s="202"/>
      <c r="S1152" s="202"/>
      <c r="T1152" s="203"/>
      <c r="AT1152" s="204" t="s">
        <v>388</v>
      </c>
      <c r="AU1152" s="204" t="s">
        <v>82</v>
      </c>
      <c r="AV1152" s="13" t="s">
        <v>79</v>
      </c>
      <c r="AW1152" s="13" t="s">
        <v>33</v>
      </c>
      <c r="AX1152" s="13" t="s">
        <v>72</v>
      </c>
      <c r="AY1152" s="204" t="s">
        <v>380</v>
      </c>
    </row>
    <row r="1153" spans="2:51" s="14" customFormat="1" ht="11.25">
      <c r="B1153" s="205"/>
      <c r="C1153" s="206"/>
      <c r="D1153" s="196" t="s">
        <v>388</v>
      </c>
      <c r="E1153" s="207" t="s">
        <v>19</v>
      </c>
      <c r="F1153" s="208" t="s">
        <v>1229</v>
      </c>
      <c r="G1153" s="206"/>
      <c r="H1153" s="209">
        <v>283.83800000000002</v>
      </c>
      <c r="I1153" s="210"/>
      <c r="J1153" s="206"/>
      <c r="K1153" s="206"/>
      <c r="L1153" s="211"/>
      <c r="M1153" s="212"/>
      <c r="N1153" s="213"/>
      <c r="O1153" s="213"/>
      <c r="P1153" s="213"/>
      <c r="Q1153" s="213"/>
      <c r="R1153" s="213"/>
      <c r="S1153" s="213"/>
      <c r="T1153" s="214"/>
      <c r="AT1153" s="215" t="s">
        <v>388</v>
      </c>
      <c r="AU1153" s="215" t="s">
        <v>82</v>
      </c>
      <c r="AV1153" s="14" t="s">
        <v>82</v>
      </c>
      <c r="AW1153" s="14" t="s">
        <v>33</v>
      </c>
      <c r="AX1153" s="14" t="s">
        <v>72</v>
      </c>
      <c r="AY1153" s="215" t="s">
        <v>380</v>
      </c>
    </row>
    <row r="1154" spans="2:51" s="14" customFormat="1" ht="11.25">
      <c r="B1154" s="205"/>
      <c r="C1154" s="206"/>
      <c r="D1154" s="196" t="s">
        <v>388</v>
      </c>
      <c r="E1154" s="207" t="s">
        <v>19</v>
      </c>
      <c r="F1154" s="208" t="s">
        <v>1568</v>
      </c>
      <c r="G1154" s="206"/>
      <c r="H1154" s="209">
        <v>-5.7</v>
      </c>
      <c r="I1154" s="210"/>
      <c r="J1154" s="206"/>
      <c r="K1154" s="206"/>
      <c r="L1154" s="211"/>
      <c r="M1154" s="212"/>
      <c r="N1154" s="213"/>
      <c r="O1154" s="213"/>
      <c r="P1154" s="213"/>
      <c r="Q1154" s="213"/>
      <c r="R1154" s="213"/>
      <c r="S1154" s="213"/>
      <c r="T1154" s="214"/>
      <c r="AT1154" s="215" t="s">
        <v>388</v>
      </c>
      <c r="AU1154" s="215" t="s">
        <v>82</v>
      </c>
      <c r="AV1154" s="14" t="s">
        <v>82</v>
      </c>
      <c r="AW1154" s="14" t="s">
        <v>33</v>
      </c>
      <c r="AX1154" s="14" t="s">
        <v>72</v>
      </c>
      <c r="AY1154" s="215" t="s">
        <v>380</v>
      </c>
    </row>
    <row r="1155" spans="2:51" s="13" customFormat="1" ht="11.25">
      <c r="B1155" s="194"/>
      <c r="C1155" s="195"/>
      <c r="D1155" s="196" t="s">
        <v>388</v>
      </c>
      <c r="E1155" s="197" t="s">
        <v>19</v>
      </c>
      <c r="F1155" s="198" t="s">
        <v>1171</v>
      </c>
      <c r="G1155" s="195"/>
      <c r="H1155" s="197" t="s">
        <v>19</v>
      </c>
      <c r="I1155" s="199"/>
      <c r="J1155" s="195"/>
      <c r="K1155" s="195"/>
      <c r="L1155" s="200"/>
      <c r="M1155" s="201"/>
      <c r="N1155" s="202"/>
      <c r="O1155" s="202"/>
      <c r="P1155" s="202"/>
      <c r="Q1155" s="202"/>
      <c r="R1155" s="202"/>
      <c r="S1155" s="202"/>
      <c r="T1155" s="203"/>
      <c r="AT1155" s="204" t="s">
        <v>388</v>
      </c>
      <c r="AU1155" s="204" t="s">
        <v>82</v>
      </c>
      <c r="AV1155" s="13" t="s">
        <v>79</v>
      </c>
      <c r="AW1155" s="13" t="s">
        <v>33</v>
      </c>
      <c r="AX1155" s="13" t="s">
        <v>72</v>
      </c>
      <c r="AY1155" s="204" t="s">
        <v>380</v>
      </c>
    </row>
    <row r="1156" spans="2:51" s="14" customFormat="1" ht="11.25">
      <c r="B1156" s="205"/>
      <c r="C1156" s="206"/>
      <c r="D1156" s="196" t="s">
        <v>388</v>
      </c>
      <c r="E1156" s="207" t="s">
        <v>19</v>
      </c>
      <c r="F1156" s="208" t="s">
        <v>1231</v>
      </c>
      <c r="G1156" s="206"/>
      <c r="H1156" s="209">
        <v>239.376</v>
      </c>
      <c r="I1156" s="210"/>
      <c r="J1156" s="206"/>
      <c r="K1156" s="206"/>
      <c r="L1156" s="211"/>
      <c r="M1156" s="212"/>
      <c r="N1156" s="213"/>
      <c r="O1156" s="213"/>
      <c r="P1156" s="213"/>
      <c r="Q1156" s="213"/>
      <c r="R1156" s="213"/>
      <c r="S1156" s="213"/>
      <c r="T1156" s="214"/>
      <c r="AT1156" s="215" t="s">
        <v>388</v>
      </c>
      <c r="AU1156" s="215" t="s">
        <v>82</v>
      </c>
      <c r="AV1156" s="14" t="s">
        <v>82</v>
      </c>
      <c r="AW1156" s="14" t="s">
        <v>33</v>
      </c>
      <c r="AX1156" s="14" t="s">
        <v>72</v>
      </c>
      <c r="AY1156" s="215" t="s">
        <v>380</v>
      </c>
    </row>
    <row r="1157" spans="2:51" s="14" customFormat="1" ht="11.25">
      <c r="B1157" s="205"/>
      <c r="C1157" s="206"/>
      <c r="D1157" s="196" t="s">
        <v>388</v>
      </c>
      <c r="E1157" s="207" t="s">
        <v>19</v>
      </c>
      <c r="F1157" s="208" t="s">
        <v>1569</v>
      </c>
      <c r="G1157" s="206"/>
      <c r="H1157" s="209">
        <v>-21.355</v>
      </c>
      <c r="I1157" s="210"/>
      <c r="J1157" s="206"/>
      <c r="K1157" s="206"/>
      <c r="L1157" s="211"/>
      <c r="M1157" s="212"/>
      <c r="N1157" s="213"/>
      <c r="O1157" s="213"/>
      <c r="P1157" s="213"/>
      <c r="Q1157" s="213"/>
      <c r="R1157" s="213"/>
      <c r="S1157" s="213"/>
      <c r="T1157" s="214"/>
      <c r="AT1157" s="215" t="s">
        <v>388</v>
      </c>
      <c r="AU1157" s="215" t="s">
        <v>82</v>
      </c>
      <c r="AV1157" s="14" t="s">
        <v>82</v>
      </c>
      <c r="AW1157" s="14" t="s">
        <v>33</v>
      </c>
      <c r="AX1157" s="14" t="s">
        <v>72</v>
      </c>
      <c r="AY1157" s="215" t="s">
        <v>380</v>
      </c>
    </row>
    <row r="1158" spans="2:51" s="13" customFormat="1" ht="11.25">
      <c r="B1158" s="194"/>
      <c r="C1158" s="195"/>
      <c r="D1158" s="196" t="s">
        <v>388</v>
      </c>
      <c r="E1158" s="197" t="s">
        <v>19</v>
      </c>
      <c r="F1158" s="198" t="s">
        <v>1232</v>
      </c>
      <c r="G1158" s="195"/>
      <c r="H1158" s="197" t="s">
        <v>19</v>
      </c>
      <c r="I1158" s="199"/>
      <c r="J1158" s="195"/>
      <c r="K1158" s="195"/>
      <c r="L1158" s="200"/>
      <c r="M1158" s="201"/>
      <c r="N1158" s="202"/>
      <c r="O1158" s="202"/>
      <c r="P1158" s="202"/>
      <c r="Q1158" s="202"/>
      <c r="R1158" s="202"/>
      <c r="S1158" s="202"/>
      <c r="T1158" s="203"/>
      <c r="AT1158" s="204" t="s">
        <v>388</v>
      </c>
      <c r="AU1158" s="204" t="s">
        <v>82</v>
      </c>
      <c r="AV1158" s="13" t="s">
        <v>79</v>
      </c>
      <c r="AW1158" s="13" t="s">
        <v>33</v>
      </c>
      <c r="AX1158" s="13" t="s">
        <v>72</v>
      </c>
      <c r="AY1158" s="204" t="s">
        <v>380</v>
      </c>
    </row>
    <row r="1159" spans="2:51" s="14" customFormat="1" ht="11.25">
      <c r="B1159" s="205"/>
      <c r="C1159" s="206"/>
      <c r="D1159" s="196" t="s">
        <v>388</v>
      </c>
      <c r="E1159" s="207" t="s">
        <v>19</v>
      </c>
      <c r="F1159" s="208" t="s">
        <v>1233</v>
      </c>
      <c r="G1159" s="206"/>
      <c r="H1159" s="209">
        <v>438.08</v>
      </c>
      <c r="I1159" s="210"/>
      <c r="J1159" s="206"/>
      <c r="K1159" s="206"/>
      <c r="L1159" s="211"/>
      <c r="M1159" s="212"/>
      <c r="N1159" s="213"/>
      <c r="O1159" s="213"/>
      <c r="P1159" s="213"/>
      <c r="Q1159" s="213"/>
      <c r="R1159" s="213"/>
      <c r="S1159" s="213"/>
      <c r="T1159" s="214"/>
      <c r="AT1159" s="215" t="s">
        <v>388</v>
      </c>
      <c r="AU1159" s="215" t="s">
        <v>82</v>
      </c>
      <c r="AV1159" s="14" t="s">
        <v>82</v>
      </c>
      <c r="AW1159" s="14" t="s">
        <v>33</v>
      </c>
      <c r="AX1159" s="14" t="s">
        <v>72</v>
      </c>
      <c r="AY1159" s="215" t="s">
        <v>380</v>
      </c>
    </row>
    <row r="1160" spans="2:51" s="14" customFormat="1" ht="11.25">
      <c r="B1160" s="205"/>
      <c r="C1160" s="206"/>
      <c r="D1160" s="196" t="s">
        <v>388</v>
      </c>
      <c r="E1160" s="207" t="s">
        <v>19</v>
      </c>
      <c r="F1160" s="208" t="s">
        <v>1570</v>
      </c>
      <c r="G1160" s="206"/>
      <c r="H1160" s="209">
        <v>-3.39</v>
      </c>
      <c r="I1160" s="210"/>
      <c r="J1160" s="206"/>
      <c r="K1160" s="206"/>
      <c r="L1160" s="211"/>
      <c r="M1160" s="212"/>
      <c r="N1160" s="213"/>
      <c r="O1160" s="213"/>
      <c r="P1160" s="213"/>
      <c r="Q1160" s="213"/>
      <c r="R1160" s="213"/>
      <c r="S1160" s="213"/>
      <c r="T1160" s="214"/>
      <c r="AT1160" s="215" t="s">
        <v>388</v>
      </c>
      <c r="AU1160" s="215" t="s">
        <v>82</v>
      </c>
      <c r="AV1160" s="14" t="s">
        <v>82</v>
      </c>
      <c r="AW1160" s="14" t="s">
        <v>33</v>
      </c>
      <c r="AX1160" s="14" t="s">
        <v>72</v>
      </c>
      <c r="AY1160" s="215" t="s">
        <v>380</v>
      </c>
    </row>
    <row r="1161" spans="2:51" s="16" customFormat="1" ht="11.25">
      <c r="B1161" s="237"/>
      <c r="C1161" s="238"/>
      <c r="D1161" s="196" t="s">
        <v>388</v>
      </c>
      <c r="E1161" s="239" t="s">
        <v>19</v>
      </c>
      <c r="F1161" s="240" t="s">
        <v>572</v>
      </c>
      <c r="G1161" s="238"/>
      <c r="H1161" s="241">
        <v>1208.9870000000001</v>
      </c>
      <c r="I1161" s="242"/>
      <c r="J1161" s="238"/>
      <c r="K1161" s="238"/>
      <c r="L1161" s="243"/>
      <c r="M1161" s="244"/>
      <c r="N1161" s="245"/>
      <c r="O1161" s="245"/>
      <c r="P1161" s="245"/>
      <c r="Q1161" s="245"/>
      <c r="R1161" s="245"/>
      <c r="S1161" s="245"/>
      <c r="T1161" s="246"/>
      <c r="AT1161" s="247" t="s">
        <v>388</v>
      </c>
      <c r="AU1161" s="247" t="s">
        <v>82</v>
      </c>
      <c r="AV1161" s="16" t="s">
        <v>99</v>
      </c>
      <c r="AW1161" s="16" t="s">
        <v>33</v>
      </c>
      <c r="AX1161" s="16" t="s">
        <v>72</v>
      </c>
      <c r="AY1161" s="247" t="s">
        <v>380</v>
      </c>
    </row>
    <row r="1162" spans="2:51" s="13" customFormat="1" ht="11.25">
      <c r="B1162" s="194"/>
      <c r="C1162" s="195"/>
      <c r="D1162" s="196" t="s">
        <v>388</v>
      </c>
      <c r="E1162" s="197" t="s">
        <v>19</v>
      </c>
      <c r="F1162" s="198" t="s">
        <v>1571</v>
      </c>
      <c r="G1162" s="195"/>
      <c r="H1162" s="197" t="s">
        <v>19</v>
      </c>
      <c r="I1162" s="199"/>
      <c r="J1162" s="195"/>
      <c r="K1162" s="195"/>
      <c r="L1162" s="200"/>
      <c r="M1162" s="201"/>
      <c r="N1162" s="202"/>
      <c r="O1162" s="202"/>
      <c r="P1162" s="202"/>
      <c r="Q1162" s="202"/>
      <c r="R1162" s="202"/>
      <c r="S1162" s="202"/>
      <c r="T1162" s="203"/>
      <c r="AT1162" s="204" t="s">
        <v>388</v>
      </c>
      <c r="AU1162" s="204" t="s">
        <v>82</v>
      </c>
      <c r="AV1162" s="13" t="s">
        <v>79</v>
      </c>
      <c r="AW1162" s="13" t="s">
        <v>33</v>
      </c>
      <c r="AX1162" s="13" t="s">
        <v>72</v>
      </c>
      <c r="AY1162" s="204" t="s">
        <v>380</v>
      </c>
    </row>
    <row r="1163" spans="2:51" s="13" customFormat="1" ht="11.25">
      <c r="B1163" s="194"/>
      <c r="C1163" s="195"/>
      <c r="D1163" s="196" t="s">
        <v>388</v>
      </c>
      <c r="E1163" s="197" t="s">
        <v>19</v>
      </c>
      <c r="F1163" s="198" t="s">
        <v>1232</v>
      </c>
      <c r="G1163" s="195"/>
      <c r="H1163" s="197" t="s">
        <v>19</v>
      </c>
      <c r="I1163" s="199"/>
      <c r="J1163" s="195"/>
      <c r="K1163" s="195"/>
      <c r="L1163" s="200"/>
      <c r="M1163" s="201"/>
      <c r="N1163" s="202"/>
      <c r="O1163" s="202"/>
      <c r="P1163" s="202"/>
      <c r="Q1163" s="202"/>
      <c r="R1163" s="202"/>
      <c r="S1163" s="202"/>
      <c r="T1163" s="203"/>
      <c r="AT1163" s="204" t="s">
        <v>388</v>
      </c>
      <c r="AU1163" s="204" t="s">
        <v>82</v>
      </c>
      <c r="AV1163" s="13" t="s">
        <v>79</v>
      </c>
      <c r="AW1163" s="13" t="s">
        <v>33</v>
      </c>
      <c r="AX1163" s="13" t="s">
        <v>72</v>
      </c>
      <c r="AY1163" s="204" t="s">
        <v>380</v>
      </c>
    </row>
    <row r="1164" spans="2:51" s="14" customFormat="1" ht="11.25">
      <c r="B1164" s="205"/>
      <c r="C1164" s="206"/>
      <c r="D1164" s="196" t="s">
        <v>388</v>
      </c>
      <c r="E1164" s="207" t="s">
        <v>19</v>
      </c>
      <c r="F1164" s="208" t="s">
        <v>1572</v>
      </c>
      <c r="G1164" s="206"/>
      <c r="H1164" s="209">
        <v>61.4</v>
      </c>
      <c r="I1164" s="210"/>
      <c r="J1164" s="206"/>
      <c r="K1164" s="206"/>
      <c r="L1164" s="211"/>
      <c r="M1164" s="212"/>
      <c r="N1164" s="213"/>
      <c r="O1164" s="213"/>
      <c r="P1164" s="213"/>
      <c r="Q1164" s="213"/>
      <c r="R1164" s="213"/>
      <c r="S1164" s="213"/>
      <c r="T1164" s="214"/>
      <c r="AT1164" s="215" t="s">
        <v>388</v>
      </c>
      <c r="AU1164" s="215" t="s">
        <v>82</v>
      </c>
      <c r="AV1164" s="14" t="s">
        <v>82</v>
      </c>
      <c r="AW1164" s="14" t="s">
        <v>33</v>
      </c>
      <c r="AX1164" s="14" t="s">
        <v>72</v>
      </c>
      <c r="AY1164" s="215" t="s">
        <v>380</v>
      </c>
    </row>
    <row r="1165" spans="2:51" s="14" customFormat="1" ht="11.25">
      <c r="B1165" s="205"/>
      <c r="C1165" s="206"/>
      <c r="D1165" s="196" t="s">
        <v>388</v>
      </c>
      <c r="E1165" s="207" t="s">
        <v>19</v>
      </c>
      <c r="F1165" s="208" t="s">
        <v>1573</v>
      </c>
      <c r="G1165" s="206"/>
      <c r="H1165" s="209">
        <v>-9.7650000000000006</v>
      </c>
      <c r="I1165" s="210"/>
      <c r="J1165" s="206"/>
      <c r="K1165" s="206"/>
      <c r="L1165" s="211"/>
      <c r="M1165" s="212"/>
      <c r="N1165" s="213"/>
      <c r="O1165" s="213"/>
      <c r="P1165" s="213"/>
      <c r="Q1165" s="213"/>
      <c r="R1165" s="213"/>
      <c r="S1165" s="213"/>
      <c r="T1165" s="214"/>
      <c r="AT1165" s="215" t="s">
        <v>388</v>
      </c>
      <c r="AU1165" s="215" t="s">
        <v>82</v>
      </c>
      <c r="AV1165" s="14" t="s">
        <v>82</v>
      </c>
      <c r="AW1165" s="14" t="s">
        <v>33</v>
      </c>
      <c r="AX1165" s="14" t="s">
        <v>72</v>
      </c>
      <c r="AY1165" s="215" t="s">
        <v>380</v>
      </c>
    </row>
    <row r="1166" spans="2:51" s="16" customFormat="1" ht="11.25">
      <c r="B1166" s="237"/>
      <c r="C1166" s="238"/>
      <c r="D1166" s="196" t="s">
        <v>388</v>
      </c>
      <c r="E1166" s="239" t="s">
        <v>19</v>
      </c>
      <c r="F1166" s="240" t="s">
        <v>572</v>
      </c>
      <c r="G1166" s="238"/>
      <c r="H1166" s="241">
        <v>51.634999999999998</v>
      </c>
      <c r="I1166" s="242"/>
      <c r="J1166" s="238"/>
      <c r="K1166" s="238"/>
      <c r="L1166" s="243"/>
      <c r="M1166" s="244"/>
      <c r="N1166" s="245"/>
      <c r="O1166" s="245"/>
      <c r="P1166" s="245"/>
      <c r="Q1166" s="245"/>
      <c r="R1166" s="245"/>
      <c r="S1166" s="245"/>
      <c r="T1166" s="246"/>
      <c r="AT1166" s="247" t="s">
        <v>388</v>
      </c>
      <c r="AU1166" s="247" t="s">
        <v>82</v>
      </c>
      <c r="AV1166" s="16" t="s">
        <v>99</v>
      </c>
      <c r="AW1166" s="16" t="s">
        <v>33</v>
      </c>
      <c r="AX1166" s="16" t="s">
        <v>72</v>
      </c>
      <c r="AY1166" s="247" t="s">
        <v>380</v>
      </c>
    </row>
    <row r="1167" spans="2:51" s="13" customFormat="1" ht="11.25">
      <c r="B1167" s="194"/>
      <c r="C1167" s="195"/>
      <c r="D1167" s="196" t="s">
        <v>388</v>
      </c>
      <c r="E1167" s="197" t="s">
        <v>19</v>
      </c>
      <c r="F1167" s="198" t="s">
        <v>1574</v>
      </c>
      <c r="G1167" s="195"/>
      <c r="H1167" s="197" t="s">
        <v>19</v>
      </c>
      <c r="I1167" s="199"/>
      <c r="J1167" s="195"/>
      <c r="K1167" s="195"/>
      <c r="L1167" s="200"/>
      <c r="M1167" s="201"/>
      <c r="N1167" s="202"/>
      <c r="O1167" s="202"/>
      <c r="P1167" s="202"/>
      <c r="Q1167" s="202"/>
      <c r="R1167" s="202"/>
      <c r="S1167" s="202"/>
      <c r="T1167" s="203"/>
      <c r="AT1167" s="204" t="s">
        <v>388</v>
      </c>
      <c r="AU1167" s="204" t="s">
        <v>82</v>
      </c>
      <c r="AV1167" s="13" t="s">
        <v>79</v>
      </c>
      <c r="AW1167" s="13" t="s">
        <v>33</v>
      </c>
      <c r="AX1167" s="13" t="s">
        <v>72</v>
      </c>
      <c r="AY1167" s="204" t="s">
        <v>380</v>
      </c>
    </row>
    <row r="1168" spans="2:51" s="14" customFormat="1" ht="11.25">
      <c r="B1168" s="205"/>
      <c r="C1168" s="206"/>
      <c r="D1168" s="196" t="s">
        <v>388</v>
      </c>
      <c r="E1168" s="207" t="s">
        <v>19</v>
      </c>
      <c r="F1168" s="208" t="s">
        <v>1575</v>
      </c>
      <c r="G1168" s="206"/>
      <c r="H1168" s="209">
        <v>19.440000000000001</v>
      </c>
      <c r="I1168" s="210"/>
      <c r="J1168" s="206"/>
      <c r="K1168" s="206"/>
      <c r="L1168" s="211"/>
      <c r="M1168" s="212"/>
      <c r="N1168" s="213"/>
      <c r="O1168" s="213"/>
      <c r="P1168" s="213"/>
      <c r="Q1168" s="213"/>
      <c r="R1168" s="213"/>
      <c r="S1168" s="213"/>
      <c r="T1168" s="214"/>
      <c r="AT1168" s="215" t="s">
        <v>388</v>
      </c>
      <c r="AU1168" s="215" t="s">
        <v>82</v>
      </c>
      <c r="AV1168" s="14" t="s">
        <v>82</v>
      </c>
      <c r="AW1168" s="14" t="s">
        <v>33</v>
      </c>
      <c r="AX1168" s="14" t="s">
        <v>72</v>
      </c>
      <c r="AY1168" s="215" t="s">
        <v>380</v>
      </c>
    </row>
    <row r="1169" spans="1:65" s="16" customFormat="1" ht="11.25">
      <c r="B1169" s="237"/>
      <c r="C1169" s="238"/>
      <c r="D1169" s="196" t="s">
        <v>388</v>
      </c>
      <c r="E1169" s="239" t="s">
        <v>19</v>
      </c>
      <c r="F1169" s="240" t="s">
        <v>572</v>
      </c>
      <c r="G1169" s="238"/>
      <c r="H1169" s="241">
        <v>19.440000000000001</v>
      </c>
      <c r="I1169" s="242"/>
      <c r="J1169" s="238"/>
      <c r="K1169" s="238"/>
      <c r="L1169" s="243"/>
      <c r="M1169" s="244"/>
      <c r="N1169" s="245"/>
      <c r="O1169" s="245"/>
      <c r="P1169" s="245"/>
      <c r="Q1169" s="245"/>
      <c r="R1169" s="245"/>
      <c r="S1169" s="245"/>
      <c r="T1169" s="246"/>
      <c r="AT1169" s="247" t="s">
        <v>388</v>
      </c>
      <c r="AU1169" s="247" t="s">
        <v>82</v>
      </c>
      <c r="AV1169" s="16" t="s">
        <v>99</v>
      </c>
      <c r="AW1169" s="16" t="s">
        <v>33</v>
      </c>
      <c r="AX1169" s="16" t="s">
        <v>72</v>
      </c>
      <c r="AY1169" s="247" t="s">
        <v>380</v>
      </c>
    </row>
    <row r="1170" spans="1:65" s="15" customFormat="1" ht="11.25">
      <c r="B1170" s="216"/>
      <c r="C1170" s="217"/>
      <c r="D1170" s="196" t="s">
        <v>388</v>
      </c>
      <c r="E1170" s="218" t="s">
        <v>19</v>
      </c>
      <c r="F1170" s="219" t="s">
        <v>419</v>
      </c>
      <c r="G1170" s="217"/>
      <c r="H1170" s="220">
        <v>1280.0619999999999</v>
      </c>
      <c r="I1170" s="221"/>
      <c r="J1170" s="217"/>
      <c r="K1170" s="217"/>
      <c r="L1170" s="222"/>
      <c r="M1170" s="223"/>
      <c r="N1170" s="224"/>
      <c r="O1170" s="224"/>
      <c r="P1170" s="224"/>
      <c r="Q1170" s="224"/>
      <c r="R1170" s="224"/>
      <c r="S1170" s="224"/>
      <c r="T1170" s="225"/>
      <c r="AT1170" s="226" t="s">
        <v>388</v>
      </c>
      <c r="AU1170" s="226" t="s">
        <v>82</v>
      </c>
      <c r="AV1170" s="15" t="s">
        <v>386</v>
      </c>
      <c r="AW1170" s="15" t="s">
        <v>33</v>
      </c>
      <c r="AX1170" s="15" t="s">
        <v>79</v>
      </c>
      <c r="AY1170" s="226" t="s">
        <v>380</v>
      </c>
    </row>
    <row r="1171" spans="1:65" s="2" customFormat="1" ht="16.5" customHeight="1">
      <c r="A1171" s="36"/>
      <c r="B1171" s="37"/>
      <c r="C1171" s="227" t="s">
        <v>1576</v>
      </c>
      <c r="D1171" s="227" t="s">
        <v>465</v>
      </c>
      <c r="E1171" s="228" t="s">
        <v>1577</v>
      </c>
      <c r="F1171" s="229" t="s">
        <v>1578</v>
      </c>
      <c r="G1171" s="230" t="s">
        <v>398</v>
      </c>
      <c r="H1171" s="231">
        <v>1285.8340000000001</v>
      </c>
      <c r="I1171" s="232"/>
      <c r="J1171" s="233">
        <f>ROUND(I1171*H1171,2)</f>
        <v>0</v>
      </c>
      <c r="K1171" s="229" t="s">
        <v>19</v>
      </c>
      <c r="L1171" s="234"/>
      <c r="M1171" s="235" t="s">
        <v>19</v>
      </c>
      <c r="N1171" s="236" t="s">
        <v>43</v>
      </c>
      <c r="O1171" s="66"/>
      <c r="P1171" s="190">
        <f>O1171*H1171</f>
        <v>0</v>
      </c>
      <c r="Q1171" s="190">
        <v>0.01</v>
      </c>
      <c r="R1171" s="190">
        <f>Q1171*H1171</f>
        <v>12.85834</v>
      </c>
      <c r="S1171" s="190">
        <v>0</v>
      </c>
      <c r="T1171" s="191">
        <f>S1171*H1171</f>
        <v>0</v>
      </c>
      <c r="U1171" s="36"/>
      <c r="V1171" s="36"/>
      <c r="W1171" s="36"/>
      <c r="X1171" s="36"/>
      <c r="Y1171" s="36"/>
      <c r="Z1171" s="36"/>
      <c r="AA1171" s="36"/>
      <c r="AB1171" s="36"/>
      <c r="AC1171" s="36"/>
      <c r="AD1171" s="36"/>
      <c r="AE1171" s="36"/>
      <c r="AR1171" s="192" t="s">
        <v>546</v>
      </c>
      <c r="AT1171" s="192" t="s">
        <v>465</v>
      </c>
      <c r="AU1171" s="192" t="s">
        <v>82</v>
      </c>
      <c r="AY1171" s="19" t="s">
        <v>380</v>
      </c>
      <c r="BE1171" s="193">
        <f>IF(N1171="základní",J1171,0)</f>
        <v>0</v>
      </c>
      <c r="BF1171" s="193">
        <f>IF(N1171="snížená",J1171,0)</f>
        <v>0</v>
      </c>
      <c r="BG1171" s="193">
        <f>IF(N1171="zákl. přenesená",J1171,0)</f>
        <v>0</v>
      </c>
      <c r="BH1171" s="193">
        <f>IF(N1171="sníž. přenesená",J1171,0)</f>
        <v>0</v>
      </c>
      <c r="BI1171" s="193">
        <f>IF(N1171="nulová",J1171,0)</f>
        <v>0</v>
      </c>
      <c r="BJ1171" s="19" t="s">
        <v>79</v>
      </c>
      <c r="BK1171" s="193">
        <f>ROUND(I1171*H1171,2)</f>
        <v>0</v>
      </c>
      <c r="BL1171" s="19" t="s">
        <v>281</v>
      </c>
      <c r="BM1171" s="192" t="s">
        <v>1579</v>
      </c>
    </row>
    <row r="1172" spans="1:65" s="14" customFormat="1" ht="11.25">
      <c r="B1172" s="205"/>
      <c r="C1172" s="206"/>
      <c r="D1172" s="196" t="s">
        <v>388</v>
      </c>
      <c r="E1172" s="207" t="s">
        <v>19</v>
      </c>
      <c r="F1172" s="208" t="s">
        <v>1580</v>
      </c>
      <c r="G1172" s="206"/>
      <c r="H1172" s="209">
        <v>1285.8340000000001</v>
      </c>
      <c r="I1172" s="210"/>
      <c r="J1172" s="206"/>
      <c r="K1172" s="206"/>
      <c r="L1172" s="211"/>
      <c r="M1172" s="212"/>
      <c r="N1172" s="213"/>
      <c r="O1172" s="213"/>
      <c r="P1172" s="213"/>
      <c r="Q1172" s="213"/>
      <c r="R1172" s="213"/>
      <c r="S1172" s="213"/>
      <c r="T1172" s="214"/>
      <c r="AT1172" s="215" t="s">
        <v>388</v>
      </c>
      <c r="AU1172" s="215" t="s">
        <v>82</v>
      </c>
      <c r="AV1172" s="14" t="s">
        <v>82</v>
      </c>
      <c r="AW1172" s="14" t="s">
        <v>33</v>
      </c>
      <c r="AX1172" s="14" t="s">
        <v>79</v>
      </c>
      <c r="AY1172" s="215" t="s">
        <v>380</v>
      </c>
    </row>
    <row r="1173" spans="1:65" s="2" customFormat="1" ht="16.5" customHeight="1">
      <c r="A1173" s="36"/>
      <c r="B1173" s="37"/>
      <c r="C1173" s="227" t="s">
        <v>1581</v>
      </c>
      <c r="D1173" s="227" t="s">
        <v>465</v>
      </c>
      <c r="E1173" s="228" t="s">
        <v>1582</v>
      </c>
      <c r="F1173" s="229" t="s">
        <v>1583</v>
      </c>
      <c r="G1173" s="230" t="s">
        <v>398</v>
      </c>
      <c r="H1173" s="231">
        <v>19.829000000000001</v>
      </c>
      <c r="I1173" s="232"/>
      <c r="J1173" s="233">
        <f>ROUND(I1173*H1173,2)</f>
        <v>0</v>
      </c>
      <c r="K1173" s="229" t="s">
        <v>19</v>
      </c>
      <c r="L1173" s="234"/>
      <c r="M1173" s="235" t="s">
        <v>19</v>
      </c>
      <c r="N1173" s="236" t="s">
        <v>43</v>
      </c>
      <c r="O1173" s="66"/>
      <c r="P1173" s="190">
        <f>O1173*H1173</f>
        <v>0</v>
      </c>
      <c r="Q1173" s="190">
        <v>8.0000000000000002E-3</v>
      </c>
      <c r="R1173" s="190">
        <f>Q1173*H1173</f>
        <v>0.158632</v>
      </c>
      <c r="S1173" s="190">
        <v>0</v>
      </c>
      <c r="T1173" s="191">
        <f>S1173*H1173</f>
        <v>0</v>
      </c>
      <c r="U1173" s="36"/>
      <c r="V1173" s="36"/>
      <c r="W1173" s="36"/>
      <c r="X1173" s="36"/>
      <c r="Y1173" s="36"/>
      <c r="Z1173" s="36"/>
      <c r="AA1173" s="36"/>
      <c r="AB1173" s="36"/>
      <c r="AC1173" s="36"/>
      <c r="AD1173" s="36"/>
      <c r="AE1173" s="36"/>
      <c r="AR1173" s="192" t="s">
        <v>546</v>
      </c>
      <c r="AT1173" s="192" t="s">
        <v>465</v>
      </c>
      <c r="AU1173" s="192" t="s">
        <v>82</v>
      </c>
      <c r="AY1173" s="19" t="s">
        <v>380</v>
      </c>
      <c r="BE1173" s="193">
        <f>IF(N1173="základní",J1173,0)</f>
        <v>0</v>
      </c>
      <c r="BF1173" s="193">
        <f>IF(N1173="snížená",J1173,0)</f>
        <v>0</v>
      </c>
      <c r="BG1173" s="193">
        <f>IF(N1173="zákl. přenesená",J1173,0)</f>
        <v>0</v>
      </c>
      <c r="BH1173" s="193">
        <f>IF(N1173="sníž. přenesená",J1173,0)</f>
        <v>0</v>
      </c>
      <c r="BI1173" s="193">
        <f>IF(N1173="nulová",J1173,0)</f>
        <v>0</v>
      </c>
      <c r="BJ1173" s="19" t="s">
        <v>79</v>
      </c>
      <c r="BK1173" s="193">
        <f>ROUND(I1173*H1173,2)</f>
        <v>0</v>
      </c>
      <c r="BL1173" s="19" t="s">
        <v>281</v>
      </c>
      <c r="BM1173" s="192" t="s">
        <v>1584</v>
      </c>
    </row>
    <row r="1174" spans="1:65" s="13" customFormat="1" ht="11.25">
      <c r="B1174" s="194"/>
      <c r="C1174" s="195"/>
      <c r="D1174" s="196" t="s">
        <v>388</v>
      </c>
      <c r="E1174" s="197" t="s">
        <v>19</v>
      </c>
      <c r="F1174" s="198" t="s">
        <v>1585</v>
      </c>
      <c r="G1174" s="195"/>
      <c r="H1174" s="197" t="s">
        <v>19</v>
      </c>
      <c r="I1174" s="199"/>
      <c r="J1174" s="195"/>
      <c r="K1174" s="195"/>
      <c r="L1174" s="200"/>
      <c r="M1174" s="201"/>
      <c r="N1174" s="202"/>
      <c r="O1174" s="202"/>
      <c r="P1174" s="202"/>
      <c r="Q1174" s="202"/>
      <c r="R1174" s="202"/>
      <c r="S1174" s="202"/>
      <c r="T1174" s="203"/>
      <c r="AT1174" s="204" t="s">
        <v>388</v>
      </c>
      <c r="AU1174" s="204" t="s">
        <v>82</v>
      </c>
      <c r="AV1174" s="13" t="s">
        <v>79</v>
      </c>
      <c r="AW1174" s="13" t="s">
        <v>33</v>
      </c>
      <c r="AX1174" s="13" t="s">
        <v>72</v>
      </c>
      <c r="AY1174" s="204" t="s">
        <v>380</v>
      </c>
    </row>
    <row r="1175" spans="1:65" s="14" customFormat="1" ht="11.25">
      <c r="B1175" s="205"/>
      <c r="C1175" s="206"/>
      <c r="D1175" s="196" t="s">
        <v>388</v>
      </c>
      <c r="E1175" s="207" t="s">
        <v>19</v>
      </c>
      <c r="F1175" s="208" t="s">
        <v>1586</v>
      </c>
      <c r="G1175" s="206"/>
      <c r="H1175" s="209">
        <v>19.829000000000001</v>
      </c>
      <c r="I1175" s="210"/>
      <c r="J1175" s="206"/>
      <c r="K1175" s="206"/>
      <c r="L1175" s="211"/>
      <c r="M1175" s="212"/>
      <c r="N1175" s="213"/>
      <c r="O1175" s="213"/>
      <c r="P1175" s="213"/>
      <c r="Q1175" s="213"/>
      <c r="R1175" s="213"/>
      <c r="S1175" s="213"/>
      <c r="T1175" s="214"/>
      <c r="AT1175" s="215" t="s">
        <v>388</v>
      </c>
      <c r="AU1175" s="215" t="s">
        <v>82</v>
      </c>
      <c r="AV1175" s="14" t="s">
        <v>82</v>
      </c>
      <c r="AW1175" s="14" t="s">
        <v>33</v>
      </c>
      <c r="AX1175" s="14" t="s">
        <v>79</v>
      </c>
      <c r="AY1175" s="215" t="s">
        <v>380</v>
      </c>
    </row>
    <row r="1176" spans="1:65" s="2" customFormat="1" ht="24.2" customHeight="1">
      <c r="A1176" s="36"/>
      <c r="B1176" s="37"/>
      <c r="C1176" s="181" t="s">
        <v>1587</v>
      </c>
      <c r="D1176" s="181" t="s">
        <v>382</v>
      </c>
      <c r="E1176" s="182" t="s">
        <v>1588</v>
      </c>
      <c r="F1176" s="183" t="s">
        <v>1589</v>
      </c>
      <c r="G1176" s="184" t="s">
        <v>398</v>
      </c>
      <c r="H1176" s="185">
        <v>76.010000000000005</v>
      </c>
      <c r="I1176" s="186"/>
      <c r="J1176" s="187">
        <f>ROUND(I1176*H1176,2)</f>
        <v>0</v>
      </c>
      <c r="K1176" s="183" t="s">
        <v>399</v>
      </c>
      <c r="L1176" s="41"/>
      <c r="M1176" s="188" t="s">
        <v>19</v>
      </c>
      <c r="N1176" s="189" t="s">
        <v>43</v>
      </c>
      <c r="O1176" s="66"/>
      <c r="P1176" s="190">
        <f>O1176*H1176</f>
        <v>0</v>
      </c>
      <c r="Q1176" s="190">
        <v>3.0000000000000001E-3</v>
      </c>
      <c r="R1176" s="190">
        <f>Q1176*H1176</f>
        <v>0.22803000000000001</v>
      </c>
      <c r="S1176" s="190">
        <v>0</v>
      </c>
      <c r="T1176" s="191">
        <f>S1176*H1176</f>
        <v>0</v>
      </c>
      <c r="U1176" s="36"/>
      <c r="V1176" s="36"/>
      <c r="W1176" s="36"/>
      <c r="X1176" s="36"/>
      <c r="Y1176" s="36"/>
      <c r="Z1176" s="36"/>
      <c r="AA1176" s="36"/>
      <c r="AB1176" s="36"/>
      <c r="AC1176" s="36"/>
      <c r="AD1176" s="36"/>
      <c r="AE1176" s="36"/>
      <c r="AR1176" s="192" t="s">
        <v>281</v>
      </c>
      <c r="AT1176" s="192" t="s">
        <v>382</v>
      </c>
      <c r="AU1176" s="192" t="s">
        <v>82</v>
      </c>
      <c r="AY1176" s="19" t="s">
        <v>380</v>
      </c>
      <c r="BE1176" s="193">
        <f>IF(N1176="základní",J1176,0)</f>
        <v>0</v>
      </c>
      <c r="BF1176" s="193">
        <f>IF(N1176="snížená",J1176,0)</f>
        <v>0</v>
      </c>
      <c r="BG1176" s="193">
        <f>IF(N1176="zákl. přenesená",J1176,0)</f>
        <v>0</v>
      </c>
      <c r="BH1176" s="193">
        <f>IF(N1176="sníž. přenesená",J1176,0)</f>
        <v>0</v>
      </c>
      <c r="BI1176" s="193">
        <f>IF(N1176="nulová",J1176,0)</f>
        <v>0</v>
      </c>
      <c r="BJ1176" s="19" t="s">
        <v>79</v>
      </c>
      <c r="BK1176" s="193">
        <f>ROUND(I1176*H1176,2)</f>
        <v>0</v>
      </c>
      <c r="BL1176" s="19" t="s">
        <v>281</v>
      </c>
      <c r="BM1176" s="192" t="s">
        <v>1590</v>
      </c>
    </row>
    <row r="1177" spans="1:65" s="13" customFormat="1" ht="11.25">
      <c r="B1177" s="194"/>
      <c r="C1177" s="195"/>
      <c r="D1177" s="196" t="s">
        <v>388</v>
      </c>
      <c r="E1177" s="197" t="s">
        <v>19</v>
      </c>
      <c r="F1177" s="198" t="s">
        <v>1591</v>
      </c>
      <c r="G1177" s="195"/>
      <c r="H1177" s="197" t="s">
        <v>19</v>
      </c>
      <c r="I1177" s="199"/>
      <c r="J1177" s="195"/>
      <c r="K1177" s="195"/>
      <c r="L1177" s="200"/>
      <c r="M1177" s="201"/>
      <c r="N1177" s="202"/>
      <c r="O1177" s="202"/>
      <c r="P1177" s="202"/>
      <c r="Q1177" s="202"/>
      <c r="R1177" s="202"/>
      <c r="S1177" s="202"/>
      <c r="T1177" s="203"/>
      <c r="AT1177" s="204" t="s">
        <v>388</v>
      </c>
      <c r="AU1177" s="204" t="s">
        <v>82</v>
      </c>
      <c r="AV1177" s="13" t="s">
        <v>79</v>
      </c>
      <c r="AW1177" s="13" t="s">
        <v>33</v>
      </c>
      <c r="AX1177" s="13" t="s">
        <v>72</v>
      </c>
      <c r="AY1177" s="204" t="s">
        <v>380</v>
      </c>
    </row>
    <row r="1178" spans="1:65" s="14" customFormat="1" ht="11.25">
      <c r="B1178" s="205"/>
      <c r="C1178" s="206"/>
      <c r="D1178" s="196" t="s">
        <v>388</v>
      </c>
      <c r="E1178" s="207" t="s">
        <v>19</v>
      </c>
      <c r="F1178" s="208" t="s">
        <v>1592</v>
      </c>
      <c r="G1178" s="206"/>
      <c r="H1178" s="209">
        <v>76.010000000000005</v>
      </c>
      <c r="I1178" s="210"/>
      <c r="J1178" s="206"/>
      <c r="K1178" s="206"/>
      <c r="L1178" s="211"/>
      <c r="M1178" s="212"/>
      <c r="N1178" s="213"/>
      <c r="O1178" s="213"/>
      <c r="P1178" s="213"/>
      <c r="Q1178" s="213"/>
      <c r="R1178" s="213"/>
      <c r="S1178" s="213"/>
      <c r="T1178" s="214"/>
      <c r="AT1178" s="215" t="s">
        <v>388</v>
      </c>
      <c r="AU1178" s="215" t="s">
        <v>82</v>
      </c>
      <c r="AV1178" s="14" t="s">
        <v>82</v>
      </c>
      <c r="AW1178" s="14" t="s">
        <v>33</v>
      </c>
      <c r="AX1178" s="14" t="s">
        <v>79</v>
      </c>
      <c r="AY1178" s="215" t="s">
        <v>380</v>
      </c>
    </row>
    <row r="1179" spans="1:65" s="2" customFormat="1" ht="16.5" customHeight="1">
      <c r="A1179" s="36"/>
      <c r="B1179" s="37"/>
      <c r="C1179" s="227" t="s">
        <v>1593</v>
      </c>
      <c r="D1179" s="227" t="s">
        <v>465</v>
      </c>
      <c r="E1179" s="228" t="s">
        <v>1594</v>
      </c>
      <c r="F1179" s="229" t="s">
        <v>1595</v>
      </c>
      <c r="G1179" s="230" t="s">
        <v>398</v>
      </c>
      <c r="H1179" s="231">
        <v>77.53</v>
      </c>
      <c r="I1179" s="232"/>
      <c r="J1179" s="233">
        <f>ROUND(I1179*H1179,2)</f>
        <v>0</v>
      </c>
      <c r="K1179" s="229" t="s">
        <v>399</v>
      </c>
      <c r="L1179" s="234"/>
      <c r="M1179" s="235" t="s">
        <v>19</v>
      </c>
      <c r="N1179" s="236" t="s">
        <v>43</v>
      </c>
      <c r="O1179" s="66"/>
      <c r="P1179" s="190">
        <f>O1179*H1179</f>
        <v>0</v>
      </c>
      <c r="Q1179" s="190">
        <v>3.5000000000000001E-3</v>
      </c>
      <c r="R1179" s="190">
        <f>Q1179*H1179</f>
        <v>0.27135500000000001</v>
      </c>
      <c r="S1179" s="190">
        <v>0</v>
      </c>
      <c r="T1179" s="191">
        <f>S1179*H1179</f>
        <v>0</v>
      </c>
      <c r="U1179" s="36"/>
      <c r="V1179" s="36"/>
      <c r="W1179" s="36"/>
      <c r="X1179" s="36"/>
      <c r="Y1179" s="36"/>
      <c r="Z1179" s="36"/>
      <c r="AA1179" s="36"/>
      <c r="AB1179" s="36"/>
      <c r="AC1179" s="36"/>
      <c r="AD1179" s="36"/>
      <c r="AE1179" s="36"/>
      <c r="AR1179" s="192" t="s">
        <v>546</v>
      </c>
      <c r="AT1179" s="192" t="s">
        <v>465</v>
      </c>
      <c r="AU1179" s="192" t="s">
        <v>82</v>
      </c>
      <c r="AY1179" s="19" t="s">
        <v>380</v>
      </c>
      <c r="BE1179" s="193">
        <f>IF(N1179="základní",J1179,0)</f>
        <v>0</v>
      </c>
      <c r="BF1179" s="193">
        <f>IF(N1179="snížená",J1179,0)</f>
        <v>0</v>
      </c>
      <c r="BG1179" s="193">
        <f>IF(N1179="zákl. přenesená",J1179,0)</f>
        <v>0</v>
      </c>
      <c r="BH1179" s="193">
        <f>IF(N1179="sníž. přenesená",J1179,0)</f>
        <v>0</v>
      </c>
      <c r="BI1179" s="193">
        <f>IF(N1179="nulová",J1179,0)</f>
        <v>0</v>
      </c>
      <c r="BJ1179" s="19" t="s">
        <v>79</v>
      </c>
      <c r="BK1179" s="193">
        <f>ROUND(I1179*H1179,2)</f>
        <v>0</v>
      </c>
      <c r="BL1179" s="19" t="s">
        <v>281</v>
      </c>
      <c r="BM1179" s="192" t="s">
        <v>1596</v>
      </c>
    </row>
    <row r="1180" spans="1:65" s="14" customFormat="1" ht="11.25">
      <c r="B1180" s="205"/>
      <c r="C1180" s="206"/>
      <c r="D1180" s="196" t="s">
        <v>388</v>
      </c>
      <c r="E1180" s="207" t="s">
        <v>19</v>
      </c>
      <c r="F1180" s="208" t="s">
        <v>1597</v>
      </c>
      <c r="G1180" s="206"/>
      <c r="H1180" s="209">
        <v>77.53</v>
      </c>
      <c r="I1180" s="210"/>
      <c r="J1180" s="206"/>
      <c r="K1180" s="206"/>
      <c r="L1180" s="211"/>
      <c r="M1180" s="212"/>
      <c r="N1180" s="213"/>
      <c r="O1180" s="213"/>
      <c r="P1180" s="213"/>
      <c r="Q1180" s="213"/>
      <c r="R1180" s="213"/>
      <c r="S1180" s="213"/>
      <c r="T1180" s="214"/>
      <c r="AT1180" s="215" t="s">
        <v>388</v>
      </c>
      <c r="AU1180" s="215" t="s">
        <v>82</v>
      </c>
      <c r="AV1180" s="14" t="s">
        <v>82</v>
      </c>
      <c r="AW1180" s="14" t="s">
        <v>33</v>
      </c>
      <c r="AX1180" s="14" t="s">
        <v>79</v>
      </c>
      <c r="AY1180" s="215" t="s">
        <v>380</v>
      </c>
    </row>
    <row r="1181" spans="1:65" s="2" customFormat="1" ht="24.2" customHeight="1">
      <c r="A1181" s="36"/>
      <c r="B1181" s="37"/>
      <c r="C1181" s="181" t="s">
        <v>1598</v>
      </c>
      <c r="D1181" s="181" t="s">
        <v>382</v>
      </c>
      <c r="E1181" s="182" t="s">
        <v>1599</v>
      </c>
      <c r="F1181" s="183" t="s">
        <v>1600</v>
      </c>
      <c r="G1181" s="184" t="s">
        <v>398</v>
      </c>
      <c r="H1181" s="185">
        <v>51.908000000000001</v>
      </c>
      <c r="I1181" s="186"/>
      <c r="J1181" s="187">
        <f>ROUND(I1181*H1181,2)</f>
        <v>0</v>
      </c>
      <c r="K1181" s="183" t="s">
        <v>399</v>
      </c>
      <c r="L1181" s="41"/>
      <c r="M1181" s="188" t="s">
        <v>19</v>
      </c>
      <c r="N1181" s="189" t="s">
        <v>43</v>
      </c>
      <c r="O1181" s="66"/>
      <c r="P1181" s="190">
        <f>O1181*H1181</f>
        <v>0</v>
      </c>
      <c r="Q1181" s="190">
        <v>0</v>
      </c>
      <c r="R1181" s="190">
        <f>Q1181*H1181</f>
        <v>0</v>
      </c>
      <c r="S1181" s="190">
        <v>0</v>
      </c>
      <c r="T1181" s="191">
        <f>S1181*H1181</f>
        <v>0</v>
      </c>
      <c r="U1181" s="36"/>
      <c r="V1181" s="36"/>
      <c r="W1181" s="36"/>
      <c r="X1181" s="36"/>
      <c r="Y1181" s="36"/>
      <c r="Z1181" s="36"/>
      <c r="AA1181" s="36"/>
      <c r="AB1181" s="36"/>
      <c r="AC1181" s="36"/>
      <c r="AD1181" s="36"/>
      <c r="AE1181" s="36"/>
      <c r="AR1181" s="192" t="s">
        <v>281</v>
      </c>
      <c r="AT1181" s="192" t="s">
        <v>382</v>
      </c>
      <c r="AU1181" s="192" t="s">
        <v>82</v>
      </c>
      <c r="AY1181" s="19" t="s">
        <v>380</v>
      </c>
      <c r="BE1181" s="193">
        <f>IF(N1181="základní",J1181,0)</f>
        <v>0</v>
      </c>
      <c r="BF1181" s="193">
        <f>IF(N1181="snížená",J1181,0)</f>
        <v>0</v>
      </c>
      <c r="BG1181" s="193">
        <f>IF(N1181="zákl. přenesená",J1181,0)</f>
        <v>0</v>
      </c>
      <c r="BH1181" s="193">
        <f>IF(N1181="sníž. přenesená",J1181,0)</f>
        <v>0</v>
      </c>
      <c r="BI1181" s="193">
        <f>IF(N1181="nulová",J1181,0)</f>
        <v>0</v>
      </c>
      <c r="BJ1181" s="19" t="s">
        <v>79</v>
      </c>
      <c r="BK1181" s="193">
        <f>ROUND(I1181*H1181,2)</f>
        <v>0</v>
      </c>
      <c r="BL1181" s="19" t="s">
        <v>281</v>
      </c>
      <c r="BM1181" s="192" t="s">
        <v>1601</v>
      </c>
    </row>
    <row r="1182" spans="1:65" s="13" customFormat="1" ht="11.25">
      <c r="B1182" s="194"/>
      <c r="C1182" s="195"/>
      <c r="D1182" s="196" t="s">
        <v>388</v>
      </c>
      <c r="E1182" s="197" t="s">
        <v>19</v>
      </c>
      <c r="F1182" s="198" t="s">
        <v>1602</v>
      </c>
      <c r="G1182" s="195"/>
      <c r="H1182" s="197" t="s">
        <v>19</v>
      </c>
      <c r="I1182" s="199"/>
      <c r="J1182" s="195"/>
      <c r="K1182" s="195"/>
      <c r="L1182" s="200"/>
      <c r="M1182" s="201"/>
      <c r="N1182" s="202"/>
      <c r="O1182" s="202"/>
      <c r="P1182" s="202"/>
      <c r="Q1182" s="202"/>
      <c r="R1182" s="202"/>
      <c r="S1182" s="202"/>
      <c r="T1182" s="203"/>
      <c r="AT1182" s="204" t="s">
        <v>388</v>
      </c>
      <c r="AU1182" s="204" t="s">
        <v>82</v>
      </c>
      <c r="AV1182" s="13" t="s">
        <v>79</v>
      </c>
      <c r="AW1182" s="13" t="s">
        <v>33</v>
      </c>
      <c r="AX1182" s="13" t="s">
        <v>72</v>
      </c>
      <c r="AY1182" s="204" t="s">
        <v>380</v>
      </c>
    </row>
    <row r="1183" spans="1:65" s="14" customFormat="1" ht="11.25">
      <c r="B1183" s="205"/>
      <c r="C1183" s="206"/>
      <c r="D1183" s="196" t="s">
        <v>388</v>
      </c>
      <c r="E1183" s="207" t="s">
        <v>19</v>
      </c>
      <c r="F1183" s="208" t="s">
        <v>1603</v>
      </c>
      <c r="G1183" s="206"/>
      <c r="H1183" s="209">
        <v>77.22</v>
      </c>
      <c r="I1183" s="210"/>
      <c r="J1183" s="206"/>
      <c r="K1183" s="206"/>
      <c r="L1183" s="211"/>
      <c r="M1183" s="212"/>
      <c r="N1183" s="213"/>
      <c r="O1183" s="213"/>
      <c r="P1183" s="213"/>
      <c r="Q1183" s="213"/>
      <c r="R1183" s="213"/>
      <c r="S1183" s="213"/>
      <c r="T1183" s="214"/>
      <c r="AT1183" s="215" t="s">
        <v>388</v>
      </c>
      <c r="AU1183" s="215" t="s">
        <v>82</v>
      </c>
      <c r="AV1183" s="14" t="s">
        <v>82</v>
      </c>
      <c r="AW1183" s="14" t="s">
        <v>33</v>
      </c>
      <c r="AX1183" s="14" t="s">
        <v>72</v>
      </c>
      <c r="AY1183" s="215" t="s">
        <v>380</v>
      </c>
    </row>
    <row r="1184" spans="1:65" s="14" customFormat="1" ht="11.25">
      <c r="B1184" s="205"/>
      <c r="C1184" s="206"/>
      <c r="D1184" s="196" t="s">
        <v>388</v>
      </c>
      <c r="E1184" s="207" t="s">
        <v>19</v>
      </c>
      <c r="F1184" s="208" t="s">
        <v>1604</v>
      </c>
      <c r="G1184" s="206"/>
      <c r="H1184" s="209">
        <v>-25.312000000000001</v>
      </c>
      <c r="I1184" s="210"/>
      <c r="J1184" s="206"/>
      <c r="K1184" s="206"/>
      <c r="L1184" s="211"/>
      <c r="M1184" s="212"/>
      <c r="N1184" s="213"/>
      <c r="O1184" s="213"/>
      <c r="P1184" s="213"/>
      <c r="Q1184" s="213"/>
      <c r="R1184" s="213"/>
      <c r="S1184" s="213"/>
      <c r="T1184" s="214"/>
      <c r="AT1184" s="215" t="s">
        <v>388</v>
      </c>
      <c r="AU1184" s="215" t="s">
        <v>82</v>
      </c>
      <c r="AV1184" s="14" t="s">
        <v>82</v>
      </c>
      <c r="AW1184" s="14" t="s">
        <v>33</v>
      </c>
      <c r="AX1184" s="14" t="s">
        <v>72</v>
      </c>
      <c r="AY1184" s="215" t="s">
        <v>380</v>
      </c>
    </row>
    <row r="1185" spans="1:65" s="15" customFormat="1" ht="11.25">
      <c r="B1185" s="216"/>
      <c r="C1185" s="217"/>
      <c r="D1185" s="196" t="s">
        <v>388</v>
      </c>
      <c r="E1185" s="218" t="s">
        <v>19</v>
      </c>
      <c r="F1185" s="219" t="s">
        <v>419</v>
      </c>
      <c r="G1185" s="217"/>
      <c r="H1185" s="220">
        <v>51.908000000000001</v>
      </c>
      <c r="I1185" s="221"/>
      <c r="J1185" s="217"/>
      <c r="K1185" s="217"/>
      <c r="L1185" s="222"/>
      <c r="M1185" s="223"/>
      <c r="N1185" s="224"/>
      <c r="O1185" s="224"/>
      <c r="P1185" s="224"/>
      <c r="Q1185" s="224"/>
      <c r="R1185" s="224"/>
      <c r="S1185" s="224"/>
      <c r="T1185" s="225"/>
      <c r="AT1185" s="226" t="s">
        <v>388</v>
      </c>
      <c r="AU1185" s="226" t="s">
        <v>82</v>
      </c>
      <c r="AV1185" s="15" t="s">
        <v>386</v>
      </c>
      <c r="AW1185" s="15" t="s">
        <v>33</v>
      </c>
      <c r="AX1185" s="15" t="s">
        <v>79</v>
      </c>
      <c r="AY1185" s="226" t="s">
        <v>380</v>
      </c>
    </row>
    <row r="1186" spans="1:65" s="2" customFormat="1" ht="16.5" customHeight="1">
      <c r="A1186" s="36"/>
      <c r="B1186" s="37"/>
      <c r="C1186" s="227" t="s">
        <v>1605</v>
      </c>
      <c r="D1186" s="227" t="s">
        <v>465</v>
      </c>
      <c r="E1186" s="228" t="s">
        <v>1606</v>
      </c>
      <c r="F1186" s="229" t="s">
        <v>1607</v>
      </c>
      <c r="G1186" s="230" t="s">
        <v>398</v>
      </c>
      <c r="H1186" s="231">
        <v>52.945999999999998</v>
      </c>
      <c r="I1186" s="232"/>
      <c r="J1186" s="233">
        <f>ROUND(I1186*H1186,2)</f>
        <v>0</v>
      </c>
      <c r="K1186" s="229" t="s">
        <v>19</v>
      </c>
      <c r="L1186" s="234"/>
      <c r="M1186" s="235" t="s">
        <v>19</v>
      </c>
      <c r="N1186" s="236" t="s">
        <v>43</v>
      </c>
      <c r="O1186" s="66"/>
      <c r="P1186" s="190">
        <f>O1186*H1186</f>
        <v>0</v>
      </c>
      <c r="Q1186" s="190">
        <v>7.7499999999999999E-3</v>
      </c>
      <c r="R1186" s="190">
        <f>Q1186*H1186</f>
        <v>0.41033149999999996</v>
      </c>
      <c r="S1186" s="190">
        <v>0</v>
      </c>
      <c r="T1186" s="191">
        <f>S1186*H1186</f>
        <v>0</v>
      </c>
      <c r="U1186" s="36"/>
      <c r="V1186" s="36"/>
      <c r="W1186" s="36"/>
      <c r="X1186" s="36"/>
      <c r="Y1186" s="36"/>
      <c r="Z1186" s="36"/>
      <c r="AA1186" s="36"/>
      <c r="AB1186" s="36"/>
      <c r="AC1186" s="36"/>
      <c r="AD1186" s="36"/>
      <c r="AE1186" s="36"/>
      <c r="AR1186" s="192" t="s">
        <v>546</v>
      </c>
      <c r="AT1186" s="192" t="s">
        <v>465</v>
      </c>
      <c r="AU1186" s="192" t="s">
        <v>82</v>
      </c>
      <c r="AY1186" s="19" t="s">
        <v>380</v>
      </c>
      <c r="BE1186" s="193">
        <f>IF(N1186="základní",J1186,0)</f>
        <v>0</v>
      </c>
      <c r="BF1186" s="193">
        <f>IF(N1186="snížená",J1186,0)</f>
        <v>0</v>
      </c>
      <c r="BG1186" s="193">
        <f>IF(N1186="zákl. přenesená",J1186,0)</f>
        <v>0</v>
      </c>
      <c r="BH1186" s="193">
        <f>IF(N1186="sníž. přenesená",J1186,0)</f>
        <v>0</v>
      </c>
      <c r="BI1186" s="193">
        <f>IF(N1186="nulová",J1186,0)</f>
        <v>0</v>
      </c>
      <c r="BJ1186" s="19" t="s">
        <v>79</v>
      </c>
      <c r="BK1186" s="193">
        <f>ROUND(I1186*H1186,2)</f>
        <v>0</v>
      </c>
      <c r="BL1186" s="19" t="s">
        <v>281</v>
      </c>
      <c r="BM1186" s="192" t="s">
        <v>1608</v>
      </c>
    </row>
    <row r="1187" spans="1:65" s="14" customFormat="1" ht="11.25">
      <c r="B1187" s="205"/>
      <c r="C1187" s="206"/>
      <c r="D1187" s="196" t="s">
        <v>388</v>
      </c>
      <c r="E1187" s="207" t="s">
        <v>19</v>
      </c>
      <c r="F1187" s="208" t="s">
        <v>1609</v>
      </c>
      <c r="G1187" s="206"/>
      <c r="H1187" s="209">
        <v>52.945999999999998</v>
      </c>
      <c r="I1187" s="210"/>
      <c r="J1187" s="206"/>
      <c r="K1187" s="206"/>
      <c r="L1187" s="211"/>
      <c r="M1187" s="212"/>
      <c r="N1187" s="213"/>
      <c r="O1187" s="213"/>
      <c r="P1187" s="213"/>
      <c r="Q1187" s="213"/>
      <c r="R1187" s="213"/>
      <c r="S1187" s="213"/>
      <c r="T1187" s="214"/>
      <c r="AT1187" s="215" t="s">
        <v>388</v>
      </c>
      <c r="AU1187" s="215" t="s">
        <v>82</v>
      </c>
      <c r="AV1187" s="14" t="s">
        <v>82</v>
      </c>
      <c r="AW1187" s="14" t="s">
        <v>33</v>
      </c>
      <c r="AX1187" s="14" t="s">
        <v>79</v>
      </c>
      <c r="AY1187" s="215" t="s">
        <v>380</v>
      </c>
    </row>
    <row r="1188" spans="1:65" s="2" customFormat="1" ht="24.2" customHeight="1">
      <c r="A1188" s="36"/>
      <c r="B1188" s="37"/>
      <c r="C1188" s="181" t="s">
        <v>1610</v>
      </c>
      <c r="D1188" s="181" t="s">
        <v>382</v>
      </c>
      <c r="E1188" s="182" t="s">
        <v>1611</v>
      </c>
      <c r="F1188" s="183" t="s">
        <v>1612</v>
      </c>
      <c r="G1188" s="184" t="s">
        <v>398</v>
      </c>
      <c r="H1188" s="185">
        <v>2536.6689999999999</v>
      </c>
      <c r="I1188" s="186"/>
      <c r="J1188" s="187">
        <f>ROUND(I1188*H1188,2)</f>
        <v>0</v>
      </c>
      <c r="K1188" s="183" t="s">
        <v>399</v>
      </c>
      <c r="L1188" s="41"/>
      <c r="M1188" s="188" t="s">
        <v>19</v>
      </c>
      <c r="N1188" s="189" t="s">
        <v>43</v>
      </c>
      <c r="O1188" s="66"/>
      <c r="P1188" s="190">
        <f>O1188*H1188</f>
        <v>0</v>
      </c>
      <c r="Q1188" s="190">
        <v>2.0397499999999999E-3</v>
      </c>
      <c r="R1188" s="190">
        <f>Q1188*H1188</f>
        <v>5.1741705927499995</v>
      </c>
      <c r="S1188" s="190">
        <v>0</v>
      </c>
      <c r="T1188" s="191">
        <f>S1188*H1188</f>
        <v>0</v>
      </c>
      <c r="U1188" s="36"/>
      <c r="V1188" s="36"/>
      <c r="W1188" s="36"/>
      <c r="X1188" s="36"/>
      <c r="Y1188" s="36"/>
      <c r="Z1188" s="36"/>
      <c r="AA1188" s="36"/>
      <c r="AB1188" s="36"/>
      <c r="AC1188" s="36"/>
      <c r="AD1188" s="36"/>
      <c r="AE1188" s="36"/>
      <c r="AR1188" s="192" t="s">
        <v>281</v>
      </c>
      <c r="AT1188" s="192" t="s">
        <v>382</v>
      </c>
      <c r="AU1188" s="192" t="s">
        <v>82</v>
      </c>
      <c r="AY1188" s="19" t="s">
        <v>380</v>
      </c>
      <c r="BE1188" s="193">
        <f>IF(N1188="základní",J1188,0)</f>
        <v>0</v>
      </c>
      <c r="BF1188" s="193">
        <f>IF(N1188="snížená",J1188,0)</f>
        <v>0</v>
      </c>
      <c r="BG1188" s="193">
        <f>IF(N1188="zákl. přenesená",J1188,0)</f>
        <v>0</v>
      </c>
      <c r="BH1188" s="193">
        <f>IF(N1188="sníž. přenesená",J1188,0)</f>
        <v>0</v>
      </c>
      <c r="BI1188" s="193">
        <f>IF(N1188="nulová",J1188,0)</f>
        <v>0</v>
      </c>
      <c r="BJ1188" s="19" t="s">
        <v>79</v>
      </c>
      <c r="BK1188" s="193">
        <f>ROUND(I1188*H1188,2)</f>
        <v>0</v>
      </c>
      <c r="BL1188" s="19" t="s">
        <v>281</v>
      </c>
      <c r="BM1188" s="192" t="s">
        <v>1613</v>
      </c>
    </row>
    <row r="1189" spans="1:65" s="13" customFormat="1" ht="11.25">
      <c r="B1189" s="194"/>
      <c r="C1189" s="195"/>
      <c r="D1189" s="196" t="s">
        <v>388</v>
      </c>
      <c r="E1189" s="197" t="s">
        <v>19</v>
      </c>
      <c r="F1189" s="198" t="s">
        <v>1614</v>
      </c>
      <c r="G1189" s="195"/>
      <c r="H1189" s="197" t="s">
        <v>19</v>
      </c>
      <c r="I1189" s="199"/>
      <c r="J1189" s="195"/>
      <c r="K1189" s="195"/>
      <c r="L1189" s="200"/>
      <c r="M1189" s="201"/>
      <c r="N1189" s="202"/>
      <c r="O1189" s="202"/>
      <c r="P1189" s="202"/>
      <c r="Q1189" s="202"/>
      <c r="R1189" s="202"/>
      <c r="S1189" s="202"/>
      <c r="T1189" s="203"/>
      <c r="AT1189" s="204" t="s">
        <v>388</v>
      </c>
      <c r="AU1189" s="204" t="s">
        <v>82</v>
      </c>
      <c r="AV1189" s="13" t="s">
        <v>79</v>
      </c>
      <c r="AW1189" s="13" t="s">
        <v>33</v>
      </c>
      <c r="AX1189" s="13" t="s">
        <v>72</v>
      </c>
      <c r="AY1189" s="204" t="s">
        <v>380</v>
      </c>
    </row>
    <row r="1190" spans="1:65" s="14" customFormat="1" ht="11.25">
      <c r="B1190" s="205"/>
      <c r="C1190" s="206"/>
      <c r="D1190" s="196" t="s">
        <v>388</v>
      </c>
      <c r="E1190" s="207" t="s">
        <v>19</v>
      </c>
      <c r="F1190" s="208" t="s">
        <v>1615</v>
      </c>
      <c r="G1190" s="206"/>
      <c r="H1190" s="209">
        <v>350.89800000000002</v>
      </c>
      <c r="I1190" s="210"/>
      <c r="J1190" s="206"/>
      <c r="K1190" s="206"/>
      <c r="L1190" s="211"/>
      <c r="M1190" s="212"/>
      <c r="N1190" s="213"/>
      <c r="O1190" s="213"/>
      <c r="P1190" s="213"/>
      <c r="Q1190" s="213"/>
      <c r="R1190" s="213"/>
      <c r="S1190" s="213"/>
      <c r="T1190" s="214"/>
      <c r="AT1190" s="215" t="s">
        <v>388</v>
      </c>
      <c r="AU1190" s="215" t="s">
        <v>82</v>
      </c>
      <c r="AV1190" s="14" t="s">
        <v>82</v>
      </c>
      <c r="AW1190" s="14" t="s">
        <v>33</v>
      </c>
      <c r="AX1190" s="14" t="s">
        <v>72</v>
      </c>
      <c r="AY1190" s="215" t="s">
        <v>380</v>
      </c>
    </row>
    <row r="1191" spans="1:65" s="13" customFormat="1" ht="11.25">
      <c r="B1191" s="194"/>
      <c r="C1191" s="195"/>
      <c r="D1191" s="196" t="s">
        <v>388</v>
      </c>
      <c r="E1191" s="197" t="s">
        <v>19</v>
      </c>
      <c r="F1191" s="198" t="s">
        <v>1616</v>
      </c>
      <c r="G1191" s="195"/>
      <c r="H1191" s="197" t="s">
        <v>19</v>
      </c>
      <c r="I1191" s="199"/>
      <c r="J1191" s="195"/>
      <c r="K1191" s="195"/>
      <c r="L1191" s="200"/>
      <c r="M1191" s="201"/>
      <c r="N1191" s="202"/>
      <c r="O1191" s="202"/>
      <c r="P1191" s="202"/>
      <c r="Q1191" s="202"/>
      <c r="R1191" s="202"/>
      <c r="S1191" s="202"/>
      <c r="T1191" s="203"/>
      <c r="AT1191" s="204" t="s">
        <v>388</v>
      </c>
      <c r="AU1191" s="204" t="s">
        <v>82</v>
      </c>
      <c r="AV1191" s="13" t="s">
        <v>79</v>
      </c>
      <c r="AW1191" s="13" t="s">
        <v>33</v>
      </c>
      <c r="AX1191" s="13" t="s">
        <v>72</v>
      </c>
      <c r="AY1191" s="204" t="s">
        <v>380</v>
      </c>
    </row>
    <row r="1192" spans="1:65" s="14" customFormat="1" ht="11.25">
      <c r="B1192" s="205"/>
      <c r="C1192" s="206"/>
      <c r="D1192" s="196" t="s">
        <v>388</v>
      </c>
      <c r="E1192" s="207" t="s">
        <v>19</v>
      </c>
      <c r="F1192" s="208" t="s">
        <v>1421</v>
      </c>
      <c r="G1192" s="206"/>
      <c r="H1192" s="209">
        <v>113.97</v>
      </c>
      <c r="I1192" s="210"/>
      <c r="J1192" s="206"/>
      <c r="K1192" s="206"/>
      <c r="L1192" s="211"/>
      <c r="M1192" s="212"/>
      <c r="N1192" s="213"/>
      <c r="O1192" s="213"/>
      <c r="P1192" s="213"/>
      <c r="Q1192" s="213"/>
      <c r="R1192" s="213"/>
      <c r="S1192" s="213"/>
      <c r="T1192" s="214"/>
      <c r="AT1192" s="215" t="s">
        <v>388</v>
      </c>
      <c r="AU1192" s="215" t="s">
        <v>82</v>
      </c>
      <c r="AV1192" s="14" t="s">
        <v>82</v>
      </c>
      <c r="AW1192" s="14" t="s">
        <v>33</v>
      </c>
      <c r="AX1192" s="14" t="s">
        <v>72</v>
      </c>
      <c r="AY1192" s="215" t="s">
        <v>380</v>
      </c>
    </row>
    <row r="1193" spans="1:65" s="13" customFormat="1" ht="11.25">
      <c r="B1193" s="194"/>
      <c r="C1193" s="195"/>
      <c r="D1193" s="196" t="s">
        <v>388</v>
      </c>
      <c r="E1193" s="197" t="s">
        <v>19</v>
      </c>
      <c r="F1193" s="198" t="s">
        <v>1617</v>
      </c>
      <c r="G1193" s="195"/>
      <c r="H1193" s="197" t="s">
        <v>19</v>
      </c>
      <c r="I1193" s="199"/>
      <c r="J1193" s="195"/>
      <c r="K1193" s="195"/>
      <c r="L1193" s="200"/>
      <c r="M1193" s="201"/>
      <c r="N1193" s="202"/>
      <c r="O1193" s="202"/>
      <c r="P1193" s="202"/>
      <c r="Q1193" s="202"/>
      <c r="R1193" s="202"/>
      <c r="S1193" s="202"/>
      <c r="T1193" s="203"/>
      <c r="AT1193" s="204" t="s">
        <v>388</v>
      </c>
      <c r="AU1193" s="204" t="s">
        <v>82</v>
      </c>
      <c r="AV1193" s="13" t="s">
        <v>79</v>
      </c>
      <c r="AW1193" s="13" t="s">
        <v>33</v>
      </c>
      <c r="AX1193" s="13" t="s">
        <v>72</v>
      </c>
      <c r="AY1193" s="204" t="s">
        <v>380</v>
      </c>
    </row>
    <row r="1194" spans="1:65" s="14" customFormat="1" ht="11.25">
      <c r="B1194" s="205"/>
      <c r="C1194" s="206"/>
      <c r="D1194" s="196" t="s">
        <v>388</v>
      </c>
      <c r="E1194" s="207" t="s">
        <v>19</v>
      </c>
      <c r="F1194" s="208" t="s">
        <v>1618</v>
      </c>
      <c r="G1194" s="206"/>
      <c r="H1194" s="209">
        <v>1137.316</v>
      </c>
      <c r="I1194" s="210"/>
      <c r="J1194" s="206"/>
      <c r="K1194" s="206"/>
      <c r="L1194" s="211"/>
      <c r="M1194" s="212"/>
      <c r="N1194" s="213"/>
      <c r="O1194" s="213"/>
      <c r="P1194" s="213"/>
      <c r="Q1194" s="213"/>
      <c r="R1194" s="213"/>
      <c r="S1194" s="213"/>
      <c r="T1194" s="214"/>
      <c r="AT1194" s="215" t="s">
        <v>388</v>
      </c>
      <c r="AU1194" s="215" t="s">
        <v>82</v>
      </c>
      <c r="AV1194" s="14" t="s">
        <v>82</v>
      </c>
      <c r="AW1194" s="14" t="s">
        <v>33</v>
      </c>
      <c r="AX1194" s="14" t="s">
        <v>72</v>
      </c>
      <c r="AY1194" s="215" t="s">
        <v>380</v>
      </c>
    </row>
    <row r="1195" spans="1:65" s="13" customFormat="1" ht="11.25">
      <c r="B1195" s="194"/>
      <c r="C1195" s="195"/>
      <c r="D1195" s="196" t="s">
        <v>388</v>
      </c>
      <c r="E1195" s="197" t="s">
        <v>19</v>
      </c>
      <c r="F1195" s="198" t="s">
        <v>1619</v>
      </c>
      <c r="G1195" s="195"/>
      <c r="H1195" s="197" t="s">
        <v>19</v>
      </c>
      <c r="I1195" s="199"/>
      <c r="J1195" s="195"/>
      <c r="K1195" s="195"/>
      <c r="L1195" s="200"/>
      <c r="M1195" s="201"/>
      <c r="N1195" s="202"/>
      <c r="O1195" s="202"/>
      <c r="P1195" s="202"/>
      <c r="Q1195" s="202"/>
      <c r="R1195" s="202"/>
      <c r="S1195" s="202"/>
      <c r="T1195" s="203"/>
      <c r="AT1195" s="204" t="s">
        <v>388</v>
      </c>
      <c r="AU1195" s="204" t="s">
        <v>82</v>
      </c>
      <c r="AV1195" s="13" t="s">
        <v>79</v>
      </c>
      <c r="AW1195" s="13" t="s">
        <v>33</v>
      </c>
      <c r="AX1195" s="13" t="s">
        <v>72</v>
      </c>
      <c r="AY1195" s="204" t="s">
        <v>380</v>
      </c>
    </row>
    <row r="1196" spans="1:65" s="14" customFormat="1" ht="11.25">
      <c r="B1196" s="205"/>
      <c r="C1196" s="206"/>
      <c r="D1196" s="196" t="s">
        <v>388</v>
      </c>
      <c r="E1196" s="207" t="s">
        <v>19</v>
      </c>
      <c r="F1196" s="208" t="s">
        <v>850</v>
      </c>
      <c r="G1196" s="206"/>
      <c r="H1196" s="209">
        <v>568.65800000000002</v>
      </c>
      <c r="I1196" s="210"/>
      <c r="J1196" s="206"/>
      <c r="K1196" s="206"/>
      <c r="L1196" s="211"/>
      <c r="M1196" s="212"/>
      <c r="N1196" s="213"/>
      <c r="O1196" s="213"/>
      <c r="P1196" s="213"/>
      <c r="Q1196" s="213"/>
      <c r="R1196" s="213"/>
      <c r="S1196" s="213"/>
      <c r="T1196" s="214"/>
      <c r="AT1196" s="215" t="s">
        <v>388</v>
      </c>
      <c r="AU1196" s="215" t="s">
        <v>82</v>
      </c>
      <c r="AV1196" s="14" t="s">
        <v>82</v>
      </c>
      <c r="AW1196" s="14" t="s">
        <v>33</v>
      </c>
      <c r="AX1196" s="14" t="s">
        <v>72</v>
      </c>
      <c r="AY1196" s="215" t="s">
        <v>380</v>
      </c>
    </row>
    <row r="1197" spans="1:65" s="13" customFormat="1" ht="11.25">
      <c r="B1197" s="194"/>
      <c r="C1197" s="195"/>
      <c r="D1197" s="196" t="s">
        <v>388</v>
      </c>
      <c r="E1197" s="197" t="s">
        <v>19</v>
      </c>
      <c r="F1197" s="198" t="s">
        <v>1620</v>
      </c>
      <c r="G1197" s="195"/>
      <c r="H1197" s="197" t="s">
        <v>19</v>
      </c>
      <c r="I1197" s="199"/>
      <c r="J1197" s="195"/>
      <c r="K1197" s="195"/>
      <c r="L1197" s="200"/>
      <c r="M1197" s="201"/>
      <c r="N1197" s="202"/>
      <c r="O1197" s="202"/>
      <c r="P1197" s="202"/>
      <c r="Q1197" s="202"/>
      <c r="R1197" s="202"/>
      <c r="S1197" s="202"/>
      <c r="T1197" s="203"/>
      <c r="AT1197" s="204" t="s">
        <v>388</v>
      </c>
      <c r="AU1197" s="204" t="s">
        <v>82</v>
      </c>
      <c r="AV1197" s="13" t="s">
        <v>79</v>
      </c>
      <c r="AW1197" s="13" t="s">
        <v>33</v>
      </c>
      <c r="AX1197" s="13" t="s">
        <v>72</v>
      </c>
      <c r="AY1197" s="204" t="s">
        <v>380</v>
      </c>
    </row>
    <row r="1198" spans="1:65" s="14" customFormat="1" ht="11.25">
      <c r="B1198" s="205"/>
      <c r="C1198" s="206"/>
      <c r="D1198" s="196" t="s">
        <v>388</v>
      </c>
      <c r="E1198" s="207" t="s">
        <v>19</v>
      </c>
      <c r="F1198" s="208" t="s">
        <v>1427</v>
      </c>
      <c r="G1198" s="206"/>
      <c r="H1198" s="209">
        <v>17.600000000000001</v>
      </c>
      <c r="I1198" s="210"/>
      <c r="J1198" s="206"/>
      <c r="K1198" s="206"/>
      <c r="L1198" s="211"/>
      <c r="M1198" s="212"/>
      <c r="N1198" s="213"/>
      <c r="O1198" s="213"/>
      <c r="P1198" s="213"/>
      <c r="Q1198" s="213"/>
      <c r="R1198" s="213"/>
      <c r="S1198" s="213"/>
      <c r="T1198" s="214"/>
      <c r="AT1198" s="215" t="s">
        <v>388</v>
      </c>
      <c r="AU1198" s="215" t="s">
        <v>82</v>
      </c>
      <c r="AV1198" s="14" t="s">
        <v>82</v>
      </c>
      <c r="AW1198" s="14" t="s">
        <v>33</v>
      </c>
      <c r="AX1198" s="14" t="s">
        <v>72</v>
      </c>
      <c r="AY1198" s="215" t="s">
        <v>380</v>
      </c>
    </row>
    <row r="1199" spans="1:65" s="13" customFormat="1" ht="11.25">
      <c r="B1199" s="194"/>
      <c r="C1199" s="195"/>
      <c r="D1199" s="196" t="s">
        <v>388</v>
      </c>
      <c r="E1199" s="197" t="s">
        <v>19</v>
      </c>
      <c r="F1199" s="198" t="s">
        <v>1621</v>
      </c>
      <c r="G1199" s="195"/>
      <c r="H1199" s="197" t="s">
        <v>19</v>
      </c>
      <c r="I1199" s="199"/>
      <c r="J1199" s="195"/>
      <c r="K1199" s="195"/>
      <c r="L1199" s="200"/>
      <c r="M1199" s="201"/>
      <c r="N1199" s="202"/>
      <c r="O1199" s="202"/>
      <c r="P1199" s="202"/>
      <c r="Q1199" s="202"/>
      <c r="R1199" s="202"/>
      <c r="S1199" s="202"/>
      <c r="T1199" s="203"/>
      <c r="AT1199" s="204" t="s">
        <v>388</v>
      </c>
      <c r="AU1199" s="204" t="s">
        <v>82</v>
      </c>
      <c r="AV1199" s="13" t="s">
        <v>79</v>
      </c>
      <c r="AW1199" s="13" t="s">
        <v>33</v>
      </c>
      <c r="AX1199" s="13" t="s">
        <v>72</v>
      </c>
      <c r="AY1199" s="204" t="s">
        <v>380</v>
      </c>
    </row>
    <row r="1200" spans="1:65" s="13" customFormat="1" ht="11.25">
      <c r="B1200" s="194"/>
      <c r="C1200" s="195"/>
      <c r="D1200" s="196" t="s">
        <v>388</v>
      </c>
      <c r="E1200" s="197" t="s">
        <v>19</v>
      </c>
      <c r="F1200" s="198" t="s">
        <v>1622</v>
      </c>
      <c r="G1200" s="195"/>
      <c r="H1200" s="197" t="s">
        <v>19</v>
      </c>
      <c r="I1200" s="199"/>
      <c r="J1200" s="195"/>
      <c r="K1200" s="195"/>
      <c r="L1200" s="200"/>
      <c r="M1200" s="201"/>
      <c r="N1200" s="202"/>
      <c r="O1200" s="202"/>
      <c r="P1200" s="202"/>
      <c r="Q1200" s="202"/>
      <c r="R1200" s="202"/>
      <c r="S1200" s="202"/>
      <c r="T1200" s="203"/>
      <c r="AT1200" s="204" t="s">
        <v>388</v>
      </c>
      <c r="AU1200" s="204" t="s">
        <v>82</v>
      </c>
      <c r="AV1200" s="13" t="s">
        <v>79</v>
      </c>
      <c r="AW1200" s="13" t="s">
        <v>33</v>
      </c>
      <c r="AX1200" s="13" t="s">
        <v>72</v>
      </c>
      <c r="AY1200" s="204" t="s">
        <v>380</v>
      </c>
    </row>
    <row r="1201" spans="1:65" s="13" customFormat="1" ht="11.25">
      <c r="B1201" s="194"/>
      <c r="C1201" s="195"/>
      <c r="D1201" s="196" t="s">
        <v>388</v>
      </c>
      <c r="E1201" s="197" t="s">
        <v>19</v>
      </c>
      <c r="F1201" s="198" t="s">
        <v>1623</v>
      </c>
      <c r="G1201" s="195"/>
      <c r="H1201" s="197" t="s">
        <v>19</v>
      </c>
      <c r="I1201" s="199"/>
      <c r="J1201" s="195"/>
      <c r="K1201" s="195"/>
      <c r="L1201" s="200"/>
      <c r="M1201" s="201"/>
      <c r="N1201" s="202"/>
      <c r="O1201" s="202"/>
      <c r="P1201" s="202"/>
      <c r="Q1201" s="202"/>
      <c r="R1201" s="202"/>
      <c r="S1201" s="202"/>
      <c r="T1201" s="203"/>
      <c r="AT1201" s="204" t="s">
        <v>388</v>
      </c>
      <c r="AU1201" s="204" t="s">
        <v>82</v>
      </c>
      <c r="AV1201" s="13" t="s">
        <v>79</v>
      </c>
      <c r="AW1201" s="13" t="s">
        <v>33</v>
      </c>
      <c r="AX1201" s="13" t="s">
        <v>72</v>
      </c>
      <c r="AY1201" s="204" t="s">
        <v>380</v>
      </c>
    </row>
    <row r="1202" spans="1:65" s="14" customFormat="1" ht="11.25">
      <c r="B1202" s="205"/>
      <c r="C1202" s="206"/>
      <c r="D1202" s="196" t="s">
        <v>388</v>
      </c>
      <c r="E1202" s="207" t="s">
        <v>19</v>
      </c>
      <c r="F1202" s="208" t="s">
        <v>1624</v>
      </c>
      <c r="G1202" s="206"/>
      <c r="H1202" s="209">
        <v>137.52199999999999</v>
      </c>
      <c r="I1202" s="210"/>
      <c r="J1202" s="206"/>
      <c r="K1202" s="206"/>
      <c r="L1202" s="211"/>
      <c r="M1202" s="212"/>
      <c r="N1202" s="213"/>
      <c r="O1202" s="213"/>
      <c r="P1202" s="213"/>
      <c r="Q1202" s="213"/>
      <c r="R1202" s="213"/>
      <c r="S1202" s="213"/>
      <c r="T1202" s="214"/>
      <c r="AT1202" s="215" t="s">
        <v>388</v>
      </c>
      <c r="AU1202" s="215" t="s">
        <v>82</v>
      </c>
      <c r="AV1202" s="14" t="s">
        <v>82</v>
      </c>
      <c r="AW1202" s="14" t="s">
        <v>33</v>
      </c>
      <c r="AX1202" s="14" t="s">
        <v>72</v>
      </c>
      <c r="AY1202" s="215" t="s">
        <v>380</v>
      </c>
    </row>
    <row r="1203" spans="1:65" s="13" customFormat="1" ht="11.25">
      <c r="B1203" s="194"/>
      <c r="C1203" s="195"/>
      <c r="D1203" s="196" t="s">
        <v>388</v>
      </c>
      <c r="E1203" s="197" t="s">
        <v>19</v>
      </c>
      <c r="F1203" s="198" t="s">
        <v>1625</v>
      </c>
      <c r="G1203" s="195"/>
      <c r="H1203" s="197" t="s">
        <v>19</v>
      </c>
      <c r="I1203" s="199"/>
      <c r="J1203" s="195"/>
      <c r="K1203" s="195"/>
      <c r="L1203" s="200"/>
      <c r="M1203" s="201"/>
      <c r="N1203" s="202"/>
      <c r="O1203" s="202"/>
      <c r="P1203" s="202"/>
      <c r="Q1203" s="202"/>
      <c r="R1203" s="202"/>
      <c r="S1203" s="202"/>
      <c r="T1203" s="203"/>
      <c r="AT1203" s="204" t="s">
        <v>388</v>
      </c>
      <c r="AU1203" s="204" t="s">
        <v>82</v>
      </c>
      <c r="AV1203" s="13" t="s">
        <v>79</v>
      </c>
      <c r="AW1203" s="13" t="s">
        <v>33</v>
      </c>
      <c r="AX1203" s="13" t="s">
        <v>72</v>
      </c>
      <c r="AY1203" s="204" t="s">
        <v>380</v>
      </c>
    </row>
    <row r="1204" spans="1:65" s="14" customFormat="1" ht="11.25">
      <c r="B1204" s="205"/>
      <c r="C1204" s="206"/>
      <c r="D1204" s="196" t="s">
        <v>388</v>
      </c>
      <c r="E1204" s="207" t="s">
        <v>19</v>
      </c>
      <c r="F1204" s="208" t="s">
        <v>1417</v>
      </c>
      <c r="G1204" s="206"/>
      <c r="H1204" s="209">
        <v>27.103999999999999</v>
      </c>
      <c r="I1204" s="210"/>
      <c r="J1204" s="206"/>
      <c r="K1204" s="206"/>
      <c r="L1204" s="211"/>
      <c r="M1204" s="212"/>
      <c r="N1204" s="213"/>
      <c r="O1204" s="213"/>
      <c r="P1204" s="213"/>
      <c r="Q1204" s="213"/>
      <c r="R1204" s="213"/>
      <c r="S1204" s="213"/>
      <c r="T1204" s="214"/>
      <c r="AT1204" s="215" t="s">
        <v>388</v>
      </c>
      <c r="AU1204" s="215" t="s">
        <v>82</v>
      </c>
      <c r="AV1204" s="14" t="s">
        <v>82</v>
      </c>
      <c r="AW1204" s="14" t="s">
        <v>33</v>
      </c>
      <c r="AX1204" s="14" t="s">
        <v>72</v>
      </c>
      <c r="AY1204" s="215" t="s">
        <v>380</v>
      </c>
    </row>
    <row r="1205" spans="1:65" s="13" customFormat="1" ht="11.25">
      <c r="B1205" s="194"/>
      <c r="C1205" s="195"/>
      <c r="D1205" s="196" t="s">
        <v>388</v>
      </c>
      <c r="E1205" s="197" t="s">
        <v>19</v>
      </c>
      <c r="F1205" s="198" t="s">
        <v>1626</v>
      </c>
      <c r="G1205" s="195"/>
      <c r="H1205" s="197" t="s">
        <v>19</v>
      </c>
      <c r="I1205" s="199"/>
      <c r="J1205" s="195"/>
      <c r="K1205" s="195"/>
      <c r="L1205" s="200"/>
      <c r="M1205" s="201"/>
      <c r="N1205" s="202"/>
      <c r="O1205" s="202"/>
      <c r="P1205" s="202"/>
      <c r="Q1205" s="202"/>
      <c r="R1205" s="202"/>
      <c r="S1205" s="202"/>
      <c r="T1205" s="203"/>
      <c r="AT1205" s="204" t="s">
        <v>388</v>
      </c>
      <c r="AU1205" s="204" t="s">
        <v>82</v>
      </c>
      <c r="AV1205" s="13" t="s">
        <v>79</v>
      </c>
      <c r="AW1205" s="13" t="s">
        <v>33</v>
      </c>
      <c r="AX1205" s="13" t="s">
        <v>72</v>
      </c>
      <c r="AY1205" s="204" t="s">
        <v>380</v>
      </c>
    </row>
    <row r="1206" spans="1:65" s="13" customFormat="1" ht="11.25">
      <c r="B1206" s="194"/>
      <c r="C1206" s="195"/>
      <c r="D1206" s="196" t="s">
        <v>388</v>
      </c>
      <c r="E1206" s="197" t="s">
        <v>19</v>
      </c>
      <c r="F1206" s="198" t="s">
        <v>1627</v>
      </c>
      <c r="G1206" s="195"/>
      <c r="H1206" s="197" t="s">
        <v>19</v>
      </c>
      <c r="I1206" s="199"/>
      <c r="J1206" s="195"/>
      <c r="K1206" s="195"/>
      <c r="L1206" s="200"/>
      <c r="M1206" s="201"/>
      <c r="N1206" s="202"/>
      <c r="O1206" s="202"/>
      <c r="P1206" s="202"/>
      <c r="Q1206" s="202"/>
      <c r="R1206" s="202"/>
      <c r="S1206" s="202"/>
      <c r="T1206" s="203"/>
      <c r="AT1206" s="204" t="s">
        <v>388</v>
      </c>
      <c r="AU1206" s="204" t="s">
        <v>82</v>
      </c>
      <c r="AV1206" s="13" t="s">
        <v>79</v>
      </c>
      <c r="AW1206" s="13" t="s">
        <v>33</v>
      </c>
      <c r="AX1206" s="13" t="s">
        <v>72</v>
      </c>
      <c r="AY1206" s="204" t="s">
        <v>380</v>
      </c>
    </row>
    <row r="1207" spans="1:65" s="14" customFormat="1" ht="11.25">
      <c r="B1207" s="205"/>
      <c r="C1207" s="206"/>
      <c r="D1207" s="196" t="s">
        <v>388</v>
      </c>
      <c r="E1207" s="207" t="s">
        <v>19</v>
      </c>
      <c r="F1207" s="208" t="s">
        <v>1628</v>
      </c>
      <c r="G1207" s="206"/>
      <c r="H1207" s="209">
        <v>22.905000000000001</v>
      </c>
      <c r="I1207" s="210"/>
      <c r="J1207" s="206"/>
      <c r="K1207" s="206"/>
      <c r="L1207" s="211"/>
      <c r="M1207" s="212"/>
      <c r="N1207" s="213"/>
      <c r="O1207" s="213"/>
      <c r="P1207" s="213"/>
      <c r="Q1207" s="213"/>
      <c r="R1207" s="213"/>
      <c r="S1207" s="213"/>
      <c r="T1207" s="214"/>
      <c r="AT1207" s="215" t="s">
        <v>388</v>
      </c>
      <c r="AU1207" s="215" t="s">
        <v>82</v>
      </c>
      <c r="AV1207" s="14" t="s">
        <v>82</v>
      </c>
      <c r="AW1207" s="14" t="s">
        <v>33</v>
      </c>
      <c r="AX1207" s="14" t="s">
        <v>72</v>
      </c>
      <c r="AY1207" s="215" t="s">
        <v>380</v>
      </c>
    </row>
    <row r="1208" spans="1:65" s="13" customFormat="1" ht="11.25">
      <c r="B1208" s="194"/>
      <c r="C1208" s="195"/>
      <c r="D1208" s="196" t="s">
        <v>388</v>
      </c>
      <c r="E1208" s="197" t="s">
        <v>19</v>
      </c>
      <c r="F1208" s="198" t="s">
        <v>1629</v>
      </c>
      <c r="G1208" s="195"/>
      <c r="H1208" s="197" t="s">
        <v>19</v>
      </c>
      <c r="I1208" s="199"/>
      <c r="J1208" s="195"/>
      <c r="K1208" s="195"/>
      <c r="L1208" s="200"/>
      <c r="M1208" s="201"/>
      <c r="N1208" s="202"/>
      <c r="O1208" s="202"/>
      <c r="P1208" s="202"/>
      <c r="Q1208" s="202"/>
      <c r="R1208" s="202"/>
      <c r="S1208" s="202"/>
      <c r="T1208" s="203"/>
      <c r="AT1208" s="204" t="s">
        <v>388</v>
      </c>
      <c r="AU1208" s="204" t="s">
        <v>82</v>
      </c>
      <c r="AV1208" s="13" t="s">
        <v>79</v>
      </c>
      <c r="AW1208" s="13" t="s">
        <v>33</v>
      </c>
      <c r="AX1208" s="13" t="s">
        <v>72</v>
      </c>
      <c r="AY1208" s="204" t="s">
        <v>380</v>
      </c>
    </row>
    <row r="1209" spans="1:65" s="14" customFormat="1" ht="11.25">
      <c r="B1209" s="205"/>
      <c r="C1209" s="206"/>
      <c r="D1209" s="196" t="s">
        <v>388</v>
      </c>
      <c r="E1209" s="207" t="s">
        <v>19</v>
      </c>
      <c r="F1209" s="208" t="s">
        <v>1630</v>
      </c>
      <c r="G1209" s="206"/>
      <c r="H1209" s="209">
        <v>25.84</v>
      </c>
      <c r="I1209" s="210"/>
      <c r="J1209" s="206"/>
      <c r="K1209" s="206"/>
      <c r="L1209" s="211"/>
      <c r="M1209" s="212"/>
      <c r="N1209" s="213"/>
      <c r="O1209" s="213"/>
      <c r="P1209" s="213"/>
      <c r="Q1209" s="213"/>
      <c r="R1209" s="213"/>
      <c r="S1209" s="213"/>
      <c r="T1209" s="214"/>
      <c r="AT1209" s="215" t="s">
        <v>388</v>
      </c>
      <c r="AU1209" s="215" t="s">
        <v>82</v>
      </c>
      <c r="AV1209" s="14" t="s">
        <v>82</v>
      </c>
      <c r="AW1209" s="14" t="s">
        <v>33</v>
      </c>
      <c r="AX1209" s="14" t="s">
        <v>72</v>
      </c>
      <c r="AY1209" s="215" t="s">
        <v>380</v>
      </c>
    </row>
    <row r="1210" spans="1:65" s="13" customFormat="1" ht="11.25">
      <c r="B1210" s="194"/>
      <c r="C1210" s="195"/>
      <c r="D1210" s="196" t="s">
        <v>388</v>
      </c>
      <c r="E1210" s="197" t="s">
        <v>19</v>
      </c>
      <c r="F1210" s="198" t="s">
        <v>1631</v>
      </c>
      <c r="G1210" s="195"/>
      <c r="H1210" s="197" t="s">
        <v>19</v>
      </c>
      <c r="I1210" s="199"/>
      <c r="J1210" s="195"/>
      <c r="K1210" s="195"/>
      <c r="L1210" s="200"/>
      <c r="M1210" s="201"/>
      <c r="N1210" s="202"/>
      <c r="O1210" s="202"/>
      <c r="P1210" s="202"/>
      <c r="Q1210" s="202"/>
      <c r="R1210" s="202"/>
      <c r="S1210" s="202"/>
      <c r="T1210" s="203"/>
      <c r="AT1210" s="204" t="s">
        <v>388</v>
      </c>
      <c r="AU1210" s="204" t="s">
        <v>82</v>
      </c>
      <c r="AV1210" s="13" t="s">
        <v>79</v>
      </c>
      <c r="AW1210" s="13" t="s">
        <v>33</v>
      </c>
      <c r="AX1210" s="13" t="s">
        <v>72</v>
      </c>
      <c r="AY1210" s="204" t="s">
        <v>380</v>
      </c>
    </row>
    <row r="1211" spans="1:65" s="13" customFormat="1" ht="11.25">
      <c r="B1211" s="194"/>
      <c r="C1211" s="195"/>
      <c r="D1211" s="196" t="s">
        <v>388</v>
      </c>
      <c r="E1211" s="197" t="s">
        <v>19</v>
      </c>
      <c r="F1211" s="198" t="s">
        <v>1632</v>
      </c>
      <c r="G1211" s="195"/>
      <c r="H1211" s="197" t="s">
        <v>19</v>
      </c>
      <c r="I1211" s="199"/>
      <c r="J1211" s="195"/>
      <c r="K1211" s="195"/>
      <c r="L1211" s="200"/>
      <c r="M1211" s="201"/>
      <c r="N1211" s="202"/>
      <c r="O1211" s="202"/>
      <c r="P1211" s="202"/>
      <c r="Q1211" s="202"/>
      <c r="R1211" s="202"/>
      <c r="S1211" s="202"/>
      <c r="T1211" s="203"/>
      <c r="AT1211" s="204" t="s">
        <v>388</v>
      </c>
      <c r="AU1211" s="204" t="s">
        <v>82</v>
      </c>
      <c r="AV1211" s="13" t="s">
        <v>79</v>
      </c>
      <c r="AW1211" s="13" t="s">
        <v>33</v>
      </c>
      <c r="AX1211" s="13" t="s">
        <v>72</v>
      </c>
      <c r="AY1211" s="204" t="s">
        <v>380</v>
      </c>
    </row>
    <row r="1212" spans="1:65" s="14" customFormat="1" ht="11.25">
      <c r="B1212" s="205"/>
      <c r="C1212" s="206"/>
      <c r="D1212" s="196" t="s">
        <v>388</v>
      </c>
      <c r="E1212" s="207" t="s">
        <v>19</v>
      </c>
      <c r="F1212" s="208" t="s">
        <v>1633</v>
      </c>
      <c r="G1212" s="206"/>
      <c r="H1212" s="209">
        <v>134.85599999999999</v>
      </c>
      <c r="I1212" s="210"/>
      <c r="J1212" s="206"/>
      <c r="K1212" s="206"/>
      <c r="L1212" s="211"/>
      <c r="M1212" s="212"/>
      <c r="N1212" s="213"/>
      <c r="O1212" s="213"/>
      <c r="P1212" s="213"/>
      <c r="Q1212" s="213"/>
      <c r="R1212" s="213"/>
      <c r="S1212" s="213"/>
      <c r="T1212" s="214"/>
      <c r="AT1212" s="215" t="s">
        <v>388</v>
      </c>
      <c r="AU1212" s="215" t="s">
        <v>82</v>
      </c>
      <c r="AV1212" s="14" t="s">
        <v>82</v>
      </c>
      <c r="AW1212" s="14" t="s">
        <v>33</v>
      </c>
      <c r="AX1212" s="14" t="s">
        <v>72</v>
      </c>
      <c r="AY1212" s="215" t="s">
        <v>380</v>
      </c>
    </row>
    <row r="1213" spans="1:65" s="15" customFormat="1" ht="11.25">
      <c r="B1213" s="216"/>
      <c r="C1213" s="217"/>
      <c r="D1213" s="196" t="s">
        <v>388</v>
      </c>
      <c r="E1213" s="218" t="s">
        <v>19</v>
      </c>
      <c r="F1213" s="219" t="s">
        <v>419</v>
      </c>
      <c r="G1213" s="217"/>
      <c r="H1213" s="220">
        <v>2536.6689999999999</v>
      </c>
      <c r="I1213" s="221"/>
      <c r="J1213" s="217"/>
      <c r="K1213" s="217"/>
      <c r="L1213" s="222"/>
      <c r="M1213" s="223"/>
      <c r="N1213" s="224"/>
      <c r="O1213" s="224"/>
      <c r="P1213" s="224"/>
      <c r="Q1213" s="224"/>
      <c r="R1213" s="224"/>
      <c r="S1213" s="224"/>
      <c r="T1213" s="225"/>
      <c r="AT1213" s="226" t="s">
        <v>388</v>
      </c>
      <c r="AU1213" s="226" t="s">
        <v>82</v>
      </c>
      <c r="AV1213" s="15" t="s">
        <v>386</v>
      </c>
      <c r="AW1213" s="15" t="s">
        <v>33</v>
      </c>
      <c r="AX1213" s="15" t="s">
        <v>79</v>
      </c>
      <c r="AY1213" s="226" t="s">
        <v>380</v>
      </c>
    </row>
    <row r="1214" spans="1:65" s="2" customFormat="1" ht="16.5" customHeight="1">
      <c r="A1214" s="36"/>
      <c r="B1214" s="37"/>
      <c r="C1214" s="227" t="s">
        <v>1634</v>
      </c>
      <c r="D1214" s="227" t="s">
        <v>465</v>
      </c>
      <c r="E1214" s="228" t="s">
        <v>1635</v>
      </c>
      <c r="F1214" s="229" t="s">
        <v>1636</v>
      </c>
      <c r="G1214" s="230" t="s">
        <v>398</v>
      </c>
      <c r="H1214" s="231">
        <v>140.27199999999999</v>
      </c>
      <c r="I1214" s="232"/>
      <c r="J1214" s="233">
        <f>ROUND(I1214*H1214,2)</f>
        <v>0</v>
      </c>
      <c r="K1214" s="229" t="s">
        <v>399</v>
      </c>
      <c r="L1214" s="234"/>
      <c r="M1214" s="235" t="s">
        <v>19</v>
      </c>
      <c r="N1214" s="236" t="s">
        <v>43</v>
      </c>
      <c r="O1214" s="66"/>
      <c r="P1214" s="190">
        <f>O1214*H1214</f>
        <v>0</v>
      </c>
      <c r="Q1214" s="190">
        <v>2.5000000000000001E-3</v>
      </c>
      <c r="R1214" s="190">
        <f>Q1214*H1214</f>
        <v>0.35067999999999999</v>
      </c>
      <c r="S1214" s="190">
        <v>0</v>
      </c>
      <c r="T1214" s="191">
        <f>S1214*H1214</f>
        <v>0</v>
      </c>
      <c r="U1214" s="36"/>
      <c r="V1214" s="36"/>
      <c r="W1214" s="36"/>
      <c r="X1214" s="36"/>
      <c r="Y1214" s="36"/>
      <c r="Z1214" s="36"/>
      <c r="AA1214" s="36"/>
      <c r="AB1214" s="36"/>
      <c r="AC1214" s="36"/>
      <c r="AD1214" s="36"/>
      <c r="AE1214" s="36"/>
      <c r="AR1214" s="192" t="s">
        <v>546</v>
      </c>
      <c r="AT1214" s="192" t="s">
        <v>465</v>
      </c>
      <c r="AU1214" s="192" t="s">
        <v>82</v>
      </c>
      <c r="AY1214" s="19" t="s">
        <v>380</v>
      </c>
      <c r="BE1214" s="193">
        <f>IF(N1214="základní",J1214,0)</f>
        <v>0</v>
      </c>
      <c r="BF1214" s="193">
        <f>IF(N1214="snížená",J1214,0)</f>
        <v>0</v>
      </c>
      <c r="BG1214" s="193">
        <f>IF(N1214="zákl. přenesená",J1214,0)</f>
        <v>0</v>
      </c>
      <c r="BH1214" s="193">
        <f>IF(N1214="sníž. přenesená",J1214,0)</f>
        <v>0</v>
      </c>
      <c r="BI1214" s="193">
        <f>IF(N1214="nulová",J1214,0)</f>
        <v>0</v>
      </c>
      <c r="BJ1214" s="19" t="s">
        <v>79</v>
      </c>
      <c r="BK1214" s="193">
        <f>ROUND(I1214*H1214,2)</f>
        <v>0</v>
      </c>
      <c r="BL1214" s="19" t="s">
        <v>281</v>
      </c>
      <c r="BM1214" s="192" t="s">
        <v>1637</v>
      </c>
    </row>
    <row r="1215" spans="1:65" s="13" customFormat="1" ht="11.25">
      <c r="B1215" s="194"/>
      <c r="C1215" s="195"/>
      <c r="D1215" s="196" t="s">
        <v>388</v>
      </c>
      <c r="E1215" s="197" t="s">
        <v>19</v>
      </c>
      <c r="F1215" s="198" t="s">
        <v>1621</v>
      </c>
      <c r="G1215" s="195"/>
      <c r="H1215" s="197" t="s">
        <v>19</v>
      </c>
      <c r="I1215" s="199"/>
      <c r="J1215" s="195"/>
      <c r="K1215" s="195"/>
      <c r="L1215" s="200"/>
      <c r="M1215" s="201"/>
      <c r="N1215" s="202"/>
      <c r="O1215" s="202"/>
      <c r="P1215" s="202"/>
      <c r="Q1215" s="202"/>
      <c r="R1215" s="202"/>
      <c r="S1215" s="202"/>
      <c r="T1215" s="203"/>
      <c r="AT1215" s="204" t="s">
        <v>388</v>
      </c>
      <c r="AU1215" s="204" t="s">
        <v>82</v>
      </c>
      <c r="AV1215" s="13" t="s">
        <v>79</v>
      </c>
      <c r="AW1215" s="13" t="s">
        <v>33</v>
      </c>
      <c r="AX1215" s="13" t="s">
        <v>72</v>
      </c>
      <c r="AY1215" s="204" t="s">
        <v>380</v>
      </c>
    </row>
    <row r="1216" spans="1:65" s="13" customFormat="1" ht="11.25">
      <c r="B1216" s="194"/>
      <c r="C1216" s="195"/>
      <c r="D1216" s="196" t="s">
        <v>388</v>
      </c>
      <c r="E1216" s="197" t="s">
        <v>19</v>
      </c>
      <c r="F1216" s="198" t="s">
        <v>1622</v>
      </c>
      <c r="G1216" s="195"/>
      <c r="H1216" s="197" t="s">
        <v>19</v>
      </c>
      <c r="I1216" s="199"/>
      <c r="J1216" s="195"/>
      <c r="K1216" s="195"/>
      <c r="L1216" s="200"/>
      <c r="M1216" s="201"/>
      <c r="N1216" s="202"/>
      <c r="O1216" s="202"/>
      <c r="P1216" s="202"/>
      <c r="Q1216" s="202"/>
      <c r="R1216" s="202"/>
      <c r="S1216" s="202"/>
      <c r="T1216" s="203"/>
      <c r="AT1216" s="204" t="s">
        <v>388</v>
      </c>
      <c r="AU1216" s="204" t="s">
        <v>82</v>
      </c>
      <c r="AV1216" s="13" t="s">
        <v>79</v>
      </c>
      <c r="AW1216" s="13" t="s">
        <v>33</v>
      </c>
      <c r="AX1216" s="13" t="s">
        <v>72</v>
      </c>
      <c r="AY1216" s="204" t="s">
        <v>380</v>
      </c>
    </row>
    <row r="1217" spans="1:65" s="13" customFormat="1" ht="11.25">
      <c r="B1217" s="194"/>
      <c r="C1217" s="195"/>
      <c r="D1217" s="196" t="s">
        <v>388</v>
      </c>
      <c r="E1217" s="197" t="s">
        <v>19</v>
      </c>
      <c r="F1217" s="198" t="s">
        <v>1623</v>
      </c>
      <c r="G1217" s="195"/>
      <c r="H1217" s="197" t="s">
        <v>19</v>
      </c>
      <c r="I1217" s="199"/>
      <c r="J1217" s="195"/>
      <c r="K1217" s="195"/>
      <c r="L1217" s="200"/>
      <c r="M1217" s="201"/>
      <c r="N1217" s="202"/>
      <c r="O1217" s="202"/>
      <c r="P1217" s="202"/>
      <c r="Q1217" s="202"/>
      <c r="R1217" s="202"/>
      <c r="S1217" s="202"/>
      <c r="T1217" s="203"/>
      <c r="AT1217" s="204" t="s">
        <v>388</v>
      </c>
      <c r="AU1217" s="204" t="s">
        <v>82</v>
      </c>
      <c r="AV1217" s="13" t="s">
        <v>79</v>
      </c>
      <c r="AW1217" s="13" t="s">
        <v>33</v>
      </c>
      <c r="AX1217" s="13" t="s">
        <v>72</v>
      </c>
      <c r="AY1217" s="204" t="s">
        <v>380</v>
      </c>
    </row>
    <row r="1218" spans="1:65" s="14" customFormat="1" ht="11.25">
      <c r="B1218" s="205"/>
      <c r="C1218" s="206"/>
      <c r="D1218" s="196" t="s">
        <v>388</v>
      </c>
      <c r="E1218" s="207" t="s">
        <v>19</v>
      </c>
      <c r="F1218" s="208" t="s">
        <v>1638</v>
      </c>
      <c r="G1218" s="206"/>
      <c r="H1218" s="209">
        <v>140.27199999999999</v>
      </c>
      <c r="I1218" s="210"/>
      <c r="J1218" s="206"/>
      <c r="K1218" s="206"/>
      <c r="L1218" s="211"/>
      <c r="M1218" s="212"/>
      <c r="N1218" s="213"/>
      <c r="O1218" s="213"/>
      <c r="P1218" s="213"/>
      <c r="Q1218" s="213"/>
      <c r="R1218" s="213"/>
      <c r="S1218" s="213"/>
      <c r="T1218" s="214"/>
      <c r="AT1218" s="215" t="s">
        <v>388</v>
      </c>
      <c r="AU1218" s="215" t="s">
        <v>82</v>
      </c>
      <c r="AV1218" s="14" t="s">
        <v>82</v>
      </c>
      <c r="AW1218" s="14" t="s">
        <v>33</v>
      </c>
      <c r="AX1218" s="14" t="s">
        <v>79</v>
      </c>
      <c r="AY1218" s="215" t="s">
        <v>380</v>
      </c>
    </row>
    <row r="1219" spans="1:65" s="2" customFormat="1" ht="16.5" customHeight="1">
      <c r="A1219" s="36"/>
      <c r="B1219" s="37"/>
      <c r="C1219" s="227" t="s">
        <v>1639</v>
      </c>
      <c r="D1219" s="227" t="s">
        <v>465</v>
      </c>
      <c r="E1219" s="228" t="s">
        <v>1640</v>
      </c>
      <c r="F1219" s="229" t="s">
        <v>1641</v>
      </c>
      <c r="G1219" s="230" t="s">
        <v>398</v>
      </c>
      <c r="H1219" s="231">
        <v>357.916</v>
      </c>
      <c r="I1219" s="232"/>
      <c r="J1219" s="233">
        <f>ROUND(I1219*H1219,2)</f>
        <v>0</v>
      </c>
      <c r="K1219" s="229" t="s">
        <v>399</v>
      </c>
      <c r="L1219" s="234"/>
      <c r="M1219" s="235" t="s">
        <v>19</v>
      </c>
      <c r="N1219" s="236" t="s">
        <v>43</v>
      </c>
      <c r="O1219" s="66"/>
      <c r="P1219" s="190">
        <f>O1219*H1219</f>
        <v>0</v>
      </c>
      <c r="Q1219" s="190">
        <v>3.5000000000000001E-3</v>
      </c>
      <c r="R1219" s="190">
        <f>Q1219*H1219</f>
        <v>1.2527060000000001</v>
      </c>
      <c r="S1219" s="190">
        <v>0</v>
      </c>
      <c r="T1219" s="191">
        <f>S1219*H1219</f>
        <v>0</v>
      </c>
      <c r="U1219" s="36"/>
      <c r="V1219" s="36"/>
      <c r="W1219" s="36"/>
      <c r="X1219" s="36"/>
      <c r="Y1219" s="36"/>
      <c r="Z1219" s="36"/>
      <c r="AA1219" s="36"/>
      <c r="AB1219" s="36"/>
      <c r="AC1219" s="36"/>
      <c r="AD1219" s="36"/>
      <c r="AE1219" s="36"/>
      <c r="AR1219" s="192" t="s">
        <v>546</v>
      </c>
      <c r="AT1219" s="192" t="s">
        <v>465</v>
      </c>
      <c r="AU1219" s="192" t="s">
        <v>82</v>
      </c>
      <c r="AY1219" s="19" t="s">
        <v>380</v>
      </c>
      <c r="BE1219" s="193">
        <f>IF(N1219="základní",J1219,0)</f>
        <v>0</v>
      </c>
      <c r="BF1219" s="193">
        <f>IF(N1219="snížená",J1219,0)</f>
        <v>0</v>
      </c>
      <c r="BG1219" s="193">
        <f>IF(N1219="zákl. přenesená",J1219,0)</f>
        <v>0</v>
      </c>
      <c r="BH1219" s="193">
        <f>IF(N1219="sníž. přenesená",J1219,0)</f>
        <v>0</v>
      </c>
      <c r="BI1219" s="193">
        <f>IF(N1219="nulová",J1219,0)</f>
        <v>0</v>
      </c>
      <c r="BJ1219" s="19" t="s">
        <v>79</v>
      </c>
      <c r="BK1219" s="193">
        <f>ROUND(I1219*H1219,2)</f>
        <v>0</v>
      </c>
      <c r="BL1219" s="19" t="s">
        <v>281</v>
      </c>
      <c r="BM1219" s="192" t="s">
        <v>1642</v>
      </c>
    </row>
    <row r="1220" spans="1:65" s="13" customFormat="1" ht="11.25">
      <c r="B1220" s="194"/>
      <c r="C1220" s="195"/>
      <c r="D1220" s="196" t="s">
        <v>388</v>
      </c>
      <c r="E1220" s="197" t="s">
        <v>19</v>
      </c>
      <c r="F1220" s="198" t="s">
        <v>1614</v>
      </c>
      <c r="G1220" s="195"/>
      <c r="H1220" s="197" t="s">
        <v>19</v>
      </c>
      <c r="I1220" s="199"/>
      <c r="J1220" s="195"/>
      <c r="K1220" s="195"/>
      <c r="L1220" s="200"/>
      <c r="M1220" s="201"/>
      <c r="N1220" s="202"/>
      <c r="O1220" s="202"/>
      <c r="P1220" s="202"/>
      <c r="Q1220" s="202"/>
      <c r="R1220" s="202"/>
      <c r="S1220" s="202"/>
      <c r="T1220" s="203"/>
      <c r="AT1220" s="204" t="s">
        <v>388</v>
      </c>
      <c r="AU1220" s="204" t="s">
        <v>82</v>
      </c>
      <c r="AV1220" s="13" t="s">
        <v>79</v>
      </c>
      <c r="AW1220" s="13" t="s">
        <v>33</v>
      </c>
      <c r="AX1220" s="13" t="s">
        <v>72</v>
      </c>
      <c r="AY1220" s="204" t="s">
        <v>380</v>
      </c>
    </row>
    <row r="1221" spans="1:65" s="14" customFormat="1" ht="11.25">
      <c r="B1221" s="205"/>
      <c r="C1221" s="206"/>
      <c r="D1221" s="196" t="s">
        <v>388</v>
      </c>
      <c r="E1221" s="207" t="s">
        <v>19</v>
      </c>
      <c r="F1221" s="208" t="s">
        <v>1643</v>
      </c>
      <c r="G1221" s="206"/>
      <c r="H1221" s="209">
        <v>357.916</v>
      </c>
      <c r="I1221" s="210"/>
      <c r="J1221" s="206"/>
      <c r="K1221" s="206"/>
      <c r="L1221" s="211"/>
      <c r="M1221" s="212"/>
      <c r="N1221" s="213"/>
      <c r="O1221" s="213"/>
      <c r="P1221" s="213"/>
      <c r="Q1221" s="213"/>
      <c r="R1221" s="213"/>
      <c r="S1221" s="213"/>
      <c r="T1221" s="214"/>
      <c r="AT1221" s="215" t="s">
        <v>388</v>
      </c>
      <c r="AU1221" s="215" t="s">
        <v>82</v>
      </c>
      <c r="AV1221" s="14" t="s">
        <v>82</v>
      </c>
      <c r="AW1221" s="14" t="s">
        <v>33</v>
      </c>
      <c r="AX1221" s="14" t="s">
        <v>79</v>
      </c>
      <c r="AY1221" s="215" t="s">
        <v>380</v>
      </c>
    </row>
    <row r="1222" spans="1:65" s="2" customFormat="1" ht="16.5" customHeight="1">
      <c r="A1222" s="36"/>
      <c r="B1222" s="37"/>
      <c r="C1222" s="227" t="s">
        <v>1644</v>
      </c>
      <c r="D1222" s="227" t="s">
        <v>465</v>
      </c>
      <c r="E1222" s="228" t="s">
        <v>1645</v>
      </c>
      <c r="F1222" s="229" t="s">
        <v>1646</v>
      </c>
      <c r="G1222" s="230" t="s">
        <v>398</v>
      </c>
      <c r="H1222" s="231">
        <v>27.646000000000001</v>
      </c>
      <c r="I1222" s="232"/>
      <c r="J1222" s="233">
        <f>ROUND(I1222*H1222,2)</f>
        <v>0</v>
      </c>
      <c r="K1222" s="229" t="s">
        <v>19</v>
      </c>
      <c r="L1222" s="234"/>
      <c r="M1222" s="235" t="s">
        <v>19</v>
      </c>
      <c r="N1222" s="236" t="s">
        <v>43</v>
      </c>
      <c r="O1222" s="66"/>
      <c r="P1222" s="190">
        <f>O1222*H1222</f>
        <v>0</v>
      </c>
      <c r="Q1222" s="190">
        <v>4.0000000000000001E-3</v>
      </c>
      <c r="R1222" s="190">
        <f>Q1222*H1222</f>
        <v>0.110584</v>
      </c>
      <c r="S1222" s="190">
        <v>0</v>
      </c>
      <c r="T1222" s="191">
        <f>S1222*H1222</f>
        <v>0</v>
      </c>
      <c r="U1222" s="36"/>
      <c r="V1222" s="36"/>
      <c r="W1222" s="36"/>
      <c r="X1222" s="36"/>
      <c r="Y1222" s="36"/>
      <c r="Z1222" s="36"/>
      <c r="AA1222" s="36"/>
      <c r="AB1222" s="36"/>
      <c r="AC1222" s="36"/>
      <c r="AD1222" s="36"/>
      <c r="AE1222" s="36"/>
      <c r="AR1222" s="192" t="s">
        <v>546</v>
      </c>
      <c r="AT1222" s="192" t="s">
        <v>465</v>
      </c>
      <c r="AU1222" s="192" t="s">
        <v>82</v>
      </c>
      <c r="AY1222" s="19" t="s">
        <v>380</v>
      </c>
      <c r="BE1222" s="193">
        <f>IF(N1222="základní",J1222,0)</f>
        <v>0</v>
      </c>
      <c r="BF1222" s="193">
        <f>IF(N1222="snížená",J1222,0)</f>
        <v>0</v>
      </c>
      <c r="BG1222" s="193">
        <f>IF(N1222="zákl. přenesená",J1222,0)</f>
        <v>0</v>
      </c>
      <c r="BH1222" s="193">
        <f>IF(N1222="sníž. přenesená",J1222,0)</f>
        <v>0</v>
      </c>
      <c r="BI1222" s="193">
        <f>IF(N1222="nulová",J1222,0)</f>
        <v>0</v>
      </c>
      <c r="BJ1222" s="19" t="s">
        <v>79</v>
      </c>
      <c r="BK1222" s="193">
        <f>ROUND(I1222*H1222,2)</f>
        <v>0</v>
      </c>
      <c r="BL1222" s="19" t="s">
        <v>281</v>
      </c>
      <c r="BM1222" s="192" t="s">
        <v>1647</v>
      </c>
    </row>
    <row r="1223" spans="1:65" s="13" customFormat="1" ht="11.25">
      <c r="B1223" s="194"/>
      <c r="C1223" s="195"/>
      <c r="D1223" s="196" t="s">
        <v>388</v>
      </c>
      <c r="E1223" s="197" t="s">
        <v>19</v>
      </c>
      <c r="F1223" s="198" t="s">
        <v>1621</v>
      </c>
      <c r="G1223" s="195"/>
      <c r="H1223" s="197" t="s">
        <v>19</v>
      </c>
      <c r="I1223" s="199"/>
      <c r="J1223" s="195"/>
      <c r="K1223" s="195"/>
      <c r="L1223" s="200"/>
      <c r="M1223" s="201"/>
      <c r="N1223" s="202"/>
      <c r="O1223" s="202"/>
      <c r="P1223" s="202"/>
      <c r="Q1223" s="202"/>
      <c r="R1223" s="202"/>
      <c r="S1223" s="202"/>
      <c r="T1223" s="203"/>
      <c r="AT1223" s="204" t="s">
        <v>388</v>
      </c>
      <c r="AU1223" s="204" t="s">
        <v>82</v>
      </c>
      <c r="AV1223" s="13" t="s">
        <v>79</v>
      </c>
      <c r="AW1223" s="13" t="s">
        <v>33</v>
      </c>
      <c r="AX1223" s="13" t="s">
        <v>72</v>
      </c>
      <c r="AY1223" s="204" t="s">
        <v>380</v>
      </c>
    </row>
    <row r="1224" spans="1:65" s="13" customFormat="1" ht="11.25">
      <c r="B1224" s="194"/>
      <c r="C1224" s="195"/>
      <c r="D1224" s="196" t="s">
        <v>388</v>
      </c>
      <c r="E1224" s="197" t="s">
        <v>19</v>
      </c>
      <c r="F1224" s="198" t="s">
        <v>1622</v>
      </c>
      <c r="G1224" s="195"/>
      <c r="H1224" s="197" t="s">
        <v>19</v>
      </c>
      <c r="I1224" s="199"/>
      <c r="J1224" s="195"/>
      <c r="K1224" s="195"/>
      <c r="L1224" s="200"/>
      <c r="M1224" s="201"/>
      <c r="N1224" s="202"/>
      <c r="O1224" s="202"/>
      <c r="P1224" s="202"/>
      <c r="Q1224" s="202"/>
      <c r="R1224" s="202"/>
      <c r="S1224" s="202"/>
      <c r="T1224" s="203"/>
      <c r="AT1224" s="204" t="s">
        <v>388</v>
      </c>
      <c r="AU1224" s="204" t="s">
        <v>82</v>
      </c>
      <c r="AV1224" s="13" t="s">
        <v>79</v>
      </c>
      <c r="AW1224" s="13" t="s">
        <v>33</v>
      </c>
      <c r="AX1224" s="13" t="s">
        <v>72</v>
      </c>
      <c r="AY1224" s="204" t="s">
        <v>380</v>
      </c>
    </row>
    <row r="1225" spans="1:65" s="13" customFormat="1" ht="11.25">
      <c r="B1225" s="194"/>
      <c r="C1225" s="195"/>
      <c r="D1225" s="196" t="s">
        <v>388</v>
      </c>
      <c r="E1225" s="197" t="s">
        <v>19</v>
      </c>
      <c r="F1225" s="198" t="s">
        <v>1625</v>
      </c>
      <c r="G1225" s="195"/>
      <c r="H1225" s="197" t="s">
        <v>19</v>
      </c>
      <c r="I1225" s="199"/>
      <c r="J1225" s="195"/>
      <c r="K1225" s="195"/>
      <c r="L1225" s="200"/>
      <c r="M1225" s="201"/>
      <c r="N1225" s="202"/>
      <c r="O1225" s="202"/>
      <c r="P1225" s="202"/>
      <c r="Q1225" s="202"/>
      <c r="R1225" s="202"/>
      <c r="S1225" s="202"/>
      <c r="T1225" s="203"/>
      <c r="AT1225" s="204" t="s">
        <v>388</v>
      </c>
      <c r="AU1225" s="204" t="s">
        <v>82</v>
      </c>
      <c r="AV1225" s="13" t="s">
        <v>79</v>
      </c>
      <c r="AW1225" s="13" t="s">
        <v>33</v>
      </c>
      <c r="AX1225" s="13" t="s">
        <v>72</v>
      </c>
      <c r="AY1225" s="204" t="s">
        <v>380</v>
      </c>
    </row>
    <row r="1226" spans="1:65" s="14" customFormat="1" ht="11.25">
      <c r="B1226" s="205"/>
      <c r="C1226" s="206"/>
      <c r="D1226" s="196" t="s">
        <v>388</v>
      </c>
      <c r="E1226" s="207" t="s">
        <v>19</v>
      </c>
      <c r="F1226" s="208" t="s">
        <v>1648</v>
      </c>
      <c r="G1226" s="206"/>
      <c r="H1226" s="209">
        <v>27.646000000000001</v>
      </c>
      <c r="I1226" s="210"/>
      <c r="J1226" s="206"/>
      <c r="K1226" s="206"/>
      <c r="L1226" s="211"/>
      <c r="M1226" s="212"/>
      <c r="N1226" s="213"/>
      <c r="O1226" s="213"/>
      <c r="P1226" s="213"/>
      <c r="Q1226" s="213"/>
      <c r="R1226" s="213"/>
      <c r="S1226" s="213"/>
      <c r="T1226" s="214"/>
      <c r="AT1226" s="215" t="s">
        <v>388</v>
      </c>
      <c r="AU1226" s="215" t="s">
        <v>82</v>
      </c>
      <c r="AV1226" s="14" t="s">
        <v>82</v>
      </c>
      <c r="AW1226" s="14" t="s">
        <v>33</v>
      </c>
      <c r="AX1226" s="14" t="s">
        <v>79</v>
      </c>
      <c r="AY1226" s="215" t="s">
        <v>380</v>
      </c>
    </row>
    <row r="1227" spans="1:65" s="2" customFormat="1" ht="16.5" customHeight="1">
      <c r="A1227" s="36"/>
      <c r="B1227" s="37"/>
      <c r="C1227" s="227" t="s">
        <v>1649</v>
      </c>
      <c r="D1227" s="227" t="s">
        <v>465</v>
      </c>
      <c r="E1227" s="228" t="s">
        <v>1650</v>
      </c>
      <c r="F1227" s="229" t="s">
        <v>1651</v>
      </c>
      <c r="G1227" s="230" t="s">
        <v>398</v>
      </c>
      <c r="H1227" s="231">
        <v>1160.0619999999999</v>
      </c>
      <c r="I1227" s="232"/>
      <c r="J1227" s="233">
        <f>ROUND(I1227*H1227,2)</f>
        <v>0</v>
      </c>
      <c r="K1227" s="229" t="s">
        <v>19</v>
      </c>
      <c r="L1227" s="234"/>
      <c r="M1227" s="235" t="s">
        <v>19</v>
      </c>
      <c r="N1227" s="236" t="s">
        <v>43</v>
      </c>
      <c r="O1227" s="66"/>
      <c r="P1227" s="190">
        <f>O1227*H1227</f>
        <v>0</v>
      </c>
      <c r="Q1227" s="190">
        <v>8.0199999999999994E-3</v>
      </c>
      <c r="R1227" s="190">
        <f>Q1227*H1227</f>
        <v>9.3036972399999982</v>
      </c>
      <c r="S1227" s="190">
        <v>0</v>
      </c>
      <c r="T1227" s="191">
        <f>S1227*H1227</f>
        <v>0</v>
      </c>
      <c r="U1227" s="36"/>
      <c r="V1227" s="36"/>
      <c r="W1227" s="36"/>
      <c r="X1227" s="36"/>
      <c r="Y1227" s="36"/>
      <c r="Z1227" s="36"/>
      <c r="AA1227" s="36"/>
      <c r="AB1227" s="36"/>
      <c r="AC1227" s="36"/>
      <c r="AD1227" s="36"/>
      <c r="AE1227" s="36"/>
      <c r="AR1227" s="192" t="s">
        <v>546</v>
      </c>
      <c r="AT1227" s="192" t="s">
        <v>465</v>
      </c>
      <c r="AU1227" s="192" t="s">
        <v>82</v>
      </c>
      <c r="AY1227" s="19" t="s">
        <v>380</v>
      </c>
      <c r="BE1227" s="193">
        <f>IF(N1227="základní",J1227,0)</f>
        <v>0</v>
      </c>
      <c r="BF1227" s="193">
        <f>IF(N1227="snížená",J1227,0)</f>
        <v>0</v>
      </c>
      <c r="BG1227" s="193">
        <f>IF(N1227="zákl. přenesená",J1227,0)</f>
        <v>0</v>
      </c>
      <c r="BH1227" s="193">
        <f>IF(N1227="sníž. přenesená",J1227,0)</f>
        <v>0</v>
      </c>
      <c r="BI1227" s="193">
        <f>IF(N1227="nulová",J1227,0)</f>
        <v>0</v>
      </c>
      <c r="BJ1227" s="19" t="s">
        <v>79</v>
      </c>
      <c r="BK1227" s="193">
        <f>ROUND(I1227*H1227,2)</f>
        <v>0</v>
      </c>
      <c r="BL1227" s="19" t="s">
        <v>281</v>
      </c>
      <c r="BM1227" s="192" t="s">
        <v>1652</v>
      </c>
    </row>
    <row r="1228" spans="1:65" s="13" customFormat="1" ht="11.25">
      <c r="B1228" s="194"/>
      <c r="C1228" s="195"/>
      <c r="D1228" s="196" t="s">
        <v>388</v>
      </c>
      <c r="E1228" s="197" t="s">
        <v>19</v>
      </c>
      <c r="F1228" s="198" t="s">
        <v>1617</v>
      </c>
      <c r="G1228" s="195"/>
      <c r="H1228" s="197" t="s">
        <v>19</v>
      </c>
      <c r="I1228" s="199"/>
      <c r="J1228" s="195"/>
      <c r="K1228" s="195"/>
      <c r="L1228" s="200"/>
      <c r="M1228" s="201"/>
      <c r="N1228" s="202"/>
      <c r="O1228" s="202"/>
      <c r="P1228" s="202"/>
      <c r="Q1228" s="202"/>
      <c r="R1228" s="202"/>
      <c r="S1228" s="202"/>
      <c r="T1228" s="203"/>
      <c r="AT1228" s="204" t="s">
        <v>388</v>
      </c>
      <c r="AU1228" s="204" t="s">
        <v>82</v>
      </c>
      <c r="AV1228" s="13" t="s">
        <v>79</v>
      </c>
      <c r="AW1228" s="13" t="s">
        <v>33</v>
      </c>
      <c r="AX1228" s="13" t="s">
        <v>72</v>
      </c>
      <c r="AY1228" s="204" t="s">
        <v>380</v>
      </c>
    </row>
    <row r="1229" spans="1:65" s="14" customFormat="1" ht="11.25">
      <c r="B1229" s="205"/>
      <c r="C1229" s="206"/>
      <c r="D1229" s="196" t="s">
        <v>388</v>
      </c>
      <c r="E1229" s="207" t="s">
        <v>19</v>
      </c>
      <c r="F1229" s="208" t="s">
        <v>1653</v>
      </c>
      <c r="G1229" s="206"/>
      <c r="H1229" s="209">
        <v>1160.0619999999999</v>
      </c>
      <c r="I1229" s="210"/>
      <c r="J1229" s="206"/>
      <c r="K1229" s="206"/>
      <c r="L1229" s="211"/>
      <c r="M1229" s="212"/>
      <c r="N1229" s="213"/>
      <c r="O1229" s="213"/>
      <c r="P1229" s="213"/>
      <c r="Q1229" s="213"/>
      <c r="R1229" s="213"/>
      <c r="S1229" s="213"/>
      <c r="T1229" s="214"/>
      <c r="AT1229" s="215" t="s">
        <v>388</v>
      </c>
      <c r="AU1229" s="215" t="s">
        <v>82</v>
      </c>
      <c r="AV1229" s="14" t="s">
        <v>82</v>
      </c>
      <c r="AW1229" s="14" t="s">
        <v>33</v>
      </c>
      <c r="AX1229" s="14" t="s">
        <v>79</v>
      </c>
      <c r="AY1229" s="215" t="s">
        <v>380</v>
      </c>
    </row>
    <row r="1230" spans="1:65" s="2" customFormat="1" ht="16.5" customHeight="1">
      <c r="A1230" s="36"/>
      <c r="B1230" s="37"/>
      <c r="C1230" s="227" t="s">
        <v>1654</v>
      </c>
      <c r="D1230" s="227" t="s">
        <v>465</v>
      </c>
      <c r="E1230" s="228" t="s">
        <v>1655</v>
      </c>
      <c r="F1230" s="229" t="s">
        <v>1656</v>
      </c>
      <c r="G1230" s="230" t="s">
        <v>398</v>
      </c>
      <c r="H1230" s="231">
        <v>137.553</v>
      </c>
      <c r="I1230" s="232"/>
      <c r="J1230" s="233">
        <f>ROUND(I1230*H1230,2)</f>
        <v>0</v>
      </c>
      <c r="K1230" s="229" t="s">
        <v>19</v>
      </c>
      <c r="L1230" s="234"/>
      <c r="M1230" s="235" t="s">
        <v>19</v>
      </c>
      <c r="N1230" s="236" t="s">
        <v>43</v>
      </c>
      <c r="O1230" s="66"/>
      <c r="P1230" s="190">
        <f>O1230*H1230</f>
        <v>0</v>
      </c>
      <c r="Q1230" s="190">
        <v>1.337E-2</v>
      </c>
      <c r="R1230" s="190">
        <f>Q1230*H1230</f>
        <v>1.8390836099999999</v>
      </c>
      <c r="S1230" s="190">
        <v>0</v>
      </c>
      <c r="T1230" s="191">
        <f>S1230*H1230</f>
        <v>0</v>
      </c>
      <c r="U1230" s="36"/>
      <c r="V1230" s="36"/>
      <c r="W1230" s="36"/>
      <c r="X1230" s="36"/>
      <c r="Y1230" s="36"/>
      <c r="Z1230" s="36"/>
      <c r="AA1230" s="36"/>
      <c r="AB1230" s="36"/>
      <c r="AC1230" s="36"/>
      <c r="AD1230" s="36"/>
      <c r="AE1230" s="36"/>
      <c r="AR1230" s="192" t="s">
        <v>546</v>
      </c>
      <c r="AT1230" s="192" t="s">
        <v>465</v>
      </c>
      <c r="AU1230" s="192" t="s">
        <v>82</v>
      </c>
      <c r="AY1230" s="19" t="s">
        <v>380</v>
      </c>
      <c r="BE1230" s="193">
        <f>IF(N1230="základní",J1230,0)</f>
        <v>0</v>
      </c>
      <c r="BF1230" s="193">
        <f>IF(N1230="snížená",J1230,0)</f>
        <v>0</v>
      </c>
      <c r="BG1230" s="193">
        <f>IF(N1230="zákl. přenesená",J1230,0)</f>
        <v>0</v>
      </c>
      <c r="BH1230" s="193">
        <f>IF(N1230="sníž. přenesená",J1230,0)</f>
        <v>0</v>
      </c>
      <c r="BI1230" s="193">
        <f>IF(N1230="nulová",J1230,0)</f>
        <v>0</v>
      </c>
      <c r="BJ1230" s="19" t="s">
        <v>79</v>
      </c>
      <c r="BK1230" s="193">
        <f>ROUND(I1230*H1230,2)</f>
        <v>0</v>
      </c>
      <c r="BL1230" s="19" t="s">
        <v>281</v>
      </c>
      <c r="BM1230" s="192" t="s">
        <v>1657</v>
      </c>
    </row>
    <row r="1231" spans="1:65" s="13" customFormat="1" ht="11.25">
      <c r="B1231" s="194"/>
      <c r="C1231" s="195"/>
      <c r="D1231" s="196" t="s">
        <v>388</v>
      </c>
      <c r="E1231" s="197" t="s">
        <v>19</v>
      </c>
      <c r="F1231" s="198" t="s">
        <v>1621</v>
      </c>
      <c r="G1231" s="195"/>
      <c r="H1231" s="197" t="s">
        <v>19</v>
      </c>
      <c r="I1231" s="199"/>
      <c r="J1231" s="195"/>
      <c r="K1231" s="195"/>
      <c r="L1231" s="200"/>
      <c r="M1231" s="201"/>
      <c r="N1231" s="202"/>
      <c r="O1231" s="202"/>
      <c r="P1231" s="202"/>
      <c r="Q1231" s="202"/>
      <c r="R1231" s="202"/>
      <c r="S1231" s="202"/>
      <c r="T1231" s="203"/>
      <c r="AT1231" s="204" t="s">
        <v>388</v>
      </c>
      <c r="AU1231" s="204" t="s">
        <v>82</v>
      </c>
      <c r="AV1231" s="13" t="s">
        <v>79</v>
      </c>
      <c r="AW1231" s="13" t="s">
        <v>33</v>
      </c>
      <c r="AX1231" s="13" t="s">
        <v>72</v>
      </c>
      <c r="AY1231" s="204" t="s">
        <v>380</v>
      </c>
    </row>
    <row r="1232" spans="1:65" s="13" customFormat="1" ht="11.25">
      <c r="B1232" s="194"/>
      <c r="C1232" s="195"/>
      <c r="D1232" s="196" t="s">
        <v>388</v>
      </c>
      <c r="E1232" s="197" t="s">
        <v>19</v>
      </c>
      <c r="F1232" s="198" t="s">
        <v>1631</v>
      </c>
      <c r="G1232" s="195"/>
      <c r="H1232" s="197" t="s">
        <v>19</v>
      </c>
      <c r="I1232" s="199"/>
      <c r="J1232" s="195"/>
      <c r="K1232" s="195"/>
      <c r="L1232" s="200"/>
      <c r="M1232" s="201"/>
      <c r="N1232" s="202"/>
      <c r="O1232" s="202"/>
      <c r="P1232" s="202"/>
      <c r="Q1232" s="202"/>
      <c r="R1232" s="202"/>
      <c r="S1232" s="202"/>
      <c r="T1232" s="203"/>
      <c r="AT1232" s="204" t="s">
        <v>388</v>
      </c>
      <c r="AU1232" s="204" t="s">
        <v>82</v>
      </c>
      <c r="AV1232" s="13" t="s">
        <v>79</v>
      </c>
      <c r="AW1232" s="13" t="s">
        <v>33</v>
      </c>
      <c r="AX1232" s="13" t="s">
        <v>72</v>
      </c>
      <c r="AY1232" s="204" t="s">
        <v>380</v>
      </c>
    </row>
    <row r="1233" spans="1:65" s="13" customFormat="1" ht="11.25">
      <c r="B1233" s="194"/>
      <c r="C1233" s="195"/>
      <c r="D1233" s="196" t="s">
        <v>388</v>
      </c>
      <c r="E1233" s="197" t="s">
        <v>19</v>
      </c>
      <c r="F1233" s="198" t="s">
        <v>1632</v>
      </c>
      <c r="G1233" s="195"/>
      <c r="H1233" s="197" t="s">
        <v>19</v>
      </c>
      <c r="I1233" s="199"/>
      <c r="J1233" s="195"/>
      <c r="K1233" s="195"/>
      <c r="L1233" s="200"/>
      <c r="M1233" s="201"/>
      <c r="N1233" s="202"/>
      <c r="O1233" s="202"/>
      <c r="P1233" s="202"/>
      <c r="Q1233" s="202"/>
      <c r="R1233" s="202"/>
      <c r="S1233" s="202"/>
      <c r="T1233" s="203"/>
      <c r="AT1233" s="204" t="s">
        <v>388</v>
      </c>
      <c r="AU1233" s="204" t="s">
        <v>82</v>
      </c>
      <c r="AV1233" s="13" t="s">
        <v>79</v>
      </c>
      <c r="AW1233" s="13" t="s">
        <v>33</v>
      </c>
      <c r="AX1233" s="13" t="s">
        <v>72</v>
      </c>
      <c r="AY1233" s="204" t="s">
        <v>380</v>
      </c>
    </row>
    <row r="1234" spans="1:65" s="14" customFormat="1" ht="11.25">
      <c r="B1234" s="205"/>
      <c r="C1234" s="206"/>
      <c r="D1234" s="196" t="s">
        <v>388</v>
      </c>
      <c r="E1234" s="207" t="s">
        <v>19</v>
      </c>
      <c r="F1234" s="208" t="s">
        <v>1658</v>
      </c>
      <c r="G1234" s="206"/>
      <c r="H1234" s="209">
        <v>137.553</v>
      </c>
      <c r="I1234" s="210"/>
      <c r="J1234" s="206"/>
      <c r="K1234" s="206"/>
      <c r="L1234" s="211"/>
      <c r="M1234" s="212"/>
      <c r="N1234" s="213"/>
      <c r="O1234" s="213"/>
      <c r="P1234" s="213"/>
      <c r="Q1234" s="213"/>
      <c r="R1234" s="213"/>
      <c r="S1234" s="213"/>
      <c r="T1234" s="214"/>
      <c r="AT1234" s="215" t="s">
        <v>388</v>
      </c>
      <c r="AU1234" s="215" t="s">
        <v>82</v>
      </c>
      <c r="AV1234" s="14" t="s">
        <v>82</v>
      </c>
      <c r="AW1234" s="14" t="s">
        <v>33</v>
      </c>
      <c r="AX1234" s="14" t="s">
        <v>79</v>
      </c>
      <c r="AY1234" s="215" t="s">
        <v>380</v>
      </c>
    </row>
    <row r="1235" spans="1:65" s="2" customFormat="1" ht="16.5" customHeight="1">
      <c r="A1235" s="36"/>
      <c r="B1235" s="37"/>
      <c r="C1235" s="227" t="s">
        <v>190</v>
      </c>
      <c r="D1235" s="227" t="s">
        <v>465</v>
      </c>
      <c r="E1235" s="228" t="s">
        <v>1659</v>
      </c>
      <c r="F1235" s="229" t="s">
        <v>1660</v>
      </c>
      <c r="G1235" s="230" t="s">
        <v>398</v>
      </c>
      <c r="H1235" s="231">
        <v>26.356999999999999</v>
      </c>
      <c r="I1235" s="232"/>
      <c r="J1235" s="233">
        <f>ROUND(I1235*H1235,2)</f>
        <v>0</v>
      </c>
      <c r="K1235" s="229" t="s">
        <v>19</v>
      </c>
      <c r="L1235" s="234"/>
      <c r="M1235" s="235" t="s">
        <v>19</v>
      </c>
      <c r="N1235" s="236" t="s">
        <v>43</v>
      </c>
      <c r="O1235" s="66"/>
      <c r="P1235" s="190">
        <f>O1235*H1235</f>
        <v>0</v>
      </c>
      <c r="Q1235" s="190">
        <v>5.4000000000000003E-3</v>
      </c>
      <c r="R1235" s="190">
        <f>Q1235*H1235</f>
        <v>0.1423278</v>
      </c>
      <c r="S1235" s="190">
        <v>0</v>
      </c>
      <c r="T1235" s="191">
        <f>S1235*H1235</f>
        <v>0</v>
      </c>
      <c r="U1235" s="36"/>
      <c r="V1235" s="36"/>
      <c r="W1235" s="36"/>
      <c r="X1235" s="36"/>
      <c r="Y1235" s="36"/>
      <c r="Z1235" s="36"/>
      <c r="AA1235" s="36"/>
      <c r="AB1235" s="36"/>
      <c r="AC1235" s="36"/>
      <c r="AD1235" s="36"/>
      <c r="AE1235" s="36"/>
      <c r="AR1235" s="192" t="s">
        <v>546</v>
      </c>
      <c r="AT1235" s="192" t="s">
        <v>465</v>
      </c>
      <c r="AU1235" s="192" t="s">
        <v>82</v>
      </c>
      <c r="AY1235" s="19" t="s">
        <v>380</v>
      </c>
      <c r="BE1235" s="193">
        <f>IF(N1235="základní",J1235,0)</f>
        <v>0</v>
      </c>
      <c r="BF1235" s="193">
        <f>IF(N1235="snížená",J1235,0)</f>
        <v>0</v>
      </c>
      <c r="BG1235" s="193">
        <f>IF(N1235="zákl. přenesená",J1235,0)</f>
        <v>0</v>
      </c>
      <c r="BH1235" s="193">
        <f>IF(N1235="sníž. přenesená",J1235,0)</f>
        <v>0</v>
      </c>
      <c r="BI1235" s="193">
        <f>IF(N1235="nulová",J1235,0)</f>
        <v>0</v>
      </c>
      <c r="BJ1235" s="19" t="s">
        <v>79</v>
      </c>
      <c r="BK1235" s="193">
        <f>ROUND(I1235*H1235,2)</f>
        <v>0</v>
      </c>
      <c r="BL1235" s="19" t="s">
        <v>281</v>
      </c>
      <c r="BM1235" s="192" t="s">
        <v>1661</v>
      </c>
    </row>
    <row r="1236" spans="1:65" s="13" customFormat="1" ht="11.25">
      <c r="B1236" s="194"/>
      <c r="C1236" s="195"/>
      <c r="D1236" s="196" t="s">
        <v>388</v>
      </c>
      <c r="E1236" s="197" t="s">
        <v>19</v>
      </c>
      <c r="F1236" s="198" t="s">
        <v>1621</v>
      </c>
      <c r="G1236" s="195"/>
      <c r="H1236" s="197" t="s">
        <v>19</v>
      </c>
      <c r="I1236" s="199"/>
      <c r="J1236" s="195"/>
      <c r="K1236" s="195"/>
      <c r="L1236" s="200"/>
      <c r="M1236" s="201"/>
      <c r="N1236" s="202"/>
      <c r="O1236" s="202"/>
      <c r="P1236" s="202"/>
      <c r="Q1236" s="202"/>
      <c r="R1236" s="202"/>
      <c r="S1236" s="202"/>
      <c r="T1236" s="203"/>
      <c r="AT1236" s="204" t="s">
        <v>388</v>
      </c>
      <c r="AU1236" s="204" t="s">
        <v>82</v>
      </c>
      <c r="AV1236" s="13" t="s">
        <v>79</v>
      </c>
      <c r="AW1236" s="13" t="s">
        <v>33</v>
      </c>
      <c r="AX1236" s="13" t="s">
        <v>72</v>
      </c>
      <c r="AY1236" s="204" t="s">
        <v>380</v>
      </c>
    </row>
    <row r="1237" spans="1:65" s="13" customFormat="1" ht="11.25">
      <c r="B1237" s="194"/>
      <c r="C1237" s="195"/>
      <c r="D1237" s="196" t="s">
        <v>388</v>
      </c>
      <c r="E1237" s="197" t="s">
        <v>19</v>
      </c>
      <c r="F1237" s="198" t="s">
        <v>1626</v>
      </c>
      <c r="G1237" s="195"/>
      <c r="H1237" s="197" t="s">
        <v>19</v>
      </c>
      <c r="I1237" s="199"/>
      <c r="J1237" s="195"/>
      <c r="K1237" s="195"/>
      <c r="L1237" s="200"/>
      <c r="M1237" s="201"/>
      <c r="N1237" s="202"/>
      <c r="O1237" s="202"/>
      <c r="P1237" s="202"/>
      <c r="Q1237" s="202"/>
      <c r="R1237" s="202"/>
      <c r="S1237" s="202"/>
      <c r="T1237" s="203"/>
      <c r="AT1237" s="204" t="s">
        <v>388</v>
      </c>
      <c r="AU1237" s="204" t="s">
        <v>82</v>
      </c>
      <c r="AV1237" s="13" t="s">
        <v>79</v>
      </c>
      <c r="AW1237" s="13" t="s">
        <v>33</v>
      </c>
      <c r="AX1237" s="13" t="s">
        <v>72</v>
      </c>
      <c r="AY1237" s="204" t="s">
        <v>380</v>
      </c>
    </row>
    <row r="1238" spans="1:65" s="13" customFormat="1" ht="11.25">
      <c r="B1238" s="194"/>
      <c r="C1238" s="195"/>
      <c r="D1238" s="196" t="s">
        <v>388</v>
      </c>
      <c r="E1238" s="197" t="s">
        <v>19</v>
      </c>
      <c r="F1238" s="198" t="s">
        <v>1629</v>
      </c>
      <c r="G1238" s="195"/>
      <c r="H1238" s="197" t="s">
        <v>19</v>
      </c>
      <c r="I1238" s="199"/>
      <c r="J1238" s="195"/>
      <c r="K1238" s="195"/>
      <c r="L1238" s="200"/>
      <c r="M1238" s="201"/>
      <c r="N1238" s="202"/>
      <c r="O1238" s="202"/>
      <c r="P1238" s="202"/>
      <c r="Q1238" s="202"/>
      <c r="R1238" s="202"/>
      <c r="S1238" s="202"/>
      <c r="T1238" s="203"/>
      <c r="AT1238" s="204" t="s">
        <v>388</v>
      </c>
      <c r="AU1238" s="204" t="s">
        <v>82</v>
      </c>
      <c r="AV1238" s="13" t="s">
        <v>79</v>
      </c>
      <c r="AW1238" s="13" t="s">
        <v>33</v>
      </c>
      <c r="AX1238" s="13" t="s">
        <v>72</v>
      </c>
      <c r="AY1238" s="204" t="s">
        <v>380</v>
      </c>
    </row>
    <row r="1239" spans="1:65" s="14" customFormat="1" ht="11.25">
      <c r="B1239" s="205"/>
      <c r="C1239" s="206"/>
      <c r="D1239" s="196" t="s">
        <v>388</v>
      </c>
      <c r="E1239" s="207" t="s">
        <v>19</v>
      </c>
      <c r="F1239" s="208" t="s">
        <v>1662</v>
      </c>
      <c r="G1239" s="206"/>
      <c r="H1239" s="209">
        <v>26.356999999999999</v>
      </c>
      <c r="I1239" s="210"/>
      <c r="J1239" s="206"/>
      <c r="K1239" s="206"/>
      <c r="L1239" s="211"/>
      <c r="M1239" s="212"/>
      <c r="N1239" s="213"/>
      <c r="O1239" s="213"/>
      <c r="P1239" s="213"/>
      <c r="Q1239" s="213"/>
      <c r="R1239" s="213"/>
      <c r="S1239" s="213"/>
      <c r="T1239" s="214"/>
      <c r="AT1239" s="215" t="s">
        <v>388</v>
      </c>
      <c r="AU1239" s="215" t="s">
        <v>82</v>
      </c>
      <c r="AV1239" s="14" t="s">
        <v>82</v>
      </c>
      <c r="AW1239" s="14" t="s">
        <v>33</v>
      </c>
      <c r="AX1239" s="14" t="s">
        <v>79</v>
      </c>
      <c r="AY1239" s="215" t="s">
        <v>380</v>
      </c>
    </row>
    <row r="1240" spans="1:65" s="2" customFormat="1" ht="24.2" customHeight="1">
      <c r="A1240" s="36"/>
      <c r="B1240" s="37"/>
      <c r="C1240" s="227" t="s">
        <v>193</v>
      </c>
      <c r="D1240" s="227" t="s">
        <v>465</v>
      </c>
      <c r="E1240" s="228" t="s">
        <v>1663</v>
      </c>
      <c r="F1240" s="229" t="s">
        <v>1664</v>
      </c>
      <c r="G1240" s="230" t="s">
        <v>398</v>
      </c>
      <c r="H1240" s="231">
        <v>17.952000000000002</v>
      </c>
      <c r="I1240" s="232"/>
      <c r="J1240" s="233">
        <f>ROUND(I1240*H1240,2)</f>
        <v>0</v>
      </c>
      <c r="K1240" s="229" t="s">
        <v>19</v>
      </c>
      <c r="L1240" s="234"/>
      <c r="M1240" s="235" t="s">
        <v>19</v>
      </c>
      <c r="N1240" s="236" t="s">
        <v>43</v>
      </c>
      <c r="O1240" s="66"/>
      <c r="P1240" s="190">
        <f>O1240*H1240</f>
        <v>0</v>
      </c>
      <c r="Q1240" s="190">
        <v>1.1999999999999999E-3</v>
      </c>
      <c r="R1240" s="190">
        <f>Q1240*H1240</f>
        <v>2.15424E-2</v>
      </c>
      <c r="S1240" s="190">
        <v>0</v>
      </c>
      <c r="T1240" s="191">
        <f>S1240*H1240</f>
        <v>0</v>
      </c>
      <c r="U1240" s="36"/>
      <c r="V1240" s="36"/>
      <c r="W1240" s="36"/>
      <c r="X1240" s="36"/>
      <c r="Y1240" s="36"/>
      <c r="Z1240" s="36"/>
      <c r="AA1240" s="36"/>
      <c r="AB1240" s="36"/>
      <c r="AC1240" s="36"/>
      <c r="AD1240" s="36"/>
      <c r="AE1240" s="36"/>
      <c r="AR1240" s="192" t="s">
        <v>546</v>
      </c>
      <c r="AT1240" s="192" t="s">
        <v>465</v>
      </c>
      <c r="AU1240" s="192" t="s">
        <v>82</v>
      </c>
      <c r="AY1240" s="19" t="s">
        <v>380</v>
      </c>
      <c r="BE1240" s="193">
        <f>IF(N1240="základní",J1240,0)</f>
        <v>0</v>
      </c>
      <c r="BF1240" s="193">
        <f>IF(N1240="snížená",J1240,0)</f>
        <v>0</v>
      </c>
      <c r="BG1240" s="193">
        <f>IF(N1240="zákl. přenesená",J1240,0)</f>
        <v>0</v>
      </c>
      <c r="BH1240" s="193">
        <f>IF(N1240="sníž. přenesená",J1240,0)</f>
        <v>0</v>
      </c>
      <c r="BI1240" s="193">
        <f>IF(N1240="nulová",J1240,0)</f>
        <v>0</v>
      </c>
      <c r="BJ1240" s="19" t="s">
        <v>79</v>
      </c>
      <c r="BK1240" s="193">
        <f>ROUND(I1240*H1240,2)</f>
        <v>0</v>
      </c>
      <c r="BL1240" s="19" t="s">
        <v>281</v>
      </c>
      <c r="BM1240" s="192" t="s">
        <v>1665</v>
      </c>
    </row>
    <row r="1241" spans="1:65" s="13" customFormat="1" ht="11.25">
      <c r="B1241" s="194"/>
      <c r="C1241" s="195"/>
      <c r="D1241" s="196" t="s">
        <v>388</v>
      </c>
      <c r="E1241" s="197" t="s">
        <v>19</v>
      </c>
      <c r="F1241" s="198" t="s">
        <v>1620</v>
      </c>
      <c r="G1241" s="195"/>
      <c r="H1241" s="197" t="s">
        <v>19</v>
      </c>
      <c r="I1241" s="199"/>
      <c r="J1241" s="195"/>
      <c r="K1241" s="195"/>
      <c r="L1241" s="200"/>
      <c r="M1241" s="201"/>
      <c r="N1241" s="202"/>
      <c r="O1241" s="202"/>
      <c r="P1241" s="202"/>
      <c r="Q1241" s="202"/>
      <c r="R1241" s="202"/>
      <c r="S1241" s="202"/>
      <c r="T1241" s="203"/>
      <c r="AT1241" s="204" t="s">
        <v>388</v>
      </c>
      <c r="AU1241" s="204" t="s">
        <v>82</v>
      </c>
      <c r="AV1241" s="13" t="s">
        <v>79</v>
      </c>
      <c r="AW1241" s="13" t="s">
        <v>33</v>
      </c>
      <c r="AX1241" s="13" t="s">
        <v>72</v>
      </c>
      <c r="AY1241" s="204" t="s">
        <v>380</v>
      </c>
    </row>
    <row r="1242" spans="1:65" s="14" customFormat="1" ht="11.25">
      <c r="B1242" s="205"/>
      <c r="C1242" s="206"/>
      <c r="D1242" s="196" t="s">
        <v>388</v>
      </c>
      <c r="E1242" s="207" t="s">
        <v>19</v>
      </c>
      <c r="F1242" s="208" t="s">
        <v>1666</v>
      </c>
      <c r="G1242" s="206"/>
      <c r="H1242" s="209">
        <v>17.952000000000002</v>
      </c>
      <c r="I1242" s="210"/>
      <c r="J1242" s="206"/>
      <c r="K1242" s="206"/>
      <c r="L1242" s="211"/>
      <c r="M1242" s="212"/>
      <c r="N1242" s="213"/>
      <c r="O1242" s="213"/>
      <c r="P1242" s="213"/>
      <c r="Q1242" s="213"/>
      <c r="R1242" s="213"/>
      <c r="S1242" s="213"/>
      <c r="T1242" s="214"/>
      <c r="AT1242" s="215" t="s">
        <v>388</v>
      </c>
      <c r="AU1242" s="215" t="s">
        <v>82</v>
      </c>
      <c r="AV1242" s="14" t="s">
        <v>82</v>
      </c>
      <c r="AW1242" s="14" t="s">
        <v>33</v>
      </c>
      <c r="AX1242" s="14" t="s">
        <v>79</v>
      </c>
      <c r="AY1242" s="215" t="s">
        <v>380</v>
      </c>
    </row>
    <row r="1243" spans="1:65" s="2" customFormat="1" ht="24.2" customHeight="1">
      <c r="A1243" s="36"/>
      <c r="B1243" s="37"/>
      <c r="C1243" s="227" t="s">
        <v>1667</v>
      </c>
      <c r="D1243" s="227" t="s">
        <v>465</v>
      </c>
      <c r="E1243" s="228" t="s">
        <v>1554</v>
      </c>
      <c r="F1243" s="229" t="s">
        <v>1555</v>
      </c>
      <c r="G1243" s="230" t="s">
        <v>398</v>
      </c>
      <c r="H1243" s="231">
        <v>116.249</v>
      </c>
      <c r="I1243" s="232"/>
      <c r="J1243" s="233">
        <f>ROUND(I1243*H1243,2)</f>
        <v>0</v>
      </c>
      <c r="K1243" s="229" t="s">
        <v>19</v>
      </c>
      <c r="L1243" s="234"/>
      <c r="M1243" s="235" t="s">
        <v>19</v>
      </c>
      <c r="N1243" s="236" t="s">
        <v>43</v>
      </c>
      <c r="O1243" s="66"/>
      <c r="P1243" s="190">
        <f>O1243*H1243</f>
        <v>0</v>
      </c>
      <c r="Q1243" s="190">
        <v>2.3999999999999998E-3</v>
      </c>
      <c r="R1243" s="190">
        <f>Q1243*H1243</f>
        <v>0.27899759999999996</v>
      </c>
      <c r="S1243" s="190">
        <v>0</v>
      </c>
      <c r="T1243" s="191">
        <f>S1243*H1243</f>
        <v>0</v>
      </c>
      <c r="U1243" s="36"/>
      <c r="V1243" s="36"/>
      <c r="W1243" s="36"/>
      <c r="X1243" s="36"/>
      <c r="Y1243" s="36"/>
      <c r="Z1243" s="36"/>
      <c r="AA1243" s="36"/>
      <c r="AB1243" s="36"/>
      <c r="AC1243" s="36"/>
      <c r="AD1243" s="36"/>
      <c r="AE1243" s="36"/>
      <c r="AR1243" s="192" t="s">
        <v>546</v>
      </c>
      <c r="AT1243" s="192" t="s">
        <v>465</v>
      </c>
      <c r="AU1243" s="192" t="s">
        <v>82</v>
      </c>
      <c r="AY1243" s="19" t="s">
        <v>380</v>
      </c>
      <c r="BE1243" s="193">
        <f>IF(N1243="základní",J1243,0)</f>
        <v>0</v>
      </c>
      <c r="BF1243" s="193">
        <f>IF(N1243="snížená",J1243,0)</f>
        <v>0</v>
      </c>
      <c r="BG1243" s="193">
        <f>IF(N1243="zákl. přenesená",J1243,0)</f>
        <v>0</v>
      </c>
      <c r="BH1243" s="193">
        <f>IF(N1243="sníž. přenesená",J1243,0)</f>
        <v>0</v>
      </c>
      <c r="BI1243" s="193">
        <f>IF(N1243="nulová",J1243,0)</f>
        <v>0</v>
      </c>
      <c r="BJ1243" s="19" t="s">
        <v>79</v>
      </c>
      <c r="BK1243" s="193">
        <f>ROUND(I1243*H1243,2)</f>
        <v>0</v>
      </c>
      <c r="BL1243" s="19" t="s">
        <v>281</v>
      </c>
      <c r="BM1243" s="192" t="s">
        <v>1668</v>
      </c>
    </row>
    <row r="1244" spans="1:65" s="13" customFormat="1" ht="11.25">
      <c r="B1244" s="194"/>
      <c r="C1244" s="195"/>
      <c r="D1244" s="196" t="s">
        <v>388</v>
      </c>
      <c r="E1244" s="197" t="s">
        <v>19</v>
      </c>
      <c r="F1244" s="198" t="s">
        <v>1616</v>
      </c>
      <c r="G1244" s="195"/>
      <c r="H1244" s="197" t="s">
        <v>19</v>
      </c>
      <c r="I1244" s="199"/>
      <c r="J1244" s="195"/>
      <c r="K1244" s="195"/>
      <c r="L1244" s="200"/>
      <c r="M1244" s="201"/>
      <c r="N1244" s="202"/>
      <c r="O1244" s="202"/>
      <c r="P1244" s="202"/>
      <c r="Q1244" s="202"/>
      <c r="R1244" s="202"/>
      <c r="S1244" s="202"/>
      <c r="T1244" s="203"/>
      <c r="AT1244" s="204" t="s">
        <v>388</v>
      </c>
      <c r="AU1244" s="204" t="s">
        <v>82</v>
      </c>
      <c r="AV1244" s="13" t="s">
        <v>79</v>
      </c>
      <c r="AW1244" s="13" t="s">
        <v>33</v>
      </c>
      <c r="AX1244" s="13" t="s">
        <v>72</v>
      </c>
      <c r="AY1244" s="204" t="s">
        <v>380</v>
      </c>
    </row>
    <row r="1245" spans="1:65" s="14" customFormat="1" ht="11.25">
      <c r="B1245" s="205"/>
      <c r="C1245" s="206"/>
      <c r="D1245" s="196" t="s">
        <v>388</v>
      </c>
      <c r="E1245" s="207" t="s">
        <v>19</v>
      </c>
      <c r="F1245" s="208" t="s">
        <v>1669</v>
      </c>
      <c r="G1245" s="206"/>
      <c r="H1245" s="209">
        <v>116.249</v>
      </c>
      <c r="I1245" s="210"/>
      <c r="J1245" s="206"/>
      <c r="K1245" s="206"/>
      <c r="L1245" s="211"/>
      <c r="M1245" s="212"/>
      <c r="N1245" s="213"/>
      <c r="O1245" s="213"/>
      <c r="P1245" s="213"/>
      <c r="Q1245" s="213"/>
      <c r="R1245" s="213"/>
      <c r="S1245" s="213"/>
      <c r="T1245" s="214"/>
      <c r="AT1245" s="215" t="s">
        <v>388</v>
      </c>
      <c r="AU1245" s="215" t="s">
        <v>82</v>
      </c>
      <c r="AV1245" s="14" t="s">
        <v>82</v>
      </c>
      <c r="AW1245" s="14" t="s">
        <v>33</v>
      </c>
      <c r="AX1245" s="14" t="s">
        <v>79</v>
      </c>
      <c r="AY1245" s="215" t="s">
        <v>380</v>
      </c>
    </row>
    <row r="1246" spans="1:65" s="2" customFormat="1" ht="24.2" customHeight="1">
      <c r="A1246" s="36"/>
      <c r="B1246" s="37"/>
      <c r="C1246" s="227" t="s">
        <v>1670</v>
      </c>
      <c r="D1246" s="227" t="s">
        <v>465</v>
      </c>
      <c r="E1246" s="228" t="s">
        <v>1671</v>
      </c>
      <c r="F1246" s="229" t="s">
        <v>1672</v>
      </c>
      <c r="G1246" s="230" t="s">
        <v>398</v>
      </c>
      <c r="H1246" s="231">
        <v>23.363</v>
      </c>
      <c r="I1246" s="232"/>
      <c r="J1246" s="233">
        <f>ROUND(I1246*H1246,2)</f>
        <v>0</v>
      </c>
      <c r="K1246" s="229" t="s">
        <v>19</v>
      </c>
      <c r="L1246" s="234"/>
      <c r="M1246" s="235" t="s">
        <v>19</v>
      </c>
      <c r="N1246" s="236" t="s">
        <v>43</v>
      </c>
      <c r="O1246" s="66"/>
      <c r="P1246" s="190">
        <f>O1246*H1246</f>
        <v>0</v>
      </c>
      <c r="Q1246" s="190">
        <v>3.0000000000000001E-3</v>
      </c>
      <c r="R1246" s="190">
        <f>Q1246*H1246</f>
        <v>7.0088999999999999E-2</v>
      </c>
      <c r="S1246" s="190">
        <v>0</v>
      </c>
      <c r="T1246" s="191">
        <f>S1246*H1246</f>
        <v>0</v>
      </c>
      <c r="U1246" s="36"/>
      <c r="V1246" s="36"/>
      <c r="W1246" s="36"/>
      <c r="X1246" s="36"/>
      <c r="Y1246" s="36"/>
      <c r="Z1246" s="36"/>
      <c r="AA1246" s="36"/>
      <c r="AB1246" s="36"/>
      <c r="AC1246" s="36"/>
      <c r="AD1246" s="36"/>
      <c r="AE1246" s="36"/>
      <c r="AR1246" s="192" t="s">
        <v>546</v>
      </c>
      <c r="AT1246" s="192" t="s">
        <v>465</v>
      </c>
      <c r="AU1246" s="192" t="s">
        <v>82</v>
      </c>
      <c r="AY1246" s="19" t="s">
        <v>380</v>
      </c>
      <c r="BE1246" s="193">
        <f>IF(N1246="základní",J1246,0)</f>
        <v>0</v>
      </c>
      <c r="BF1246" s="193">
        <f>IF(N1246="snížená",J1246,0)</f>
        <v>0</v>
      </c>
      <c r="BG1246" s="193">
        <f>IF(N1246="zákl. přenesená",J1246,0)</f>
        <v>0</v>
      </c>
      <c r="BH1246" s="193">
        <f>IF(N1246="sníž. přenesená",J1246,0)</f>
        <v>0</v>
      </c>
      <c r="BI1246" s="193">
        <f>IF(N1246="nulová",J1246,0)</f>
        <v>0</v>
      </c>
      <c r="BJ1246" s="19" t="s">
        <v>79</v>
      </c>
      <c r="BK1246" s="193">
        <f>ROUND(I1246*H1246,2)</f>
        <v>0</v>
      </c>
      <c r="BL1246" s="19" t="s">
        <v>281</v>
      </c>
      <c r="BM1246" s="192" t="s">
        <v>1673</v>
      </c>
    </row>
    <row r="1247" spans="1:65" s="13" customFormat="1" ht="11.25">
      <c r="B1247" s="194"/>
      <c r="C1247" s="195"/>
      <c r="D1247" s="196" t="s">
        <v>388</v>
      </c>
      <c r="E1247" s="197" t="s">
        <v>19</v>
      </c>
      <c r="F1247" s="198" t="s">
        <v>1621</v>
      </c>
      <c r="G1247" s="195"/>
      <c r="H1247" s="197" t="s">
        <v>19</v>
      </c>
      <c r="I1247" s="199"/>
      <c r="J1247" s="195"/>
      <c r="K1247" s="195"/>
      <c r="L1247" s="200"/>
      <c r="M1247" s="201"/>
      <c r="N1247" s="202"/>
      <c r="O1247" s="202"/>
      <c r="P1247" s="202"/>
      <c r="Q1247" s="202"/>
      <c r="R1247" s="202"/>
      <c r="S1247" s="202"/>
      <c r="T1247" s="203"/>
      <c r="AT1247" s="204" t="s">
        <v>388</v>
      </c>
      <c r="AU1247" s="204" t="s">
        <v>82</v>
      </c>
      <c r="AV1247" s="13" t="s">
        <v>79</v>
      </c>
      <c r="AW1247" s="13" t="s">
        <v>33</v>
      </c>
      <c r="AX1247" s="13" t="s">
        <v>72</v>
      </c>
      <c r="AY1247" s="204" t="s">
        <v>380</v>
      </c>
    </row>
    <row r="1248" spans="1:65" s="13" customFormat="1" ht="11.25">
      <c r="B1248" s="194"/>
      <c r="C1248" s="195"/>
      <c r="D1248" s="196" t="s">
        <v>388</v>
      </c>
      <c r="E1248" s="197" t="s">
        <v>19</v>
      </c>
      <c r="F1248" s="198" t="s">
        <v>1626</v>
      </c>
      <c r="G1248" s="195"/>
      <c r="H1248" s="197" t="s">
        <v>19</v>
      </c>
      <c r="I1248" s="199"/>
      <c r="J1248" s="195"/>
      <c r="K1248" s="195"/>
      <c r="L1248" s="200"/>
      <c r="M1248" s="201"/>
      <c r="N1248" s="202"/>
      <c r="O1248" s="202"/>
      <c r="P1248" s="202"/>
      <c r="Q1248" s="202"/>
      <c r="R1248" s="202"/>
      <c r="S1248" s="202"/>
      <c r="T1248" s="203"/>
      <c r="AT1248" s="204" t="s">
        <v>388</v>
      </c>
      <c r="AU1248" s="204" t="s">
        <v>82</v>
      </c>
      <c r="AV1248" s="13" t="s">
        <v>79</v>
      </c>
      <c r="AW1248" s="13" t="s">
        <v>33</v>
      </c>
      <c r="AX1248" s="13" t="s">
        <v>72</v>
      </c>
      <c r="AY1248" s="204" t="s">
        <v>380</v>
      </c>
    </row>
    <row r="1249" spans="1:65" s="13" customFormat="1" ht="11.25">
      <c r="B1249" s="194"/>
      <c r="C1249" s="195"/>
      <c r="D1249" s="196" t="s">
        <v>388</v>
      </c>
      <c r="E1249" s="197" t="s">
        <v>19</v>
      </c>
      <c r="F1249" s="198" t="s">
        <v>1627</v>
      </c>
      <c r="G1249" s="195"/>
      <c r="H1249" s="197" t="s">
        <v>19</v>
      </c>
      <c r="I1249" s="199"/>
      <c r="J1249" s="195"/>
      <c r="K1249" s="195"/>
      <c r="L1249" s="200"/>
      <c r="M1249" s="201"/>
      <c r="N1249" s="202"/>
      <c r="O1249" s="202"/>
      <c r="P1249" s="202"/>
      <c r="Q1249" s="202"/>
      <c r="R1249" s="202"/>
      <c r="S1249" s="202"/>
      <c r="T1249" s="203"/>
      <c r="AT1249" s="204" t="s">
        <v>388</v>
      </c>
      <c r="AU1249" s="204" t="s">
        <v>82</v>
      </c>
      <c r="AV1249" s="13" t="s">
        <v>79</v>
      </c>
      <c r="AW1249" s="13" t="s">
        <v>33</v>
      </c>
      <c r="AX1249" s="13" t="s">
        <v>72</v>
      </c>
      <c r="AY1249" s="204" t="s">
        <v>380</v>
      </c>
    </row>
    <row r="1250" spans="1:65" s="14" customFormat="1" ht="11.25">
      <c r="B1250" s="205"/>
      <c r="C1250" s="206"/>
      <c r="D1250" s="196" t="s">
        <v>388</v>
      </c>
      <c r="E1250" s="207" t="s">
        <v>19</v>
      </c>
      <c r="F1250" s="208" t="s">
        <v>1674</v>
      </c>
      <c r="G1250" s="206"/>
      <c r="H1250" s="209">
        <v>23.363</v>
      </c>
      <c r="I1250" s="210"/>
      <c r="J1250" s="206"/>
      <c r="K1250" s="206"/>
      <c r="L1250" s="211"/>
      <c r="M1250" s="212"/>
      <c r="N1250" s="213"/>
      <c r="O1250" s="213"/>
      <c r="P1250" s="213"/>
      <c r="Q1250" s="213"/>
      <c r="R1250" s="213"/>
      <c r="S1250" s="213"/>
      <c r="T1250" s="214"/>
      <c r="AT1250" s="215" t="s">
        <v>388</v>
      </c>
      <c r="AU1250" s="215" t="s">
        <v>82</v>
      </c>
      <c r="AV1250" s="14" t="s">
        <v>82</v>
      </c>
      <c r="AW1250" s="14" t="s">
        <v>33</v>
      </c>
      <c r="AX1250" s="14" t="s">
        <v>79</v>
      </c>
      <c r="AY1250" s="215" t="s">
        <v>380</v>
      </c>
    </row>
    <row r="1251" spans="1:65" s="2" customFormat="1" ht="24.2" customHeight="1">
      <c r="A1251" s="36"/>
      <c r="B1251" s="37"/>
      <c r="C1251" s="227" t="s">
        <v>1675</v>
      </c>
      <c r="D1251" s="227" t="s">
        <v>465</v>
      </c>
      <c r="E1251" s="228" t="s">
        <v>1676</v>
      </c>
      <c r="F1251" s="229" t="s">
        <v>1677</v>
      </c>
      <c r="G1251" s="230" t="s">
        <v>398</v>
      </c>
      <c r="H1251" s="231">
        <v>580.03099999999995</v>
      </c>
      <c r="I1251" s="232"/>
      <c r="J1251" s="233">
        <f>ROUND(I1251*H1251,2)</f>
        <v>0</v>
      </c>
      <c r="K1251" s="229" t="s">
        <v>19</v>
      </c>
      <c r="L1251" s="234"/>
      <c r="M1251" s="235" t="s">
        <v>19</v>
      </c>
      <c r="N1251" s="236" t="s">
        <v>43</v>
      </c>
      <c r="O1251" s="66"/>
      <c r="P1251" s="190">
        <f>O1251*H1251</f>
        <v>0</v>
      </c>
      <c r="Q1251" s="190">
        <v>3.5999999999999999E-3</v>
      </c>
      <c r="R1251" s="190">
        <f>Q1251*H1251</f>
        <v>2.0881116</v>
      </c>
      <c r="S1251" s="190">
        <v>0</v>
      </c>
      <c r="T1251" s="191">
        <f>S1251*H1251</f>
        <v>0</v>
      </c>
      <c r="U1251" s="36"/>
      <c r="V1251" s="36"/>
      <c r="W1251" s="36"/>
      <c r="X1251" s="36"/>
      <c r="Y1251" s="36"/>
      <c r="Z1251" s="36"/>
      <c r="AA1251" s="36"/>
      <c r="AB1251" s="36"/>
      <c r="AC1251" s="36"/>
      <c r="AD1251" s="36"/>
      <c r="AE1251" s="36"/>
      <c r="AR1251" s="192" t="s">
        <v>546</v>
      </c>
      <c r="AT1251" s="192" t="s">
        <v>465</v>
      </c>
      <c r="AU1251" s="192" t="s">
        <v>82</v>
      </c>
      <c r="AY1251" s="19" t="s">
        <v>380</v>
      </c>
      <c r="BE1251" s="193">
        <f>IF(N1251="základní",J1251,0)</f>
        <v>0</v>
      </c>
      <c r="BF1251" s="193">
        <f>IF(N1251="snížená",J1251,0)</f>
        <v>0</v>
      </c>
      <c r="BG1251" s="193">
        <f>IF(N1251="zákl. přenesená",J1251,0)</f>
        <v>0</v>
      </c>
      <c r="BH1251" s="193">
        <f>IF(N1251="sníž. přenesená",J1251,0)</f>
        <v>0</v>
      </c>
      <c r="BI1251" s="193">
        <f>IF(N1251="nulová",J1251,0)</f>
        <v>0</v>
      </c>
      <c r="BJ1251" s="19" t="s">
        <v>79</v>
      </c>
      <c r="BK1251" s="193">
        <f>ROUND(I1251*H1251,2)</f>
        <v>0</v>
      </c>
      <c r="BL1251" s="19" t="s">
        <v>281</v>
      </c>
      <c r="BM1251" s="192" t="s">
        <v>1678</v>
      </c>
    </row>
    <row r="1252" spans="1:65" s="13" customFormat="1" ht="11.25">
      <c r="B1252" s="194"/>
      <c r="C1252" s="195"/>
      <c r="D1252" s="196" t="s">
        <v>388</v>
      </c>
      <c r="E1252" s="197" t="s">
        <v>19</v>
      </c>
      <c r="F1252" s="198" t="s">
        <v>1619</v>
      </c>
      <c r="G1252" s="195"/>
      <c r="H1252" s="197" t="s">
        <v>19</v>
      </c>
      <c r="I1252" s="199"/>
      <c r="J1252" s="195"/>
      <c r="K1252" s="195"/>
      <c r="L1252" s="200"/>
      <c r="M1252" s="201"/>
      <c r="N1252" s="202"/>
      <c r="O1252" s="202"/>
      <c r="P1252" s="202"/>
      <c r="Q1252" s="202"/>
      <c r="R1252" s="202"/>
      <c r="S1252" s="202"/>
      <c r="T1252" s="203"/>
      <c r="AT1252" s="204" t="s">
        <v>388</v>
      </c>
      <c r="AU1252" s="204" t="s">
        <v>82</v>
      </c>
      <c r="AV1252" s="13" t="s">
        <v>79</v>
      </c>
      <c r="AW1252" s="13" t="s">
        <v>33</v>
      </c>
      <c r="AX1252" s="13" t="s">
        <v>72</v>
      </c>
      <c r="AY1252" s="204" t="s">
        <v>380</v>
      </c>
    </row>
    <row r="1253" spans="1:65" s="14" customFormat="1" ht="11.25">
      <c r="B1253" s="205"/>
      <c r="C1253" s="206"/>
      <c r="D1253" s="196" t="s">
        <v>388</v>
      </c>
      <c r="E1253" s="207" t="s">
        <v>19</v>
      </c>
      <c r="F1253" s="208" t="s">
        <v>1679</v>
      </c>
      <c r="G1253" s="206"/>
      <c r="H1253" s="209">
        <v>580.03099999999995</v>
      </c>
      <c r="I1253" s="210"/>
      <c r="J1253" s="206"/>
      <c r="K1253" s="206"/>
      <c r="L1253" s="211"/>
      <c r="M1253" s="212"/>
      <c r="N1253" s="213"/>
      <c r="O1253" s="213"/>
      <c r="P1253" s="213"/>
      <c r="Q1253" s="213"/>
      <c r="R1253" s="213"/>
      <c r="S1253" s="213"/>
      <c r="T1253" s="214"/>
      <c r="AT1253" s="215" t="s">
        <v>388</v>
      </c>
      <c r="AU1253" s="215" t="s">
        <v>82</v>
      </c>
      <c r="AV1253" s="14" t="s">
        <v>82</v>
      </c>
      <c r="AW1253" s="14" t="s">
        <v>33</v>
      </c>
      <c r="AX1253" s="14" t="s">
        <v>79</v>
      </c>
      <c r="AY1253" s="215" t="s">
        <v>380</v>
      </c>
    </row>
    <row r="1254" spans="1:65" s="2" customFormat="1" ht="21.75" customHeight="1">
      <c r="A1254" s="36"/>
      <c r="B1254" s="37"/>
      <c r="C1254" s="181" t="s">
        <v>1680</v>
      </c>
      <c r="D1254" s="181" t="s">
        <v>382</v>
      </c>
      <c r="E1254" s="182" t="s">
        <v>1681</v>
      </c>
      <c r="F1254" s="183" t="s">
        <v>1682</v>
      </c>
      <c r="G1254" s="184" t="s">
        <v>398</v>
      </c>
      <c r="H1254" s="185">
        <v>549.75900000000001</v>
      </c>
      <c r="I1254" s="186"/>
      <c r="J1254" s="187">
        <f>ROUND(I1254*H1254,2)</f>
        <v>0</v>
      </c>
      <c r="K1254" s="183" t="s">
        <v>399</v>
      </c>
      <c r="L1254" s="41"/>
      <c r="M1254" s="188" t="s">
        <v>19</v>
      </c>
      <c r="N1254" s="189" t="s">
        <v>43</v>
      </c>
      <c r="O1254" s="66"/>
      <c r="P1254" s="190">
        <f>O1254*H1254</f>
        <v>0</v>
      </c>
      <c r="Q1254" s="190">
        <v>2.0397499999999999E-3</v>
      </c>
      <c r="R1254" s="190">
        <f>Q1254*H1254</f>
        <v>1.12137092025</v>
      </c>
      <c r="S1254" s="190">
        <v>0</v>
      </c>
      <c r="T1254" s="191">
        <f>S1254*H1254</f>
        <v>0</v>
      </c>
      <c r="U1254" s="36"/>
      <c r="V1254" s="36"/>
      <c r="W1254" s="36"/>
      <c r="X1254" s="36"/>
      <c r="Y1254" s="36"/>
      <c r="Z1254" s="36"/>
      <c r="AA1254" s="36"/>
      <c r="AB1254" s="36"/>
      <c r="AC1254" s="36"/>
      <c r="AD1254" s="36"/>
      <c r="AE1254" s="36"/>
      <c r="AR1254" s="192" t="s">
        <v>281</v>
      </c>
      <c r="AT1254" s="192" t="s">
        <v>382</v>
      </c>
      <c r="AU1254" s="192" t="s">
        <v>82</v>
      </c>
      <c r="AY1254" s="19" t="s">
        <v>380</v>
      </c>
      <c r="BE1254" s="193">
        <f>IF(N1254="základní",J1254,0)</f>
        <v>0</v>
      </c>
      <c r="BF1254" s="193">
        <f>IF(N1254="snížená",J1254,0)</f>
        <v>0</v>
      </c>
      <c r="BG1254" s="193">
        <f>IF(N1254="zákl. přenesená",J1254,0)</f>
        <v>0</v>
      </c>
      <c r="BH1254" s="193">
        <f>IF(N1254="sníž. přenesená",J1254,0)</f>
        <v>0</v>
      </c>
      <c r="BI1254" s="193">
        <f>IF(N1254="nulová",J1254,0)</f>
        <v>0</v>
      </c>
      <c r="BJ1254" s="19" t="s">
        <v>79</v>
      </c>
      <c r="BK1254" s="193">
        <f>ROUND(I1254*H1254,2)</f>
        <v>0</v>
      </c>
      <c r="BL1254" s="19" t="s">
        <v>281</v>
      </c>
      <c r="BM1254" s="192" t="s">
        <v>1683</v>
      </c>
    </row>
    <row r="1255" spans="1:65" s="13" customFormat="1" ht="11.25">
      <c r="B1255" s="194"/>
      <c r="C1255" s="195"/>
      <c r="D1255" s="196" t="s">
        <v>388</v>
      </c>
      <c r="E1255" s="197" t="s">
        <v>19</v>
      </c>
      <c r="F1255" s="198" t="s">
        <v>1684</v>
      </c>
      <c r="G1255" s="195"/>
      <c r="H1255" s="197" t="s">
        <v>19</v>
      </c>
      <c r="I1255" s="199"/>
      <c r="J1255" s="195"/>
      <c r="K1255" s="195"/>
      <c r="L1255" s="200"/>
      <c r="M1255" s="201"/>
      <c r="N1255" s="202"/>
      <c r="O1255" s="202"/>
      <c r="P1255" s="202"/>
      <c r="Q1255" s="202"/>
      <c r="R1255" s="202"/>
      <c r="S1255" s="202"/>
      <c r="T1255" s="203"/>
      <c r="AT1255" s="204" t="s">
        <v>388</v>
      </c>
      <c r="AU1255" s="204" t="s">
        <v>82</v>
      </c>
      <c r="AV1255" s="13" t="s">
        <v>79</v>
      </c>
      <c r="AW1255" s="13" t="s">
        <v>33</v>
      </c>
      <c r="AX1255" s="13" t="s">
        <v>72</v>
      </c>
      <c r="AY1255" s="204" t="s">
        <v>380</v>
      </c>
    </row>
    <row r="1256" spans="1:65" s="14" customFormat="1" ht="11.25">
      <c r="B1256" s="205"/>
      <c r="C1256" s="206"/>
      <c r="D1256" s="196" t="s">
        <v>388</v>
      </c>
      <c r="E1256" s="207" t="s">
        <v>19</v>
      </c>
      <c r="F1256" s="208" t="s">
        <v>1615</v>
      </c>
      <c r="G1256" s="206"/>
      <c r="H1256" s="209">
        <v>350.89800000000002</v>
      </c>
      <c r="I1256" s="210"/>
      <c r="J1256" s="206"/>
      <c r="K1256" s="206"/>
      <c r="L1256" s="211"/>
      <c r="M1256" s="212"/>
      <c r="N1256" s="213"/>
      <c r="O1256" s="213"/>
      <c r="P1256" s="213"/>
      <c r="Q1256" s="213"/>
      <c r="R1256" s="213"/>
      <c r="S1256" s="213"/>
      <c r="T1256" s="214"/>
      <c r="AT1256" s="215" t="s">
        <v>388</v>
      </c>
      <c r="AU1256" s="215" t="s">
        <v>82</v>
      </c>
      <c r="AV1256" s="14" t="s">
        <v>82</v>
      </c>
      <c r="AW1256" s="14" t="s">
        <v>33</v>
      </c>
      <c r="AX1256" s="14" t="s">
        <v>72</v>
      </c>
      <c r="AY1256" s="215" t="s">
        <v>380</v>
      </c>
    </row>
    <row r="1257" spans="1:65" s="13" customFormat="1" ht="11.25">
      <c r="B1257" s="194"/>
      <c r="C1257" s="195"/>
      <c r="D1257" s="196" t="s">
        <v>388</v>
      </c>
      <c r="E1257" s="197" t="s">
        <v>19</v>
      </c>
      <c r="F1257" s="198" t="s">
        <v>1685</v>
      </c>
      <c r="G1257" s="195"/>
      <c r="H1257" s="197" t="s">
        <v>19</v>
      </c>
      <c r="I1257" s="199"/>
      <c r="J1257" s="195"/>
      <c r="K1257" s="195"/>
      <c r="L1257" s="200"/>
      <c r="M1257" s="201"/>
      <c r="N1257" s="202"/>
      <c r="O1257" s="202"/>
      <c r="P1257" s="202"/>
      <c r="Q1257" s="202"/>
      <c r="R1257" s="202"/>
      <c r="S1257" s="202"/>
      <c r="T1257" s="203"/>
      <c r="AT1257" s="204" t="s">
        <v>388</v>
      </c>
      <c r="AU1257" s="204" t="s">
        <v>82</v>
      </c>
      <c r="AV1257" s="13" t="s">
        <v>79</v>
      </c>
      <c r="AW1257" s="13" t="s">
        <v>33</v>
      </c>
      <c r="AX1257" s="13" t="s">
        <v>72</v>
      </c>
      <c r="AY1257" s="204" t="s">
        <v>380</v>
      </c>
    </row>
    <row r="1258" spans="1:65" s="14" customFormat="1" ht="11.25">
      <c r="B1258" s="205"/>
      <c r="C1258" s="206"/>
      <c r="D1258" s="196" t="s">
        <v>388</v>
      </c>
      <c r="E1258" s="207" t="s">
        <v>19</v>
      </c>
      <c r="F1258" s="208" t="s">
        <v>1419</v>
      </c>
      <c r="G1258" s="206"/>
      <c r="H1258" s="209">
        <v>22.140999999999998</v>
      </c>
      <c r="I1258" s="210"/>
      <c r="J1258" s="206"/>
      <c r="K1258" s="206"/>
      <c r="L1258" s="211"/>
      <c r="M1258" s="212"/>
      <c r="N1258" s="213"/>
      <c r="O1258" s="213"/>
      <c r="P1258" s="213"/>
      <c r="Q1258" s="213"/>
      <c r="R1258" s="213"/>
      <c r="S1258" s="213"/>
      <c r="T1258" s="214"/>
      <c r="AT1258" s="215" t="s">
        <v>388</v>
      </c>
      <c r="AU1258" s="215" t="s">
        <v>82</v>
      </c>
      <c r="AV1258" s="14" t="s">
        <v>82</v>
      </c>
      <c r="AW1258" s="14" t="s">
        <v>33</v>
      </c>
      <c r="AX1258" s="14" t="s">
        <v>72</v>
      </c>
      <c r="AY1258" s="215" t="s">
        <v>380</v>
      </c>
    </row>
    <row r="1259" spans="1:65" s="13" customFormat="1" ht="11.25">
      <c r="B1259" s="194"/>
      <c r="C1259" s="195"/>
      <c r="D1259" s="196" t="s">
        <v>388</v>
      </c>
      <c r="E1259" s="197" t="s">
        <v>19</v>
      </c>
      <c r="F1259" s="198" t="s">
        <v>1686</v>
      </c>
      <c r="G1259" s="195"/>
      <c r="H1259" s="197" t="s">
        <v>19</v>
      </c>
      <c r="I1259" s="199"/>
      <c r="J1259" s="195"/>
      <c r="K1259" s="195"/>
      <c r="L1259" s="200"/>
      <c r="M1259" s="201"/>
      <c r="N1259" s="202"/>
      <c r="O1259" s="202"/>
      <c r="P1259" s="202"/>
      <c r="Q1259" s="202"/>
      <c r="R1259" s="202"/>
      <c r="S1259" s="202"/>
      <c r="T1259" s="203"/>
      <c r="AT1259" s="204" t="s">
        <v>388</v>
      </c>
      <c r="AU1259" s="204" t="s">
        <v>82</v>
      </c>
      <c r="AV1259" s="13" t="s">
        <v>79</v>
      </c>
      <c r="AW1259" s="13" t="s">
        <v>33</v>
      </c>
      <c r="AX1259" s="13" t="s">
        <v>72</v>
      </c>
      <c r="AY1259" s="204" t="s">
        <v>380</v>
      </c>
    </row>
    <row r="1260" spans="1:65" s="14" customFormat="1" ht="11.25">
      <c r="B1260" s="205"/>
      <c r="C1260" s="206"/>
      <c r="D1260" s="196" t="s">
        <v>388</v>
      </c>
      <c r="E1260" s="207" t="s">
        <v>19</v>
      </c>
      <c r="F1260" s="208" t="s">
        <v>1687</v>
      </c>
      <c r="G1260" s="206"/>
      <c r="H1260" s="209">
        <v>48.97</v>
      </c>
      <c r="I1260" s="210"/>
      <c r="J1260" s="206"/>
      <c r="K1260" s="206"/>
      <c r="L1260" s="211"/>
      <c r="M1260" s="212"/>
      <c r="N1260" s="213"/>
      <c r="O1260" s="213"/>
      <c r="P1260" s="213"/>
      <c r="Q1260" s="213"/>
      <c r="R1260" s="213"/>
      <c r="S1260" s="213"/>
      <c r="T1260" s="214"/>
      <c r="AT1260" s="215" t="s">
        <v>388</v>
      </c>
      <c r="AU1260" s="215" t="s">
        <v>82</v>
      </c>
      <c r="AV1260" s="14" t="s">
        <v>82</v>
      </c>
      <c r="AW1260" s="14" t="s">
        <v>33</v>
      </c>
      <c r="AX1260" s="14" t="s">
        <v>72</v>
      </c>
      <c r="AY1260" s="215" t="s">
        <v>380</v>
      </c>
    </row>
    <row r="1261" spans="1:65" s="13" customFormat="1" ht="11.25">
      <c r="B1261" s="194"/>
      <c r="C1261" s="195"/>
      <c r="D1261" s="196" t="s">
        <v>388</v>
      </c>
      <c r="E1261" s="197" t="s">
        <v>19</v>
      </c>
      <c r="F1261" s="198" t="s">
        <v>1688</v>
      </c>
      <c r="G1261" s="195"/>
      <c r="H1261" s="197" t="s">
        <v>19</v>
      </c>
      <c r="I1261" s="199"/>
      <c r="J1261" s="195"/>
      <c r="K1261" s="195"/>
      <c r="L1261" s="200"/>
      <c r="M1261" s="201"/>
      <c r="N1261" s="202"/>
      <c r="O1261" s="202"/>
      <c r="P1261" s="202"/>
      <c r="Q1261" s="202"/>
      <c r="R1261" s="202"/>
      <c r="S1261" s="202"/>
      <c r="T1261" s="203"/>
      <c r="AT1261" s="204" t="s">
        <v>388</v>
      </c>
      <c r="AU1261" s="204" t="s">
        <v>82</v>
      </c>
      <c r="AV1261" s="13" t="s">
        <v>79</v>
      </c>
      <c r="AW1261" s="13" t="s">
        <v>33</v>
      </c>
      <c r="AX1261" s="13" t="s">
        <v>72</v>
      </c>
      <c r="AY1261" s="204" t="s">
        <v>380</v>
      </c>
    </row>
    <row r="1262" spans="1:65" s="14" customFormat="1" ht="11.25">
      <c r="B1262" s="205"/>
      <c r="C1262" s="206"/>
      <c r="D1262" s="196" t="s">
        <v>388</v>
      </c>
      <c r="E1262" s="207" t="s">
        <v>19</v>
      </c>
      <c r="F1262" s="208" t="s">
        <v>1689</v>
      </c>
      <c r="G1262" s="206"/>
      <c r="H1262" s="209">
        <v>65</v>
      </c>
      <c r="I1262" s="210"/>
      <c r="J1262" s="206"/>
      <c r="K1262" s="206"/>
      <c r="L1262" s="211"/>
      <c r="M1262" s="212"/>
      <c r="N1262" s="213"/>
      <c r="O1262" s="213"/>
      <c r="P1262" s="213"/>
      <c r="Q1262" s="213"/>
      <c r="R1262" s="213"/>
      <c r="S1262" s="213"/>
      <c r="T1262" s="214"/>
      <c r="AT1262" s="215" t="s">
        <v>388</v>
      </c>
      <c r="AU1262" s="215" t="s">
        <v>82</v>
      </c>
      <c r="AV1262" s="14" t="s">
        <v>82</v>
      </c>
      <c r="AW1262" s="14" t="s">
        <v>33</v>
      </c>
      <c r="AX1262" s="14" t="s">
        <v>72</v>
      </c>
      <c r="AY1262" s="215" t="s">
        <v>380</v>
      </c>
    </row>
    <row r="1263" spans="1:65" s="13" customFormat="1" ht="11.25">
      <c r="B1263" s="194"/>
      <c r="C1263" s="195"/>
      <c r="D1263" s="196" t="s">
        <v>388</v>
      </c>
      <c r="E1263" s="197" t="s">
        <v>19</v>
      </c>
      <c r="F1263" s="198" t="s">
        <v>1690</v>
      </c>
      <c r="G1263" s="195"/>
      <c r="H1263" s="197" t="s">
        <v>19</v>
      </c>
      <c r="I1263" s="199"/>
      <c r="J1263" s="195"/>
      <c r="K1263" s="195"/>
      <c r="L1263" s="200"/>
      <c r="M1263" s="201"/>
      <c r="N1263" s="202"/>
      <c r="O1263" s="202"/>
      <c r="P1263" s="202"/>
      <c r="Q1263" s="202"/>
      <c r="R1263" s="202"/>
      <c r="S1263" s="202"/>
      <c r="T1263" s="203"/>
      <c r="AT1263" s="204" t="s">
        <v>388</v>
      </c>
      <c r="AU1263" s="204" t="s">
        <v>82</v>
      </c>
      <c r="AV1263" s="13" t="s">
        <v>79</v>
      </c>
      <c r="AW1263" s="13" t="s">
        <v>33</v>
      </c>
      <c r="AX1263" s="13" t="s">
        <v>72</v>
      </c>
      <c r="AY1263" s="204" t="s">
        <v>380</v>
      </c>
    </row>
    <row r="1264" spans="1:65" s="14" customFormat="1" ht="11.25">
      <c r="B1264" s="205"/>
      <c r="C1264" s="206"/>
      <c r="D1264" s="196" t="s">
        <v>388</v>
      </c>
      <c r="E1264" s="207" t="s">
        <v>19</v>
      </c>
      <c r="F1264" s="208" t="s">
        <v>1691</v>
      </c>
      <c r="G1264" s="206"/>
      <c r="H1264" s="209">
        <v>45.15</v>
      </c>
      <c r="I1264" s="210"/>
      <c r="J1264" s="206"/>
      <c r="K1264" s="206"/>
      <c r="L1264" s="211"/>
      <c r="M1264" s="212"/>
      <c r="N1264" s="213"/>
      <c r="O1264" s="213"/>
      <c r="P1264" s="213"/>
      <c r="Q1264" s="213"/>
      <c r="R1264" s="213"/>
      <c r="S1264" s="213"/>
      <c r="T1264" s="214"/>
      <c r="AT1264" s="215" t="s">
        <v>388</v>
      </c>
      <c r="AU1264" s="215" t="s">
        <v>82</v>
      </c>
      <c r="AV1264" s="14" t="s">
        <v>82</v>
      </c>
      <c r="AW1264" s="14" t="s">
        <v>33</v>
      </c>
      <c r="AX1264" s="14" t="s">
        <v>72</v>
      </c>
      <c r="AY1264" s="215" t="s">
        <v>380</v>
      </c>
    </row>
    <row r="1265" spans="1:65" s="13" customFormat="1" ht="11.25">
      <c r="B1265" s="194"/>
      <c r="C1265" s="195"/>
      <c r="D1265" s="196" t="s">
        <v>388</v>
      </c>
      <c r="E1265" s="197" t="s">
        <v>19</v>
      </c>
      <c r="F1265" s="198" t="s">
        <v>1692</v>
      </c>
      <c r="G1265" s="195"/>
      <c r="H1265" s="197" t="s">
        <v>19</v>
      </c>
      <c r="I1265" s="199"/>
      <c r="J1265" s="195"/>
      <c r="K1265" s="195"/>
      <c r="L1265" s="200"/>
      <c r="M1265" s="201"/>
      <c r="N1265" s="202"/>
      <c r="O1265" s="202"/>
      <c r="P1265" s="202"/>
      <c r="Q1265" s="202"/>
      <c r="R1265" s="202"/>
      <c r="S1265" s="202"/>
      <c r="T1265" s="203"/>
      <c r="AT1265" s="204" t="s">
        <v>388</v>
      </c>
      <c r="AU1265" s="204" t="s">
        <v>82</v>
      </c>
      <c r="AV1265" s="13" t="s">
        <v>79</v>
      </c>
      <c r="AW1265" s="13" t="s">
        <v>33</v>
      </c>
      <c r="AX1265" s="13" t="s">
        <v>72</v>
      </c>
      <c r="AY1265" s="204" t="s">
        <v>380</v>
      </c>
    </row>
    <row r="1266" spans="1:65" s="14" customFormat="1" ht="11.25">
      <c r="B1266" s="205"/>
      <c r="C1266" s="206"/>
      <c r="D1266" s="196" t="s">
        <v>388</v>
      </c>
      <c r="E1266" s="207" t="s">
        <v>19</v>
      </c>
      <c r="F1266" s="208" t="s">
        <v>1427</v>
      </c>
      <c r="G1266" s="206"/>
      <c r="H1266" s="209">
        <v>17.600000000000001</v>
      </c>
      <c r="I1266" s="210"/>
      <c r="J1266" s="206"/>
      <c r="K1266" s="206"/>
      <c r="L1266" s="211"/>
      <c r="M1266" s="212"/>
      <c r="N1266" s="213"/>
      <c r="O1266" s="213"/>
      <c r="P1266" s="213"/>
      <c r="Q1266" s="213"/>
      <c r="R1266" s="213"/>
      <c r="S1266" s="213"/>
      <c r="T1266" s="214"/>
      <c r="AT1266" s="215" t="s">
        <v>388</v>
      </c>
      <c r="AU1266" s="215" t="s">
        <v>82</v>
      </c>
      <c r="AV1266" s="14" t="s">
        <v>82</v>
      </c>
      <c r="AW1266" s="14" t="s">
        <v>33</v>
      </c>
      <c r="AX1266" s="14" t="s">
        <v>72</v>
      </c>
      <c r="AY1266" s="215" t="s">
        <v>380</v>
      </c>
    </row>
    <row r="1267" spans="1:65" s="15" customFormat="1" ht="11.25">
      <c r="B1267" s="216"/>
      <c r="C1267" s="217"/>
      <c r="D1267" s="196" t="s">
        <v>388</v>
      </c>
      <c r="E1267" s="218" t="s">
        <v>19</v>
      </c>
      <c r="F1267" s="219" t="s">
        <v>419</v>
      </c>
      <c r="G1267" s="217"/>
      <c r="H1267" s="220">
        <v>549.75900000000001</v>
      </c>
      <c r="I1267" s="221"/>
      <c r="J1267" s="217"/>
      <c r="K1267" s="217"/>
      <c r="L1267" s="222"/>
      <c r="M1267" s="223"/>
      <c r="N1267" s="224"/>
      <c r="O1267" s="224"/>
      <c r="P1267" s="224"/>
      <c r="Q1267" s="224"/>
      <c r="R1267" s="224"/>
      <c r="S1267" s="224"/>
      <c r="T1267" s="225"/>
      <c r="AT1267" s="226" t="s">
        <v>388</v>
      </c>
      <c r="AU1267" s="226" t="s">
        <v>82</v>
      </c>
      <c r="AV1267" s="15" t="s">
        <v>386</v>
      </c>
      <c r="AW1267" s="15" t="s">
        <v>33</v>
      </c>
      <c r="AX1267" s="15" t="s">
        <v>79</v>
      </c>
      <c r="AY1267" s="226" t="s">
        <v>380</v>
      </c>
    </row>
    <row r="1268" spans="1:65" s="2" customFormat="1" ht="16.5" customHeight="1">
      <c r="A1268" s="36"/>
      <c r="B1268" s="37"/>
      <c r="C1268" s="227" t="s">
        <v>1693</v>
      </c>
      <c r="D1268" s="227" t="s">
        <v>465</v>
      </c>
      <c r="E1268" s="228" t="s">
        <v>1694</v>
      </c>
      <c r="F1268" s="229" t="s">
        <v>1695</v>
      </c>
      <c r="G1268" s="230" t="s">
        <v>385</v>
      </c>
      <c r="H1268" s="231">
        <v>79.504000000000005</v>
      </c>
      <c r="I1268" s="232"/>
      <c r="J1268" s="233">
        <f>ROUND(I1268*H1268,2)</f>
        <v>0</v>
      </c>
      <c r="K1268" s="229" t="s">
        <v>399</v>
      </c>
      <c r="L1268" s="234"/>
      <c r="M1268" s="235" t="s">
        <v>19</v>
      </c>
      <c r="N1268" s="236" t="s">
        <v>43</v>
      </c>
      <c r="O1268" s="66"/>
      <c r="P1268" s="190">
        <f>O1268*H1268</f>
        <v>0</v>
      </c>
      <c r="Q1268" s="190">
        <v>2.5000000000000001E-2</v>
      </c>
      <c r="R1268" s="190">
        <f>Q1268*H1268</f>
        <v>1.9876000000000003</v>
      </c>
      <c r="S1268" s="190">
        <v>0</v>
      </c>
      <c r="T1268" s="191">
        <f>S1268*H1268</f>
        <v>0</v>
      </c>
      <c r="U1268" s="36"/>
      <c r="V1268" s="36"/>
      <c r="W1268" s="36"/>
      <c r="X1268" s="36"/>
      <c r="Y1268" s="36"/>
      <c r="Z1268" s="36"/>
      <c r="AA1268" s="36"/>
      <c r="AB1268" s="36"/>
      <c r="AC1268" s="36"/>
      <c r="AD1268" s="36"/>
      <c r="AE1268" s="36"/>
      <c r="AR1268" s="192" t="s">
        <v>546</v>
      </c>
      <c r="AT1268" s="192" t="s">
        <v>465</v>
      </c>
      <c r="AU1268" s="192" t="s">
        <v>82</v>
      </c>
      <c r="AY1268" s="19" t="s">
        <v>380</v>
      </c>
      <c r="BE1268" s="193">
        <f>IF(N1268="základní",J1268,0)</f>
        <v>0</v>
      </c>
      <c r="BF1268" s="193">
        <f>IF(N1268="snížená",J1268,0)</f>
        <v>0</v>
      </c>
      <c r="BG1268" s="193">
        <f>IF(N1268="zákl. přenesená",J1268,0)</f>
        <v>0</v>
      </c>
      <c r="BH1268" s="193">
        <f>IF(N1268="sníž. přenesená",J1268,0)</f>
        <v>0</v>
      </c>
      <c r="BI1268" s="193">
        <f>IF(N1268="nulová",J1268,0)</f>
        <v>0</v>
      </c>
      <c r="BJ1268" s="19" t="s">
        <v>79</v>
      </c>
      <c r="BK1268" s="193">
        <f>ROUND(I1268*H1268,2)</f>
        <v>0</v>
      </c>
      <c r="BL1268" s="19" t="s">
        <v>281</v>
      </c>
      <c r="BM1268" s="192" t="s">
        <v>1696</v>
      </c>
    </row>
    <row r="1269" spans="1:65" s="13" customFormat="1" ht="11.25">
      <c r="B1269" s="194"/>
      <c r="C1269" s="195"/>
      <c r="D1269" s="196" t="s">
        <v>388</v>
      </c>
      <c r="E1269" s="197" t="s">
        <v>19</v>
      </c>
      <c r="F1269" s="198" t="s">
        <v>1684</v>
      </c>
      <c r="G1269" s="195"/>
      <c r="H1269" s="197" t="s">
        <v>19</v>
      </c>
      <c r="I1269" s="199"/>
      <c r="J1269" s="195"/>
      <c r="K1269" s="195"/>
      <c r="L1269" s="200"/>
      <c r="M1269" s="201"/>
      <c r="N1269" s="202"/>
      <c r="O1269" s="202"/>
      <c r="P1269" s="202"/>
      <c r="Q1269" s="202"/>
      <c r="R1269" s="202"/>
      <c r="S1269" s="202"/>
      <c r="T1269" s="203"/>
      <c r="AT1269" s="204" t="s">
        <v>388</v>
      </c>
      <c r="AU1269" s="204" t="s">
        <v>82</v>
      </c>
      <c r="AV1269" s="13" t="s">
        <v>79</v>
      </c>
      <c r="AW1269" s="13" t="s">
        <v>33</v>
      </c>
      <c r="AX1269" s="13" t="s">
        <v>72</v>
      </c>
      <c r="AY1269" s="204" t="s">
        <v>380</v>
      </c>
    </row>
    <row r="1270" spans="1:65" s="14" customFormat="1" ht="11.25">
      <c r="B1270" s="205"/>
      <c r="C1270" s="206"/>
      <c r="D1270" s="196" t="s">
        <v>388</v>
      </c>
      <c r="E1270" s="207" t="s">
        <v>19</v>
      </c>
      <c r="F1270" s="208" t="s">
        <v>1697</v>
      </c>
      <c r="G1270" s="206"/>
      <c r="H1270" s="209">
        <v>68.899000000000001</v>
      </c>
      <c r="I1270" s="210"/>
      <c r="J1270" s="206"/>
      <c r="K1270" s="206"/>
      <c r="L1270" s="211"/>
      <c r="M1270" s="212"/>
      <c r="N1270" s="213"/>
      <c r="O1270" s="213"/>
      <c r="P1270" s="213"/>
      <c r="Q1270" s="213"/>
      <c r="R1270" s="213"/>
      <c r="S1270" s="213"/>
      <c r="T1270" s="214"/>
      <c r="AT1270" s="215" t="s">
        <v>388</v>
      </c>
      <c r="AU1270" s="215" t="s">
        <v>82</v>
      </c>
      <c r="AV1270" s="14" t="s">
        <v>82</v>
      </c>
      <c r="AW1270" s="14" t="s">
        <v>33</v>
      </c>
      <c r="AX1270" s="14" t="s">
        <v>72</v>
      </c>
      <c r="AY1270" s="215" t="s">
        <v>380</v>
      </c>
    </row>
    <row r="1271" spans="1:65" s="13" customFormat="1" ht="11.25">
      <c r="B1271" s="194"/>
      <c r="C1271" s="195"/>
      <c r="D1271" s="196" t="s">
        <v>388</v>
      </c>
      <c r="E1271" s="197" t="s">
        <v>19</v>
      </c>
      <c r="F1271" s="198" t="s">
        <v>1686</v>
      </c>
      <c r="G1271" s="195"/>
      <c r="H1271" s="197" t="s">
        <v>19</v>
      </c>
      <c r="I1271" s="199"/>
      <c r="J1271" s="195"/>
      <c r="K1271" s="195"/>
      <c r="L1271" s="200"/>
      <c r="M1271" s="201"/>
      <c r="N1271" s="202"/>
      <c r="O1271" s="202"/>
      <c r="P1271" s="202"/>
      <c r="Q1271" s="202"/>
      <c r="R1271" s="202"/>
      <c r="S1271" s="202"/>
      <c r="T1271" s="203"/>
      <c r="AT1271" s="204" t="s">
        <v>388</v>
      </c>
      <c r="AU1271" s="204" t="s">
        <v>82</v>
      </c>
      <c r="AV1271" s="13" t="s">
        <v>79</v>
      </c>
      <c r="AW1271" s="13" t="s">
        <v>33</v>
      </c>
      <c r="AX1271" s="13" t="s">
        <v>72</v>
      </c>
      <c r="AY1271" s="204" t="s">
        <v>380</v>
      </c>
    </row>
    <row r="1272" spans="1:65" s="14" customFormat="1" ht="11.25">
      <c r="B1272" s="205"/>
      <c r="C1272" s="206"/>
      <c r="D1272" s="196" t="s">
        <v>388</v>
      </c>
      <c r="E1272" s="207" t="s">
        <v>19</v>
      </c>
      <c r="F1272" s="208" t="s">
        <v>1698</v>
      </c>
      <c r="G1272" s="206"/>
      <c r="H1272" s="209">
        <v>8.6159999999999997</v>
      </c>
      <c r="I1272" s="210"/>
      <c r="J1272" s="206"/>
      <c r="K1272" s="206"/>
      <c r="L1272" s="211"/>
      <c r="M1272" s="212"/>
      <c r="N1272" s="213"/>
      <c r="O1272" s="213"/>
      <c r="P1272" s="213"/>
      <c r="Q1272" s="213"/>
      <c r="R1272" s="213"/>
      <c r="S1272" s="213"/>
      <c r="T1272" s="214"/>
      <c r="AT1272" s="215" t="s">
        <v>388</v>
      </c>
      <c r="AU1272" s="215" t="s">
        <v>82</v>
      </c>
      <c r="AV1272" s="14" t="s">
        <v>82</v>
      </c>
      <c r="AW1272" s="14" t="s">
        <v>33</v>
      </c>
      <c r="AX1272" s="14" t="s">
        <v>72</v>
      </c>
      <c r="AY1272" s="215" t="s">
        <v>380</v>
      </c>
    </row>
    <row r="1273" spans="1:65" s="13" customFormat="1" ht="11.25">
      <c r="B1273" s="194"/>
      <c r="C1273" s="195"/>
      <c r="D1273" s="196" t="s">
        <v>388</v>
      </c>
      <c r="E1273" s="197" t="s">
        <v>19</v>
      </c>
      <c r="F1273" s="198" t="s">
        <v>1688</v>
      </c>
      <c r="G1273" s="195"/>
      <c r="H1273" s="197" t="s">
        <v>19</v>
      </c>
      <c r="I1273" s="199"/>
      <c r="J1273" s="195"/>
      <c r="K1273" s="195"/>
      <c r="L1273" s="200"/>
      <c r="M1273" s="201"/>
      <c r="N1273" s="202"/>
      <c r="O1273" s="202"/>
      <c r="P1273" s="202"/>
      <c r="Q1273" s="202"/>
      <c r="R1273" s="202"/>
      <c r="S1273" s="202"/>
      <c r="T1273" s="203"/>
      <c r="AT1273" s="204" t="s">
        <v>388</v>
      </c>
      <c r="AU1273" s="204" t="s">
        <v>82</v>
      </c>
      <c r="AV1273" s="13" t="s">
        <v>79</v>
      </c>
      <c r="AW1273" s="13" t="s">
        <v>33</v>
      </c>
      <c r="AX1273" s="13" t="s">
        <v>72</v>
      </c>
      <c r="AY1273" s="204" t="s">
        <v>380</v>
      </c>
    </row>
    <row r="1274" spans="1:65" s="14" customFormat="1" ht="11.25">
      <c r="B1274" s="205"/>
      <c r="C1274" s="206"/>
      <c r="D1274" s="196" t="s">
        <v>388</v>
      </c>
      <c r="E1274" s="207" t="s">
        <v>19</v>
      </c>
      <c r="F1274" s="208" t="s">
        <v>1699</v>
      </c>
      <c r="G1274" s="206"/>
      <c r="H1274" s="209">
        <v>1.9890000000000001</v>
      </c>
      <c r="I1274" s="210"/>
      <c r="J1274" s="206"/>
      <c r="K1274" s="206"/>
      <c r="L1274" s="211"/>
      <c r="M1274" s="212"/>
      <c r="N1274" s="213"/>
      <c r="O1274" s="213"/>
      <c r="P1274" s="213"/>
      <c r="Q1274" s="213"/>
      <c r="R1274" s="213"/>
      <c r="S1274" s="213"/>
      <c r="T1274" s="214"/>
      <c r="AT1274" s="215" t="s">
        <v>388</v>
      </c>
      <c r="AU1274" s="215" t="s">
        <v>82</v>
      </c>
      <c r="AV1274" s="14" t="s">
        <v>82</v>
      </c>
      <c r="AW1274" s="14" t="s">
        <v>33</v>
      </c>
      <c r="AX1274" s="14" t="s">
        <v>72</v>
      </c>
      <c r="AY1274" s="215" t="s">
        <v>380</v>
      </c>
    </row>
    <row r="1275" spans="1:65" s="15" customFormat="1" ht="11.25">
      <c r="B1275" s="216"/>
      <c r="C1275" s="217"/>
      <c r="D1275" s="196" t="s">
        <v>388</v>
      </c>
      <c r="E1275" s="218" t="s">
        <v>19</v>
      </c>
      <c r="F1275" s="219" t="s">
        <v>419</v>
      </c>
      <c r="G1275" s="217"/>
      <c r="H1275" s="220">
        <v>79.504000000000005</v>
      </c>
      <c r="I1275" s="221"/>
      <c r="J1275" s="217"/>
      <c r="K1275" s="217"/>
      <c r="L1275" s="222"/>
      <c r="M1275" s="223"/>
      <c r="N1275" s="224"/>
      <c r="O1275" s="224"/>
      <c r="P1275" s="224"/>
      <c r="Q1275" s="224"/>
      <c r="R1275" s="224"/>
      <c r="S1275" s="224"/>
      <c r="T1275" s="225"/>
      <c r="AT1275" s="226" t="s">
        <v>388</v>
      </c>
      <c r="AU1275" s="226" t="s">
        <v>82</v>
      </c>
      <c r="AV1275" s="15" t="s">
        <v>386</v>
      </c>
      <c r="AW1275" s="15" t="s">
        <v>33</v>
      </c>
      <c r="AX1275" s="15" t="s">
        <v>79</v>
      </c>
      <c r="AY1275" s="226" t="s">
        <v>380</v>
      </c>
    </row>
    <row r="1276" spans="1:65" s="2" customFormat="1" ht="16.5" customHeight="1">
      <c r="A1276" s="36"/>
      <c r="B1276" s="37"/>
      <c r="C1276" s="227" t="s">
        <v>1700</v>
      </c>
      <c r="D1276" s="227" t="s">
        <v>465</v>
      </c>
      <c r="E1276" s="228" t="s">
        <v>1701</v>
      </c>
      <c r="F1276" s="229" t="s">
        <v>1702</v>
      </c>
      <c r="G1276" s="230" t="s">
        <v>385</v>
      </c>
      <c r="H1276" s="231">
        <v>3.3879999999999999</v>
      </c>
      <c r="I1276" s="232"/>
      <c r="J1276" s="233">
        <f>ROUND(I1276*H1276,2)</f>
        <v>0</v>
      </c>
      <c r="K1276" s="229" t="s">
        <v>399</v>
      </c>
      <c r="L1276" s="234"/>
      <c r="M1276" s="235" t="s">
        <v>19</v>
      </c>
      <c r="N1276" s="236" t="s">
        <v>43</v>
      </c>
      <c r="O1276" s="66"/>
      <c r="P1276" s="190">
        <f>O1276*H1276</f>
        <v>0</v>
      </c>
      <c r="Q1276" s="190">
        <v>0.02</v>
      </c>
      <c r="R1276" s="190">
        <f>Q1276*H1276</f>
        <v>6.7760000000000001E-2</v>
      </c>
      <c r="S1276" s="190">
        <v>0</v>
      </c>
      <c r="T1276" s="191">
        <f>S1276*H1276</f>
        <v>0</v>
      </c>
      <c r="U1276" s="36"/>
      <c r="V1276" s="36"/>
      <c r="W1276" s="36"/>
      <c r="X1276" s="36"/>
      <c r="Y1276" s="36"/>
      <c r="Z1276" s="36"/>
      <c r="AA1276" s="36"/>
      <c r="AB1276" s="36"/>
      <c r="AC1276" s="36"/>
      <c r="AD1276" s="36"/>
      <c r="AE1276" s="36"/>
      <c r="AR1276" s="192" t="s">
        <v>546</v>
      </c>
      <c r="AT1276" s="192" t="s">
        <v>465</v>
      </c>
      <c r="AU1276" s="192" t="s">
        <v>82</v>
      </c>
      <c r="AY1276" s="19" t="s">
        <v>380</v>
      </c>
      <c r="BE1276" s="193">
        <f>IF(N1276="základní",J1276,0)</f>
        <v>0</v>
      </c>
      <c r="BF1276" s="193">
        <f>IF(N1276="snížená",J1276,0)</f>
        <v>0</v>
      </c>
      <c r="BG1276" s="193">
        <f>IF(N1276="zákl. přenesená",J1276,0)</f>
        <v>0</v>
      </c>
      <c r="BH1276" s="193">
        <f>IF(N1276="sníž. přenesená",J1276,0)</f>
        <v>0</v>
      </c>
      <c r="BI1276" s="193">
        <f>IF(N1276="nulová",J1276,0)</f>
        <v>0</v>
      </c>
      <c r="BJ1276" s="19" t="s">
        <v>79</v>
      </c>
      <c r="BK1276" s="193">
        <f>ROUND(I1276*H1276,2)</f>
        <v>0</v>
      </c>
      <c r="BL1276" s="19" t="s">
        <v>281</v>
      </c>
      <c r="BM1276" s="192" t="s">
        <v>1703</v>
      </c>
    </row>
    <row r="1277" spans="1:65" s="13" customFormat="1" ht="11.25">
      <c r="B1277" s="194"/>
      <c r="C1277" s="195"/>
      <c r="D1277" s="196" t="s">
        <v>388</v>
      </c>
      <c r="E1277" s="197" t="s">
        <v>19</v>
      </c>
      <c r="F1277" s="198" t="s">
        <v>1685</v>
      </c>
      <c r="G1277" s="195"/>
      <c r="H1277" s="197" t="s">
        <v>19</v>
      </c>
      <c r="I1277" s="199"/>
      <c r="J1277" s="195"/>
      <c r="K1277" s="195"/>
      <c r="L1277" s="200"/>
      <c r="M1277" s="201"/>
      <c r="N1277" s="202"/>
      <c r="O1277" s="202"/>
      <c r="P1277" s="202"/>
      <c r="Q1277" s="202"/>
      <c r="R1277" s="202"/>
      <c r="S1277" s="202"/>
      <c r="T1277" s="203"/>
      <c r="AT1277" s="204" t="s">
        <v>388</v>
      </c>
      <c r="AU1277" s="204" t="s">
        <v>82</v>
      </c>
      <c r="AV1277" s="13" t="s">
        <v>79</v>
      </c>
      <c r="AW1277" s="13" t="s">
        <v>33</v>
      </c>
      <c r="AX1277" s="13" t="s">
        <v>72</v>
      </c>
      <c r="AY1277" s="204" t="s">
        <v>380</v>
      </c>
    </row>
    <row r="1278" spans="1:65" s="14" customFormat="1" ht="11.25">
      <c r="B1278" s="205"/>
      <c r="C1278" s="206"/>
      <c r="D1278" s="196" t="s">
        <v>388</v>
      </c>
      <c r="E1278" s="207" t="s">
        <v>19</v>
      </c>
      <c r="F1278" s="208" t="s">
        <v>1704</v>
      </c>
      <c r="G1278" s="206"/>
      <c r="H1278" s="209">
        <v>3.3879999999999999</v>
      </c>
      <c r="I1278" s="210"/>
      <c r="J1278" s="206"/>
      <c r="K1278" s="206"/>
      <c r="L1278" s="211"/>
      <c r="M1278" s="212"/>
      <c r="N1278" s="213"/>
      <c r="O1278" s="213"/>
      <c r="P1278" s="213"/>
      <c r="Q1278" s="213"/>
      <c r="R1278" s="213"/>
      <c r="S1278" s="213"/>
      <c r="T1278" s="214"/>
      <c r="AT1278" s="215" t="s">
        <v>388</v>
      </c>
      <c r="AU1278" s="215" t="s">
        <v>82</v>
      </c>
      <c r="AV1278" s="14" t="s">
        <v>82</v>
      </c>
      <c r="AW1278" s="14" t="s">
        <v>33</v>
      </c>
      <c r="AX1278" s="14" t="s">
        <v>79</v>
      </c>
      <c r="AY1278" s="215" t="s">
        <v>380</v>
      </c>
    </row>
    <row r="1279" spans="1:65" s="2" customFormat="1" ht="24.2" customHeight="1">
      <c r="A1279" s="36"/>
      <c r="B1279" s="37"/>
      <c r="C1279" s="227" t="s">
        <v>1705</v>
      </c>
      <c r="D1279" s="227" t="s">
        <v>465</v>
      </c>
      <c r="E1279" s="228" t="s">
        <v>1706</v>
      </c>
      <c r="F1279" s="229" t="s">
        <v>1707</v>
      </c>
      <c r="G1279" s="230" t="s">
        <v>385</v>
      </c>
      <c r="H1279" s="231">
        <v>4.6210000000000004</v>
      </c>
      <c r="I1279" s="232"/>
      <c r="J1279" s="233">
        <f>ROUND(I1279*H1279,2)</f>
        <v>0</v>
      </c>
      <c r="K1279" s="229" t="s">
        <v>19</v>
      </c>
      <c r="L1279" s="234"/>
      <c r="M1279" s="235" t="s">
        <v>19</v>
      </c>
      <c r="N1279" s="236" t="s">
        <v>43</v>
      </c>
      <c r="O1279" s="66"/>
      <c r="P1279" s="190">
        <f>O1279*H1279</f>
        <v>0</v>
      </c>
      <c r="Q1279" s="190">
        <v>0.03</v>
      </c>
      <c r="R1279" s="190">
        <f>Q1279*H1279</f>
        <v>0.13863</v>
      </c>
      <c r="S1279" s="190">
        <v>0</v>
      </c>
      <c r="T1279" s="191">
        <f>S1279*H1279</f>
        <v>0</v>
      </c>
      <c r="U1279" s="36"/>
      <c r="V1279" s="36"/>
      <c r="W1279" s="36"/>
      <c r="X1279" s="36"/>
      <c r="Y1279" s="36"/>
      <c r="Z1279" s="36"/>
      <c r="AA1279" s="36"/>
      <c r="AB1279" s="36"/>
      <c r="AC1279" s="36"/>
      <c r="AD1279" s="36"/>
      <c r="AE1279" s="36"/>
      <c r="AR1279" s="192" t="s">
        <v>546</v>
      </c>
      <c r="AT1279" s="192" t="s">
        <v>465</v>
      </c>
      <c r="AU1279" s="192" t="s">
        <v>82</v>
      </c>
      <c r="AY1279" s="19" t="s">
        <v>380</v>
      </c>
      <c r="BE1279" s="193">
        <f>IF(N1279="základní",J1279,0)</f>
        <v>0</v>
      </c>
      <c r="BF1279" s="193">
        <f>IF(N1279="snížená",J1279,0)</f>
        <v>0</v>
      </c>
      <c r="BG1279" s="193">
        <f>IF(N1279="zákl. přenesená",J1279,0)</f>
        <v>0</v>
      </c>
      <c r="BH1279" s="193">
        <f>IF(N1279="sníž. přenesená",J1279,0)</f>
        <v>0</v>
      </c>
      <c r="BI1279" s="193">
        <f>IF(N1279="nulová",J1279,0)</f>
        <v>0</v>
      </c>
      <c r="BJ1279" s="19" t="s">
        <v>79</v>
      </c>
      <c r="BK1279" s="193">
        <f>ROUND(I1279*H1279,2)</f>
        <v>0</v>
      </c>
      <c r="BL1279" s="19" t="s">
        <v>281</v>
      </c>
      <c r="BM1279" s="192" t="s">
        <v>1708</v>
      </c>
    </row>
    <row r="1280" spans="1:65" s="13" customFormat="1" ht="11.25">
      <c r="B1280" s="194"/>
      <c r="C1280" s="195"/>
      <c r="D1280" s="196" t="s">
        <v>388</v>
      </c>
      <c r="E1280" s="197" t="s">
        <v>19</v>
      </c>
      <c r="F1280" s="198" t="s">
        <v>1690</v>
      </c>
      <c r="G1280" s="195"/>
      <c r="H1280" s="197" t="s">
        <v>19</v>
      </c>
      <c r="I1280" s="199"/>
      <c r="J1280" s="195"/>
      <c r="K1280" s="195"/>
      <c r="L1280" s="200"/>
      <c r="M1280" s="201"/>
      <c r="N1280" s="202"/>
      <c r="O1280" s="202"/>
      <c r="P1280" s="202"/>
      <c r="Q1280" s="202"/>
      <c r="R1280" s="202"/>
      <c r="S1280" s="202"/>
      <c r="T1280" s="203"/>
      <c r="AT1280" s="204" t="s">
        <v>388</v>
      </c>
      <c r="AU1280" s="204" t="s">
        <v>82</v>
      </c>
      <c r="AV1280" s="13" t="s">
        <v>79</v>
      </c>
      <c r="AW1280" s="13" t="s">
        <v>33</v>
      </c>
      <c r="AX1280" s="13" t="s">
        <v>72</v>
      </c>
      <c r="AY1280" s="204" t="s">
        <v>380</v>
      </c>
    </row>
    <row r="1281" spans="1:65" s="14" customFormat="1" ht="11.25">
      <c r="B1281" s="205"/>
      <c r="C1281" s="206"/>
      <c r="D1281" s="196" t="s">
        <v>388</v>
      </c>
      <c r="E1281" s="207" t="s">
        <v>19</v>
      </c>
      <c r="F1281" s="208" t="s">
        <v>1709</v>
      </c>
      <c r="G1281" s="206"/>
      <c r="H1281" s="209">
        <v>3.4540000000000002</v>
      </c>
      <c r="I1281" s="210"/>
      <c r="J1281" s="206"/>
      <c r="K1281" s="206"/>
      <c r="L1281" s="211"/>
      <c r="M1281" s="212"/>
      <c r="N1281" s="213"/>
      <c r="O1281" s="213"/>
      <c r="P1281" s="213"/>
      <c r="Q1281" s="213"/>
      <c r="R1281" s="213"/>
      <c r="S1281" s="213"/>
      <c r="T1281" s="214"/>
      <c r="AT1281" s="215" t="s">
        <v>388</v>
      </c>
      <c r="AU1281" s="215" t="s">
        <v>82</v>
      </c>
      <c r="AV1281" s="14" t="s">
        <v>82</v>
      </c>
      <c r="AW1281" s="14" t="s">
        <v>33</v>
      </c>
      <c r="AX1281" s="14" t="s">
        <v>72</v>
      </c>
      <c r="AY1281" s="215" t="s">
        <v>380</v>
      </c>
    </row>
    <row r="1282" spans="1:65" s="13" customFormat="1" ht="11.25">
      <c r="B1282" s="194"/>
      <c r="C1282" s="195"/>
      <c r="D1282" s="196" t="s">
        <v>388</v>
      </c>
      <c r="E1282" s="197" t="s">
        <v>19</v>
      </c>
      <c r="F1282" s="198" t="s">
        <v>1692</v>
      </c>
      <c r="G1282" s="195"/>
      <c r="H1282" s="197" t="s">
        <v>19</v>
      </c>
      <c r="I1282" s="199"/>
      <c r="J1282" s="195"/>
      <c r="K1282" s="195"/>
      <c r="L1282" s="200"/>
      <c r="M1282" s="201"/>
      <c r="N1282" s="202"/>
      <c r="O1282" s="202"/>
      <c r="P1282" s="202"/>
      <c r="Q1282" s="202"/>
      <c r="R1282" s="202"/>
      <c r="S1282" s="202"/>
      <c r="T1282" s="203"/>
      <c r="AT1282" s="204" t="s">
        <v>388</v>
      </c>
      <c r="AU1282" s="204" t="s">
        <v>82</v>
      </c>
      <c r="AV1282" s="13" t="s">
        <v>79</v>
      </c>
      <c r="AW1282" s="13" t="s">
        <v>33</v>
      </c>
      <c r="AX1282" s="13" t="s">
        <v>72</v>
      </c>
      <c r="AY1282" s="204" t="s">
        <v>380</v>
      </c>
    </row>
    <row r="1283" spans="1:65" s="14" customFormat="1" ht="11.25">
      <c r="B1283" s="205"/>
      <c r="C1283" s="206"/>
      <c r="D1283" s="196" t="s">
        <v>388</v>
      </c>
      <c r="E1283" s="207" t="s">
        <v>19</v>
      </c>
      <c r="F1283" s="208" t="s">
        <v>1710</v>
      </c>
      <c r="G1283" s="206"/>
      <c r="H1283" s="209">
        <v>1.167</v>
      </c>
      <c r="I1283" s="210"/>
      <c r="J1283" s="206"/>
      <c r="K1283" s="206"/>
      <c r="L1283" s="211"/>
      <c r="M1283" s="212"/>
      <c r="N1283" s="213"/>
      <c r="O1283" s="213"/>
      <c r="P1283" s="213"/>
      <c r="Q1283" s="213"/>
      <c r="R1283" s="213"/>
      <c r="S1283" s="213"/>
      <c r="T1283" s="214"/>
      <c r="AT1283" s="215" t="s">
        <v>388</v>
      </c>
      <c r="AU1283" s="215" t="s">
        <v>82</v>
      </c>
      <c r="AV1283" s="14" t="s">
        <v>82</v>
      </c>
      <c r="AW1283" s="14" t="s">
        <v>33</v>
      </c>
      <c r="AX1283" s="14" t="s">
        <v>72</v>
      </c>
      <c r="AY1283" s="215" t="s">
        <v>380</v>
      </c>
    </row>
    <row r="1284" spans="1:65" s="15" customFormat="1" ht="11.25">
      <c r="B1284" s="216"/>
      <c r="C1284" s="217"/>
      <c r="D1284" s="196" t="s">
        <v>388</v>
      </c>
      <c r="E1284" s="218" t="s">
        <v>19</v>
      </c>
      <c r="F1284" s="219" t="s">
        <v>419</v>
      </c>
      <c r="G1284" s="217"/>
      <c r="H1284" s="220">
        <v>4.6210000000000004</v>
      </c>
      <c r="I1284" s="221"/>
      <c r="J1284" s="217"/>
      <c r="K1284" s="217"/>
      <c r="L1284" s="222"/>
      <c r="M1284" s="223"/>
      <c r="N1284" s="224"/>
      <c r="O1284" s="224"/>
      <c r="P1284" s="224"/>
      <c r="Q1284" s="224"/>
      <c r="R1284" s="224"/>
      <c r="S1284" s="224"/>
      <c r="T1284" s="225"/>
      <c r="AT1284" s="226" t="s">
        <v>388</v>
      </c>
      <c r="AU1284" s="226" t="s">
        <v>82</v>
      </c>
      <c r="AV1284" s="15" t="s">
        <v>386</v>
      </c>
      <c r="AW1284" s="15" t="s">
        <v>33</v>
      </c>
      <c r="AX1284" s="15" t="s">
        <v>79</v>
      </c>
      <c r="AY1284" s="226" t="s">
        <v>380</v>
      </c>
    </row>
    <row r="1285" spans="1:65" s="2" customFormat="1" ht="24.2" customHeight="1">
      <c r="A1285" s="36"/>
      <c r="B1285" s="37"/>
      <c r="C1285" s="181" t="s">
        <v>1711</v>
      </c>
      <c r="D1285" s="181" t="s">
        <v>382</v>
      </c>
      <c r="E1285" s="182" t="s">
        <v>1712</v>
      </c>
      <c r="F1285" s="183" t="s">
        <v>1713</v>
      </c>
      <c r="G1285" s="184" t="s">
        <v>398</v>
      </c>
      <c r="H1285" s="185">
        <v>568.65800000000002</v>
      </c>
      <c r="I1285" s="186"/>
      <c r="J1285" s="187">
        <f>ROUND(I1285*H1285,2)</f>
        <v>0</v>
      </c>
      <c r="K1285" s="183" t="s">
        <v>19</v>
      </c>
      <c r="L1285" s="41"/>
      <c r="M1285" s="188" t="s">
        <v>19</v>
      </c>
      <c r="N1285" s="189" t="s">
        <v>43</v>
      </c>
      <c r="O1285" s="66"/>
      <c r="P1285" s="190">
        <f>O1285*H1285</f>
        <v>0</v>
      </c>
      <c r="Q1285" s="190">
        <v>1.0699999999999999E-2</v>
      </c>
      <c r="R1285" s="190">
        <f>Q1285*H1285</f>
        <v>6.0846406000000002</v>
      </c>
      <c r="S1285" s="190">
        <v>0</v>
      </c>
      <c r="T1285" s="191">
        <f>S1285*H1285</f>
        <v>0</v>
      </c>
      <c r="U1285" s="36"/>
      <c r="V1285" s="36"/>
      <c r="W1285" s="36"/>
      <c r="X1285" s="36"/>
      <c r="Y1285" s="36"/>
      <c r="Z1285" s="36"/>
      <c r="AA1285" s="36"/>
      <c r="AB1285" s="36"/>
      <c r="AC1285" s="36"/>
      <c r="AD1285" s="36"/>
      <c r="AE1285" s="36"/>
      <c r="AR1285" s="192" t="s">
        <v>281</v>
      </c>
      <c r="AT1285" s="192" t="s">
        <v>382</v>
      </c>
      <c r="AU1285" s="192" t="s">
        <v>82</v>
      </c>
      <c r="AY1285" s="19" t="s">
        <v>380</v>
      </c>
      <c r="BE1285" s="193">
        <f>IF(N1285="základní",J1285,0)</f>
        <v>0</v>
      </c>
      <c r="BF1285" s="193">
        <f>IF(N1285="snížená",J1285,0)</f>
        <v>0</v>
      </c>
      <c r="BG1285" s="193">
        <f>IF(N1285="zákl. přenesená",J1285,0)</f>
        <v>0</v>
      </c>
      <c r="BH1285" s="193">
        <f>IF(N1285="sníž. přenesená",J1285,0)</f>
        <v>0</v>
      </c>
      <c r="BI1285" s="193">
        <f>IF(N1285="nulová",J1285,0)</f>
        <v>0</v>
      </c>
      <c r="BJ1285" s="19" t="s">
        <v>79</v>
      </c>
      <c r="BK1285" s="193">
        <f>ROUND(I1285*H1285,2)</f>
        <v>0</v>
      </c>
      <c r="BL1285" s="19" t="s">
        <v>281</v>
      </c>
      <c r="BM1285" s="192" t="s">
        <v>1714</v>
      </c>
    </row>
    <row r="1286" spans="1:65" s="13" customFormat="1" ht="11.25">
      <c r="B1286" s="194"/>
      <c r="C1286" s="195"/>
      <c r="D1286" s="196" t="s">
        <v>388</v>
      </c>
      <c r="E1286" s="197" t="s">
        <v>19</v>
      </c>
      <c r="F1286" s="198" t="s">
        <v>849</v>
      </c>
      <c r="G1286" s="195"/>
      <c r="H1286" s="197" t="s">
        <v>19</v>
      </c>
      <c r="I1286" s="199"/>
      <c r="J1286" s="195"/>
      <c r="K1286" s="195"/>
      <c r="L1286" s="200"/>
      <c r="M1286" s="201"/>
      <c r="N1286" s="202"/>
      <c r="O1286" s="202"/>
      <c r="P1286" s="202"/>
      <c r="Q1286" s="202"/>
      <c r="R1286" s="202"/>
      <c r="S1286" s="202"/>
      <c r="T1286" s="203"/>
      <c r="AT1286" s="204" t="s">
        <v>388</v>
      </c>
      <c r="AU1286" s="204" t="s">
        <v>82</v>
      </c>
      <c r="AV1286" s="13" t="s">
        <v>79</v>
      </c>
      <c r="AW1286" s="13" t="s">
        <v>33</v>
      </c>
      <c r="AX1286" s="13" t="s">
        <v>72</v>
      </c>
      <c r="AY1286" s="204" t="s">
        <v>380</v>
      </c>
    </row>
    <row r="1287" spans="1:65" s="14" customFormat="1" ht="11.25">
      <c r="B1287" s="205"/>
      <c r="C1287" s="206"/>
      <c r="D1287" s="196" t="s">
        <v>388</v>
      </c>
      <c r="E1287" s="207" t="s">
        <v>19</v>
      </c>
      <c r="F1287" s="208" t="s">
        <v>850</v>
      </c>
      <c r="G1287" s="206"/>
      <c r="H1287" s="209">
        <v>568.65800000000002</v>
      </c>
      <c r="I1287" s="210"/>
      <c r="J1287" s="206"/>
      <c r="K1287" s="206"/>
      <c r="L1287" s="211"/>
      <c r="M1287" s="212"/>
      <c r="N1287" s="213"/>
      <c r="O1287" s="213"/>
      <c r="P1287" s="213"/>
      <c r="Q1287" s="213"/>
      <c r="R1287" s="213"/>
      <c r="S1287" s="213"/>
      <c r="T1287" s="214"/>
      <c r="AT1287" s="215" t="s">
        <v>388</v>
      </c>
      <c r="AU1287" s="215" t="s">
        <v>82</v>
      </c>
      <c r="AV1287" s="14" t="s">
        <v>82</v>
      </c>
      <c r="AW1287" s="14" t="s">
        <v>33</v>
      </c>
      <c r="AX1287" s="14" t="s">
        <v>79</v>
      </c>
      <c r="AY1287" s="215" t="s">
        <v>380</v>
      </c>
    </row>
    <row r="1288" spans="1:65" s="2" customFormat="1" ht="24.2" customHeight="1">
      <c r="A1288" s="36"/>
      <c r="B1288" s="37"/>
      <c r="C1288" s="181" t="s">
        <v>1715</v>
      </c>
      <c r="D1288" s="181" t="s">
        <v>382</v>
      </c>
      <c r="E1288" s="182" t="s">
        <v>1716</v>
      </c>
      <c r="F1288" s="183" t="s">
        <v>1717</v>
      </c>
      <c r="G1288" s="184" t="s">
        <v>437</v>
      </c>
      <c r="H1288" s="185">
        <v>49.4</v>
      </c>
      <c r="I1288" s="186"/>
      <c r="J1288" s="187">
        <f>ROUND(I1288*H1288,2)</f>
        <v>0</v>
      </c>
      <c r="K1288" s="183" t="s">
        <v>399</v>
      </c>
      <c r="L1288" s="41"/>
      <c r="M1288" s="188" t="s">
        <v>19</v>
      </c>
      <c r="N1288" s="189" t="s">
        <v>43</v>
      </c>
      <c r="O1288" s="66"/>
      <c r="P1288" s="190">
        <f>O1288*H1288</f>
        <v>0</v>
      </c>
      <c r="Q1288" s="190">
        <v>0</v>
      </c>
      <c r="R1288" s="190">
        <f>Q1288*H1288</f>
        <v>0</v>
      </c>
      <c r="S1288" s="190">
        <v>0</v>
      </c>
      <c r="T1288" s="191">
        <f>S1288*H1288</f>
        <v>0</v>
      </c>
      <c r="U1288" s="36"/>
      <c r="V1288" s="36"/>
      <c r="W1288" s="36"/>
      <c r="X1288" s="36"/>
      <c r="Y1288" s="36"/>
      <c r="Z1288" s="36"/>
      <c r="AA1288" s="36"/>
      <c r="AB1288" s="36"/>
      <c r="AC1288" s="36"/>
      <c r="AD1288" s="36"/>
      <c r="AE1288" s="36"/>
      <c r="AR1288" s="192" t="s">
        <v>281</v>
      </c>
      <c r="AT1288" s="192" t="s">
        <v>382</v>
      </c>
      <c r="AU1288" s="192" t="s">
        <v>82</v>
      </c>
      <c r="AY1288" s="19" t="s">
        <v>380</v>
      </c>
      <c r="BE1288" s="193">
        <f>IF(N1288="základní",J1288,0)</f>
        <v>0</v>
      </c>
      <c r="BF1288" s="193">
        <f>IF(N1288="snížená",J1288,0)</f>
        <v>0</v>
      </c>
      <c r="BG1288" s="193">
        <f>IF(N1288="zákl. přenesená",J1288,0)</f>
        <v>0</v>
      </c>
      <c r="BH1288" s="193">
        <f>IF(N1288="sníž. přenesená",J1288,0)</f>
        <v>0</v>
      </c>
      <c r="BI1288" s="193">
        <f>IF(N1288="nulová",J1288,0)</f>
        <v>0</v>
      </c>
      <c r="BJ1288" s="19" t="s">
        <v>79</v>
      </c>
      <c r="BK1288" s="193">
        <f>ROUND(I1288*H1288,2)</f>
        <v>0</v>
      </c>
      <c r="BL1288" s="19" t="s">
        <v>281</v>
      </c>
      <c r="BM1288" s="192" t="s">
        <v>1718</v>
      </c>
    </row>
    <row r="1289" spans="1:65" s="12" customFormat="1" ht="22.9" customHeight="1">
      <c r="B1289" s="165"/>
      <c r="C1289" s="166"/>
      <c r="D1289" s="167" t="s">
        <v>71</v>
      </c>
      <c r="E1289" s="179" t="s">
        <v>1719</v>
      </c>
      <c r="F1289" s="179" t="s">
        <v>1720</v>
      </c>
      <c r="G1289" s="166"/>
      <c r="H1289" s="166"/>
      <c r="I1289" s="169"/>
      <c r="J1289" s="180">
        <f>BK1289</f>
        <v>0</v>
      </c>
      <c r="K1289" s="166"/>
      <c r="L1289" s="171"/>
      <c r="M1289" s="172"/>
      <c r="N1289" s="173"/>
      <c r="O1289" s="173"/>
      <c r="P1289" s="174">
        <f>SUM(P1290:P1317)</f>
        <v>0</v>
      </c>
      <c r="Q1289" s="173"/>
      <c r="R1289" s="174">
        <f>SUM(R1290:R1317)</f>
        <v>4.4565506982150005</v>
      </c>
      <c r="S1289" s="173"/>
      <c r="T1289" s="175">
        <f>SUM(T1290:T1317)</f>
        <v>0</v>
      </c>
      <c r="AR1289" s="176" t="s">
        <v>82</v>
      </c>
      <c r="AT1289" s="177" t="s">
        <v>71</v>
      </c>
      <c r="AU1289" s="177" t="s">
        <v>79</v>
      </c>
      <c r="AY1289" s="176" t="s">
        <v>380</v>
      </c>
      <c r="BK1289" s="178">
        <f>SUM(BK1290:BK1317)</f>
        <v>0</v>
      </c>
    </row>
    <row r="1290" spans="1:65" s="2" customFormat="1" ht="24.2" customHeight="1">
      <c r="A1290" s="36"/>
      <c r="B1290" s="37"/>
      <c r="C1290" s="181" t="s">
        <v>1721</v>
      </c>
      <c r="D1290" s="181" t="s">
        <v>382</v>
      </c>
      <c r="E1290" s="182" t="s">
        <v>1722</v>
      </c>
      <c r="F1290" s="183" t="s">
        <v>1723</v>
      </c>
      <c r="G1290" s="184" t="s">
        <v>385</v>
      </c>
      <c r="H1290" s="185">
        <v>6.2480000000000002</v>
      </c>
      <c r="I1290" s="186"/>
      <c r="J1290" s="187">
        <f>ROUND(I1290*H1290,2)</f>
        <v>0</v>
      </c>
      <c r="K1290" s="183" t="s">
        <v>399</v>
      </c>
      <c r="L1290" s="41"/>
      <c r="M1290" s="188" t="s">
        <v>19</v>
      </c>
      <c r="N1290" s="189" t="s">
        <v>43</v>
      </c>
      <c r="O1290" s="66"/>
      <c r="P1290" s="190">
        <f>O1290*H1290</f>
        <v>0</v>
      </c>
      <c r="Q1290" s="190">
        <v>1.89E-3</v>
      </c>
      <c r="R1290" s="190">
        <f>Q1290*H1290</f>
        <v>1.180872E-2</v>
      </c>
      <c r="S1290" s="190">
        <v>0</v>
      </c>
      <c r="T1290" s="191">
        <f>S1290*H1290</f>
        <v>0</v>
      </c>
      <c r="U1290" s="36"/>
      <c r="V1290" s="36"/>
      <c r="W1290" s="36"/>
      <c r="X1290" s="36"/>
      <c r="Y1290" s="36"/>
      <c r="Z1290" s="36"/>
      <c r="AA1290" s="36"/>
      <c r="AB1290" s="36"/>
      <c r="AC1290" s="36"/>
      <c r="AD1290" s="36"/>
      <c r="AE1290" s="36"/>
      <c r="AR1290" s="192" t="s">
        <v>281</v>
      </c>
      <c r="AT1290" s="192" t="s">
        <v>382</v>
      </c>
      <c r="AU1290" s="192" t="s">
        <v>82</v>
      </c>
      <c r="AY1290" s="19" t="s">
        <v>380</v>
      </c>
      <c r="BE1290" s="193">
        <f>IF(N1290="základní",J1290,0)</f>
        <v>0</v>
      </c>
      <c r="BF1290" s="193">
        <f>IF(N1290="snížená",J1290,0)</f>
        <v>0</v>
      </c>
      <c r="BG1290" s="193">
        <f>IF(N1290="zákl. přenesená",J1290,0)</f>
        <v>0</v>
      </c>
      <c r="BH1290" s="193">
        <f>IF(N1290="sníž. přenesená",J1290,0)</f>
        <v>0</v>
      </c>
      <c r="BI1290" s="193">
        <f>IF(N1290="nulová",J1290,0)</f>
        <v>0</v>
      </c>
      <c r="BJ1290" s="19" t="s">
        <v>79</v>
      </c>
      <c r="BK1290" s="193">
        <f>ROUND(I1290*H1290,2)</f>
        <v>0</v>
      </c>
      <c r="BL1290" s="19" t="s">
        <v>281</v>
      </c>
      <c r="BM1290" s="192" t="s">
        <v>1724</v>
      </c>
    </row>
    <row r="1291" spans="1:65" s="14" customFormat="1" ht="11.25">
      <c r="B1291" s="205"/>
      <c r="C1291" s="206"/>
      <c r="D1291" s="196" t="s">
        <v>388</v>
      </c>
      <c r="E1291" s="207" t="s">
        <v>19</v>
      </c>
      <c r="F1291" s="208" t="s">
        <v>1725</v>
      </c>
      <c r="G1291" s="206"/>
      <c r="H1291" s="209">
        <v>6.2480000000000002</v>
      </c>
      <c r="I1291" s="210"/>
      <c r="J1291" s="206"/>
      <c r="K1291" s="206"/>
      <c r="L1291" s="211"/>
      <c r="M1291" s="212"/>
      <c r="N1291" s="213"/>
      <c r="O1291" s="213"/>
      <c r="P1291" s="213"/>
      <c r="Q1291" s="213"/>
      <c r="R1291" s="213"/>
      <c r="S1291" s="213"/>
      <c r="T1291" s="214"/>
      <c r="AT1291" s="215" t="s">
        <v>388</v>
      </c>
      <c r="AU1291" s="215" t="s">
        <v>82</v>
      </c>
      <c r="AV1291" s="14" t="s">
        <v>82</v>
      </c>
      <c r="AW1291" s="14" t="s">
        <v>33</v>
      </c>
      <c r="AX1291" s="14" t="s">
        <v>79</v>
      </c>
      <c r="AY1291" s="215" t="s">
        <v>380</v>
      </c>
    </row>
    <row r="1292" spans="1:65" s="2" customFormat="1" ht="24.2" customHeight="1">
      <c r="A1292" s="36"/>
      <c r="B1292" s="37"/>
      <c r="C1292" s="181" t="s">
        <v>1726</v>
      </c>
      <c r="D1292" s="181" t="s">
        <v>382</v>
      </c>
      <c r="E1292" s="182" t="s">
        <v>1727</v>
      </c>
      <c r="F1292" s="183" t="s">
        <v>1728</v>
      </c>
      <c r="G1292" s="184" t="s">
        <v>398</v>
      </c>
      <c r="H1292" s="185">
        <v>61.4</v>
      </c>
      <c r="I1292" s="186"/>
      <c r="J1292" s="187">
        <f>ROUND(I1292*H1292,2)</f>
        <v>0</v>
      </c>
      <c r="K1292" s="183" t="s">
        <v>19</v>
      </c>
      <c r="L1292" s="41"/>
      <c r="M1292" s="188" t="s">
        <v>19</v>
      </c>
      <c r="N1292" s="189" t="s">
        <v>43</v>
      </c>
      <c r="O1292" s="66"/>
      <c r="P1292" s="190">
        <f>O1292*H1292</f>
        <v>0</v>
      </c>
      <c r="Q1292" s="190">
        <v>0.02</v>
      </c>
      <c r="R1292" s="190">
        <f>Q1292*H1292</f>
        <v>1.228</v>
      </c>
      <c r="S1292" s="190">
        <v>0</v>
      </c>
      <c r="T1292" s="191">
        <f>S1292*H1292</f>
        <v>0</v>
      </c>
      <c r="U1292" s="36"/>
      <c r="V1292" s="36"/>
      <c r="W1292" s="36"/>
      <c r="X1292" s="36"/>
      <c r="Y1292" s="36"/>
      <c r="Z1292" s="36"/>
      <c r="AA1292" s="36"/>
      <c r="AB1292" s="36"/>
      <c r="AC1292" s="36"/>
      <c r="AD1292" s="36"/>
      <c r="AE1292" s="36"/>
      <c r="AR1292" s="192" t="s">
        <v>281</v>
      </c>
      <c r="AT1292" s="192" t="s">
        <v>382</v>
      </c>
      <c r="AU1292" s="192" t="s">
        <v>82</v>
      </c>
      <c r="AY1292" s="19" t="s">
        <v>380</v>
      </c>
      <c r="BE1292" s="193">
        <f>IF(N1292="základní",J1292,0)</f>
        <v>0</v>
      </c>
      <c r="BF1292" s="193">
        <f>IF(N1292="snížená",J1292,0)</f>
        <v>0</v>
      </c>
      <c r="BG1292" s="193">
        <f>IF(N1292="zákl. přenesená",J1292,0)</f>
        <v>0</v>
      </c>
      <c r="BH1292" s="193">
        <f>IF(N1292="sníž. přenesená",J1292,0)</f>
        <v>0</v>
      </c>
      <c r="BI1292" s="193">
        <f>IF(N1292="nulová",J1292,0)</f>
        <v>0</v>
      </c>
      <c r="BJ1292" s="19" t="s">
        <v>79</v>
      </c>
      <c r="BK1292" s="193">
        <f>ROUND(I1292*H1292,2)</f>
        <v>0</v>
      </c>
      <c r="BL1292" s="19" t="s">
        <v>281</v>
      </c>
      <c r="BM1292" s="192" t="s">
        <v>1729</v>
      </c>
    </row>
    <row r="1293" spans="1:65" s="13" customFormat="1" ht="11.25">
      <c r="B1293" s="194"/>
      <c r="C1293" s="195"/>
      <c r="D1293" s="196" t="s">
        <v>388</v>
      </c>
      <c r="E1293" s="197" t="s">
        <v>19</v>
      </c>
      <c r="F1293" s="198" t="s">
        <v>1730</v>
      </c>
      <c r="G1293" s="195"/>
      <c r="H1293" s="197" t="s">
        <v>19</v>
      </c>
      <c r="I1293" s="199"/>
      <c r="J1293" s="195"/>
      <c r="K1293" s="195"/>
      <c r="L1293" s="200"/>
      <c r="M1293" s="201"/>
      <c r="N1293" s="202"/>
      <c r="O1293" s="202"/>
      <c r="P1293" s="202"/>
      <c r="Q1293" s="202"/>
      <c r="R1293" s="202"/>
      <c r="S1293" s="202"/>
      <c r="T1293" s="203"/>
      <c r="AT1293" s="204" t="s">
        <v>388</v>
      </c>
      <c r="AU1293" s="204" t="s">
        <v>82</v>
      </c>
      <c r="AV1293" s="13" t="s">
        <v>79</v>
      </c>
      <c r="AW1293" s="13" t="s">
        <v>33</v>
      </c>
      <c r="AX1293" s="13" t="s">
        <v>72</v>
      </c>
      <c r="AY1293" s="204" t="s">
        <v>380</v>
      </c>
    </row>
    <row r="1294" spans="1:65" s="13" customFormat="1" ht="11.25">
      <c r="B1294" s="194"/>
      <c r="C1294" s="195"/>
      <c r="D1294" s="196" t="s">
        <v>388</v>
      </c>
      <c r="E1294" s="197" t="s">
        <v>19</v>
      </c>
      <c r="F1294" s="198" t="s">
        <v>1232</v>
      </c>
      <c r="G1294" s="195"/>
      <c r="H1294" s="197" t="s">
        <v>19</v>
      </c>
      <c r="I1294" s="199"/>
      <c r="J1294" s="195"/>
      <c r="K1294" s="195"/>
      <c r="L1294" s="200"/>
      <c r="M1294" s="201"/>
      <c r="N1294" s="202"/>
      <c r="O1294" s="202"/>
      <c r="P1294" s="202"/>
      <c r="Q1294" s="202"/>
      <c r="R1294" s="202"/>
      <c r="S1294" s="202"/>
      <c r="T1294" s="203"/>
      <c r="AT1294" s="204" t="s">
        <v>388</v>
      </c>
      <c r="AU1294" s="204" t="s">
        <v>82</v>
      </c>
      <c r="AV1294" s="13" t="s">
        <v>79</v>
      </c>
      <c r="AW1294" s="13" t="s">
        <v>33</v>
      </c>
      <c r="AX1294" s="13" t="s">
        <v>72</v>
      </c>
      <c r="AY1294" s="204" t="s">
        <v>380</v>
      </c>
    </row>
    <row r="1295" spans="1:65" s="14" customFormat="1" ht="11.25">
      <c r="B1295" s="205"/>
      <c r="C1295" s="206"/>
      <c r="D1295" s="196" t="s">
        <v>388</v>
      </c>
      <c r="E1295" s="207" t="s">
        <v>19</v>
      </c>
      <c r="F1295" s="208" t="s">
        <v>1572</v>
      </c>
      <c r="G1295" s="206"/>
      <c r="H1295" s="209">
        <v>61.4</v>
      </c>
      <c r="I1295" s="210"/>
      <c r="J1295" s="206"/>
      <c r="K1295" s="206"/>
      <c r="L1295" s="211"/>
      <c r="M1295" s="212"/>
      <c r="N1295" s="213"/>
      <c r="O1295" s="213"/>
      <c r="P1295" s="213"/>
      <c r="Q1295" s="213"/>
      <c r="R1295" s="213"/>
      <c r="S1295" s="213"/>
      <c r="T1295" s="214"/>
      <c r="AT1295" s="215" t="s">
        <v>388</v>
      </c>
      <c r="AU1295" s="215" t="s">
        <v>82</v>
      </c>
      <c r="AV1295" s="14" t="s">
        <v>82</v>
      </c>
      <c r="AW1295" s="14" t="s">
        <v>33</v>
      </c>
      <c r="AX1295" s="14" t="s">
        <v>79</v>
      </c>
      <c r="AY1295" s="215" t="s">
        <v>380</v>
      </c>
    </row>
    <row r="1296" spans="1:65" s="2" customFormat="1" ht="24.2" customHeight="1">
      <c r="A1296" s="36"/>
      <c r="B1296" s="37"/>
      <c r="C1296" s="181" t="s">
        <v>1731</v>
      </c>
      <c r="D1296" s="181" t="s">
        <v>382</v>
      </c>
      <c r="E1296" s="182" t="s">
        <v>1732</v>
      </c>
      <c r="F1296" s="183" t="s">
        <v>1733</v>
      </c>
      <c r="G1296" s="184" t="s">
        <v>398</v>
      </c>
      <c r="H1296" s="185">
        <v>45.15</v>
      </c>
      <c r="I1296" s="186"/>
      <c r="J1296" s="187">
        <f>ROUND(I1296*H1296,2)</f>
        <v>0</v>
      </c>
      <c r="K1296" s="183" t="s">
        <v>399</v>
      </c>
      <c r="L1296" s="41"/>
      <c r="M1296" s="188" t="s">
        <v>19</v>
      </c>
      <c r="N1296" s="189" t="s">
        <v>43</v>
      </c>
      <c r="O1296" s="66"/>
      <c r="P1296" s="190">
        <f>O1296*H1296</f>
        <v>0</v>
      </c>
      <c r="Q1296" s="190">
        <v>1.6212600000000001E-2</v>
      </c>
      <c r="R1296" s="190">
        <f>Q1296*H1296</f>
        <v>0.73199888999999996</v>
      </c>
      <c r="S1296" s="190">
        <v>0</v>
      </c>
      <c r="T1296" s="191">
        <f>S1296*H1296</f>
        <v>0</v>
      </c>
      <c r="U1296" s="36"/>
      <c r="V1296" s="36"/>
      <c r="W1296" s="36"/>
      <c r="X1296" s="36"/>
      <c r="Y1296" s="36"/>
      <c r="Z1296" s="36"/>
      <c r="AA1296" s="36"/>
      <c r="AB1296" s="36"/>
      <c r="AC1296" s="36"/>
      <c r="AD1296" s="36"/>
      <c r="AE1296" s="36"/>
      <c r="AR1296" s="192" t="s">
        <v>281</v>
      </c>
      <c r="AT1296" s="192" t="s">
        <v>382</v>
      </c>
      <c r="AU1296" s="192" t="s">
        <v>82</v>
      </c>
      <c r="AY1296" s="19" t="s">
        <v>380</v>
      </c>
      <c r="BE1296" s="193">
        <f>IF(N1296="základní",J1296,0)</f>
        <v>0</v>
      </c>
      <c r="BF1296" s="193">
        <f>IF(N1296="snížená",J1296,0)</f>
        <v>0</v>
      </c>
      <c r="BG1296" s="193">
        <f>IF(N1296="zákl. přenesená",J1296,0)</f>
        <v>0</v>
      </c>
      <c r="BH1296" s="193">
        <f>IF(N1296="sníž. přenesená",J1296,0)</f>
        <v>0</v>
      </c>
      <c r="BI1296" s="193">
        <f>IF(N1296="nulová",J1296,0)</f>
        <v>0</v>
      </c>
      <c r="BJ1296" s="19" t="s">
        <v>79</v>
      </c>
      <c r="BK1296" s="193">
        <f>ROUND(I1296*H1296,2)</f>
        <v>0</v>
      </c>
      <c r="BL1296" s="19" t="s">
        <v>281</v>
      </c>
      <c r="BM1296" s="192" t="s">
        <v>1734</v>
      </c>
    </row>
    <row r="1297" spans="1:65" s="13" customFormat="1" ht="11.25">
      <c r="B1297" s="194"/>
      <c r="C1297" s="195"/>
      <c r="D1297" s="196" t="s">
        <v>388</v>
      </c>
      <c r="E1297" s="197" t="s">
        <v>19</v>
      </c>
      <c r="F1297" s="198" t="s">
        <v>1735</v>
      </c>
      <c r="G1297" s="195"/>
      <c r="H1297" s="197" t="s">
        <v>19</v>
      </c>
      <c r="I1297" s="199"/>
      <c r="J1297" s="195"/>
      <c r="K1297" s="195"/>
      <c r="L1297" s="200"/>
      <c r="M1297" s="201"/>
      <c r="N1297" s="202"/>
      <c r="O1297" s="202"/>
      <c r="P1297" s="202"/>
      <c r="Q1297" s="202"/>
      <c r="R1297" s="202"/>
      <c r="S1297" s="202"/>
      <c r="T1297" s="203"/>
      <c r="AT1297" s="204" t="s">
        <v>388</v>
      </c>
      <c r="AU1297" s="204" t="s">
        <v>82</v>
      </c>
      <c r="AV1297" s="13" t="s">
        <v>79</v>
      </c>
      <c r="AW1297" s="13" t="s">
        <v>33</v>
      </c>
      <c r="AX1297" s="13" t="s">
        <v>72</v>
      </c>
      <c r="AY1297" s="204" t="s">
        <v>380</v>
      </c>
    </row>
    <row r="1298" spans="1:65" s="14" customFormat="1" ht="11.25">
      <c r="B1298" s="205"/>
      <c r="C1298" s="206"/>
      <c r="D1298" s="196" t="s">
        <v>388</v>
      </c>
      <c r="E1298" s="207" t="s">
        <v>19</v>
      </c>
      <c r="F1298" s="208" t="s">
        <v>1691</v>
      </c>
      <c r="G1298" s="206"/>
      <c r="H1298" s="209">
        <v>45.15</v>
      </c>
      <c r="I1298" s="210"/>
      <c r="J1298" s="206"/>
      <c r="K1298" s="206"/>
      <c r="L1298" s="211"/>
      <c r="M1298" s="212"/>
      <c r="N1298" s="213"/>
      <c r="O1298" s="213"/>
      <c r="P1298" s="213"/>
      <c r="Q1298" s="213"/>
      <c r="R1298" s="213"/>
      <c r="S1298" s="213"/>
      <c r="T1298" s="214"/>
      <c r="AT1298" s="215" t="s">
        <v>388</v>
      </c>
      <c r="AU1298" s="215" t="s">
        <v>82</v>
      </c>
      <c r="AV1298" s="14" t="s">
        <v>82</v>
      </c>
      <c r="AW1298" s="14" t="s">
        <v>33</v>
      </c>
      <c r="AX1298" s="14" t="s">
        <v>79</v>
      </c>
      <c r="AY1298" s="215" t="s">
        <v>380</v>
      </c>
    </row>
    <row r="1299" spans="1:65" s="2" customFormat="1" ht="16.5" customHeight="1">
      <c r="A1299" s="36"/>
      <c r="B1299" s="37"/>
      <c r="C1299" s="181" t="s">
        <v>1736</v>
      </c>
      <c r="D1299" s="181" t="s">
        <v>382</v>
      </c>
      <c r="E1299" s="182" t="s">
        <v>1737</v>
      </c>
      <c r="F1299" s="183" t="s">
        <v>1738</v>
      </c>
      <c r="G1299" s="184" t="s">
        <v>452</v>
      </c>
      <c r="H1299" s="185">
        <v>32.25</v>
      </c>
      <c r="I1299" s="186"/>
      <c r="J1299" s="187">
        <f>ROUND(I1299*H1299,2)</f>
        <v>0</v>
      </c>
      <c r="K1299" s="183" t="s">
        <v>19</v>
      </c>
      <c r="L1299" s="41"/>
      <c r="M1299" s="188" t="s">
        <v>19</v>
      </c>
      <c r="N1299" s="189" t="s">
        <v>43</v>
      </c>
      <c r="O1299" s="66"/>
      <c r="P1299" s="190">
        <f>O1299*H1299</f>
        <v>0</v>
      </c>
      <c r="Q1299" s="190">
        <v>0</v>
      </c>
      <c r="R1299" s="190">
        <f>Q1299*H1299</f>
        <v>0</v>
      </c>
      <c r="S1299" s="190">
        <v>0</v>
      </c>
      <c r="T1299" s="191">
        <f>S1299*H1299</f>
        <v>0</v>
      </c>
      <c r="U1299" s="36"/>
      <c r="V1299" s="36"/>
      <c r="W1299" s="36"/>
      <c r="X1299" s="36"/>
      <c r="Y1299" s="36"/>
      <c r="Z1299" s="36"/>
      <c r="AA1299" s="36"/>
      <c r="AB1299" s="36"/>
      <c r="AC1299" s="36"/>
      <c r="AD1299" s="36"/>
      <c r="AE1299" s="36"/>
      <c r="AR1299" s="192" t="s">
        <v>281</v>
      </c>
      <c r="AT1299" s="192" t="s">
        <v>382</v>
      </c>
      <c r="AU1299" s="192" t="s">
        <v>82</v>
      </c>
      <c r="AY1299" s="19" t="s">
        <v>380</v>
      </c>
      <c r="BE1299" s="193">
        <f>IF(N1299="základní",J1299,0)</f>
        <v>0</v>
      </c>
      <c r="BF1299" s="193">
        <f>IF(N1299="snížená",J1299,0)</f>
        <v>0</v>
      </c>
      <c r="BG1299" s="193">
        <f>IF(N1299="zákl. přenesená",J1299,0)</f>
        <v>0</v>
      </c>
      <c r="BH1299" s="193">
        <f>IF(N1299="sníž. přenesená",J1299,0)</f>
        <v>0</v>
      </c>
      <c r="BI1299" s="193">
        <f>IF(N1299="nulová",J1299,0)</f>
        <v>0</v>
      </c>
      <c r="BJ1299" s="19" t="s">
        <v>79</v>
      </c>
      <c r="BK1299" s="193">
        <f>ROUND(I1299*H1299,2)</f>
        <v>0</v>
      </c>
      <c r="BL1299" s="19" t="s">
        <v>281</v>
      </c>
      <c r="BM1299" s="192" t="s">
        <v>1739</v>
      </c>
    </row>
    <row r="1300" spans="1:65" s="14" customFormat="1" ht="11.25">
      <c r="B1300" s="205"/>
      <c r="C1300" s="206"/>
      <c r="D1300" s="196" t="s">
        <v>388</v>
      </c>
      <c r="E1300" s="207" t="s">
        <v>19</v>
      </c>
      <c r="F1300" s="208" t="s">
        <v>1740</v>
      </c>
      <c r="G1300" s="206"/>
      <c r="H1300" s="209">
        <v>32.25</v>
      </c>
      <c r="I1300" s="210"/>
      <c r="J1300" s="206"/>
      <c r="K1300" s="206"/>
      <c r="L1300" s="211"/>
      <c r="M1300" s="212"/>
      <c r="N1300" s="213"/>
      <c r="O1300" s="213"/>
      <c r="P1300" s="213"/>
      <c r="Q1300" s="213"/>
      <c r="R1300" s="213"/>
      <c r="S1300" s="213"/>
      <c r="T1300" s="214"/>
      <c r="AT1300" s="215" t="s">
        <v>388</v>
      </c>
      <c r="AU1300" s="215" t="s">
        <v>82</v>
      </c>
      <c r="AV1300" s="14" t="s">
        <v>82</v>
      </c>
      <c r="AW1300" s="14" t="s">
        <v>33</v>
      </c>
      <c r="AX1300" s="14" t="s">
        <v>79</v>
      </c>
      <c r="AY1300" s="215" t="s">
        <v>380</v>
      </c>
    </row>
    <row r="1301" spans="1:65" s="2" customFormat="1" ht="16.5" customHeight="1">
      <c r="A1301" s="36"/>
      <c r="B1301" s="37"/>
      <c r="C1301" s="227" t="s">
        <v>1741</v>
      </c>
      <c r="D1301" s="227" t="s">
        <v>465</v>
      </c>
      <c r="E1301" s="228" t="s">
        <v>1742</v>
      </c>
      <c r="F1301" s="229" t="s">
        <v>1743</v>
      </c>
      <c r="G1301" s="230" t="s">
        <v>385</v>
      </c>
      <c r="H1301" s="231">
        <v>0.13900000000000001</v>
      </c>
      <c r="I1301" s="232"/>
      <c r="J1301" s="233">
        <f>ROUND(I1301*H1301,2)</f>
        <v>0</v>
      </c>
      <c r="K1301" s="229" t="s">
        <v>19</v>
      </c>
      <c r="L1301" s="234"/>
      <c r="M1301" s="235" t="s">
        <v>19</v>
      </c>
      <c r="N1301" s="236" t="s">
        <v>43</v>
      </c>
      <c r="O1301" s="66"/>
      <c r="P1301" s="190">
        <f>O1301*H1301</f>
        <v>0</v>
      </c>
      <c r="Q1301" s="190">
        <v>0.55000000000000004</v>
      </c>
      <c r="R1301" s="190">
        <f>Q1301*H1301</f>
        <v>7.6450000000000018E-2</v>
      </c>
      <c r="S1301" s="190">
        <v>0</v>
      </c>
      <c r="T1301" s="191">
        <f>S1301*H1301</f>
        <v>0</v>
      </c>
      <c r="U1301" s="36"/>
      <c r="V1301" s="36"/>
      <c r="W1301" s="36"/>
      <c r="X1301" s="36"/>
      <c r="Y1301" s="36"/>
      <c r="Z1301" s="36"/>
      <c r="AA1301" s="36"/>
      <c r="AB1301" s="36"/>
      <c r="AC1301" s="36"/>
      <c r="AD1301" s="36"/>
      <c r="AE1301" s="36"/>
      <c r="AR1301" s="192" t="s">
        <v>546</v>
      </c>
      <c r="AT1301" s="192" t="s">
        <v>465</v>
      </c>
      <c r="AU1301" s="192" t="s">
        <v>82</v>
      </c>
      <c r="AY1301" s="19" t="s">
        <v>380</v>
      </c>
      <c r="BE1301" s="193">
        <f>IF(N1301="základní",J1301,0)</f>
        <v>0</v>
      </c>
      <c r="BF1301" s="193">
        <f>IF(N1301="snížená",J1301,0)</f>
        <v>0</v>
      </c>
      <c r="BG1301" s="193">
        <f>IF(N1301="zákl. přenesená",J1301,0)</f>
        <v>0</v>
      </c>
      <c r="BH1301" s="193">
        <f>IF(N1301="sníž. přenesená",J1301,0)</f>
        <v>0</v>
      </c>
      <c r="BI1301" s="193">
        <f>IF(N1301="nulová",J1301,0)</f>
        <v>0</v>
      </c>
      <c r="BJ1301" s="19" t="s">
        <v>79</v>
      </c>
      <c r="BK1301" s="193">
        <f>ROUND(I1301*H1301,2)</f>
        <v>0</v>
      </c>
      <c r="BL1301" s="19" t="s">
        <v>281</v>
      </c>
      <c r="BM1301" s="192" t="s">
        <v>1744</v>
      </c>
    </row>
    <row r="1302" spans="1:65" s="14" customFormat="1" ht="11.25">
      <c r="B1302" s="205"/>
      <c r="C1302" s="206"/>
      <c r="D1302" s="196" t="s">
        <v>388</v>
      </c>
      <c r="E1302" s="207" t="s">
        <v>19</v>
      </c>
      <c r="F1302" s="208" t="s">
        <v>1745</v>
      </c>
      <c r="G1302" s="206"/>
      <c r="H1302" s="209">
        <v>0.13900000000000001</v>
      </c>
      <c r="I1302" s="210"/>
      <c r="J1302" s="206"/>
      <c r="K1302" s="206"/>
      <c r="L1302" s="211"/>
      <c r="M1302" s="212"/>
      <c r="N1302" s="213"/>
      <c r="O1302" s="213"/>
      <c r="P1302" s="213"/>
      <c r="Q1302" s="213"/>
      <c r="R1302" s="213"/>
      <c r="S1302" s="213"/>
      <c r="T1302" s="214"/>
      <c r="AT1302" s="215" t="s">
        <v>388</v>
      </c>
      <c r="AU1302" s="215" t="s">
        <v>82</v>
      </c>
      <c r="AV1302" s="14" t="s">
        <v>82</v>
      </c>
      <c r="AW1302" s="14" t="s">
        <v>33</v>
      </c>
      <c r="AX1302" s="14" t="s">
        <v>79</v>
      </c>
      <c r="AY1302" s="215" t="s">
        <v>380</v>
      </c>
    </row>
    <row r="1303" spans="1:65" s="2" customFormat="1" ht="21.75" customHeight="1">
      <c r="A1303" s="36"/>
      <c r="B1303" s="37"/>
      <c r="C1303" s="181" t="s">
        <v>1746</v>
      </c>
      <c r="D1303" s="181" t="s">
        <v>382</v>
      </c>
      <c r="E1303" s="182" t="s">
        <v>1747</v>
      </c>
      <c r="F1303" s="183" t="s">
        <v>1748</v>
      </c>
      <c r="G1303" s="184" t="s">
        <v>385</v>
      </c>
      <c r="H1303" s="185">
        <v>2.8029999999999999</v>
      </c>
      <c r="I1303" s="186"/>
      <c r="J1303" s="187">
        <f>ROUND(I1303*H1303,2)</f>
        <v>0</v>
      </c>
      <c r="K1303" s="183" t="s">
        <v>399</v>
      </c>
      <c r="L1303" s="41"/>
      <c r="M1303" s="188" t="s">
        <v>19</v>
      </c>
      <c r="N1303" s="189" t="s">
        <v>43</v>
      </c>
      <c r="O1303" s="66"/>
      <c r="P1303" s="190">
        <f>O1303*H1303</f>
        <v>0</v>
      </c>
      <c r="Q1303" s="190">
        <v>2.3367804999999998E-2</v>
      </c>
      <c r="R1303" s="190">
        <f>Q1303*H1303</f>
        <v>6.549995741499999E-2</v>
      </c>
      <c r="S1303" s="190">
        <v>0</v>
      </c>
      <c r="T1303" s="191">
        <f>S1303*H1303</f>
        <v>0</v>
      </c>
      <c r="U1303" s="36"/>
      <c r="V1303" s="36"/>
      <c r="W1303" s="36"/>
      <c r="X1303" s="36"/>
      <c r="Y1303" s="36"/>
      <c r="Z1303" s="36"/>
      <c r="AA1303" s="36"/>
      <c r="AB1303" s="36"/>
      <c r="AC1303" s="36"/>
      <c r="AD1303" s="36"/>
      <c r="AE1303" s="36"/>
      <c r="AR1303" s="192" t="s">
        <v>281</v>
      </c>
      <c r="AT1303" s="192" t="s">
        <v>382</v>
      </c>
      <c r="AU1303" s="192" t="s">
        <v>82</v>
      </c>
      <c r="AY1303" s="19" t="s">
        <v>380</v>
      </c>
      <c r="BE1303" s="193">
        <f>IF(N1303="základní",J1303,0)</f>
        <v>0</v>
      </c>
      <c r="BF1303" s="193">
        <f>IF(N1303="snížená",J1303,0)</f>
        <v>0</v>
      </c>
      <c r="BG1303" s="193">
        <f>IF(N1303="zákl. přenesená",J1303,0)</f>
        <v>0</v>
      </c>
      <c r="BH1303" s="193">
        <f>IF(N1303="sníž. přenesená",J1303,0)</f>
        <v>0</v>
      </c>
      <c r="BI1303" s="193">
        <f>IF(N1303="nulová",J1303,0)</f>
        <v>0</v>
      </c>
      <c r="BJ1303" s="19" t="s">
        <v>79</v>
      </c>
      <c r="BK1303" s="193">
        <f>ROUND(I1303*H1303,2)</f>
        <v>0</v>
      </c>
      <c r="BL1303" s="19" t="s">
        <v>281</v>
      </c>
      <c r="BM1303" s="192" t="s">
        <v>1749</v>
      </c>
    </row>
    <row r="1304" spans="1:65" s="14" customFormat="1" ht="11.25">
      <c r="B1304" s="205"/>
      <c r="C1304" s="206"/>
      <c r="D1304" s="196" t="s">
        <v>388</v>
      </c>
      <c r="E1304" s="207" t="s">
        <v>19</v>
      </c>
      <c r="F1304" s="208" t="s">
        <v>1750</v>
      </c>
      <c r="G1304" s="206"/>
      <c r="H1304" s="209">
        <v>2.8029999999999999</v>
      </c>
      <c r="I1304" s="210"/>
      <c r="J1304" s="206"/>
      <c r="K1304" s="206"/>
      <c r="L1304" s="211"/>
      <c r="M1304" s="212"/>
      <c r="N1304" s="213"/>
      <c r="O1304" s="213"/>
      <c r="P1304" s="213"/>
      <c r="Q1304" s="213"/>
      <c r="R1304" s="213"/>
      <c r="S1304" s="213"/>
      <c r="T1304" s="214"/>
      <c r="AT1304" s="215" t="s">
        <v>388</v>
      </c>
      <c r="AU1304" s="215" t="s">
        <v>82</v>
      </c>
      <c r="AV1304" s="14" t="s">
        <v>82</v>
      </c>
      <c r="AW1304" s="14" t="s">
        <v>33</v>
      </c>
      <c r="AX1304" s="14" t="s">
        <v>79</v>
      </c>
      <c r="AY1304" s="215" t="s">
        <v>380</v>
      </c>
    </row>
    <row r="1305" spans="1:65" s="2" customFormat="1" ht="16.5" customHeight="1">
      <c r="A1305" s="36"/>
      <c r="B1305" s="37"/>
      <c r="C1305" s="181" t="s">
        <v>1751</v>
      </c>
      <c r="D1305" s="181" t="s">
        <v>382</v>
      </c>
      <c r="E1305" s="182" t="s">
        <v>1752</v>
      </c>
      <c r="F1305" s="183" t="s">
        <v>1753</v>
      </c>
      <c r="G1305" s="184" t="s">
        <v>398</v>
      </c>
      <c r="H1305" s="185">
        <v>9.69</v>
      </c>
      <c r="I1305" s="186"/>
      <c r="J1305" s="187">
        <f>ROUND(I1305*H1305,2)</f>
        <v>0</v>
      </c>
      <c r="K1305" s="183" t="s">
        <v>19</v>
      </c>
      <c r="L1305" s="41"/>
      <c r="M1305" s="188" t="s">
        <v>19</v>
      </c>
      <c r="N1305" s="189" t="s">
        <v>43</v>
      </c>
      <c r="O1305" s="66"/>
      <c r="P1305" s="190">
        <f>O1305*H1305</f>
        <v>0</v>
      </c>
      <c r="Q1305" s="190">
        <v>2.368E-2</v>
      </c>
      <c r="R1305" s="190">
        <f>Q1305*H1305</f>
        <v>0.22945919999999997</v>
      </c>
      <c r="S1305" s="190">
        <v>0</v>
      </c>
      <c r="T1305" s="191">
        <f>S1305*H1305</f>
        <v>0</v>
      </c>
      <c r="U1305" s="36"/>
      <c r="V1305" s="36"/>
      <c r="W1305" s="36"/>
      <c r="X1305" s="36"/>
      <c r="Y1305" s="36"/>
      <c r="Z1305" s="36"/>
      <c r="AA1305" s="36"/>
      <c r="AB1305" s="36"/>
      <c r="AC1305" s="36"/>
      <c r="AD1305" s="36"/>
      <c r="AE1305" s="36"/>
      <c r="AR1305" s="192" t="s">
        <v>281</v>
      </c>
      <c r="AT1305" s="192" t="s">
        <v>382</v>
      </c>
      <c r="AU1305" s="192" t="s">
        <v>82</v>
      </c>
      <c r="AY1305" s="19" t="s">
        <v>380</v>
      </c>
      <c r="BE1305" s="193">
        <f>IF(N1305="základní",J1305,0)</f>
        <v>0</v>
      </c>
      <c r="BF1305" s="193">
        <f>IF(N1305="snížená",J1305,0)</f>
        <v>0</v>
      </c>
      <c r="BG1305" s="193">
        <f>IF(N1305="zákl. přenesená",J1305,0)</f>
        <v>0</v>
      </c>
      <c r="BH1305" s="193">
        <f>IF(N1305="sníž. přenesená",J1305,0)</f>
        <v>0</v>
      </c>
      <c r="BI1305" s="193">
        <f>IF(N1305="nulová",J1305,0)</f>
        <v>0</v>
      </c>
      <c r="BJ1305" s="19" t="s">
        <v>79</v>
      </c>
      <c r="BK1305" s="193">
        <f>ROUND(I1305*H1305,2)</f>
        <v>0</v>
      </c>
      <c r="BL1305" s="19" t="s">
        <v>281</v>
      </c>
      <c r="BM1305" s="192" t="s">
        <v>1754</v>
      </c>
    </row>
    <row r="1306" spans="1:65" s="14" customFormat="1" ht="11.25">
      <c r="B1306" s="205"/>
      <c r="C1306" s="206"/>
      <c r="D1306" s="196" t="s">
        <v>388</v>
      </c>
      <c r="E1306" s="207" t="s">
        <v>19</v>
      </c>
      <c r="F1306" s="208" t="s">
        <v>1755</v>
      </c>
      <c r="G1306" s="206"/>
      <c r="H1306" s="209">
        <v>9.69</v>
      </c>
      <c r="I1306" s="210"/>
      <c r="J1306" s="206"/>
      <c r="K1306" s="206"/>
      <c r="L1306" s="211"/>
      <c r="M1306" s="212"/>
      <c r="N1306" s="213"/>
      <c r="O1306" s="213"/>
      <c r="P1306" s="213"/>
      <c r="Q1306" s="213"/>
      <c r="R1306" s="213"/>
      <c r="S1306" s="213"/>
      <c r="T1306" s="214"/>
      <c r="AT1306" s="215" t="s">
        <v>388</v>
      </c>
      <c r="AU1306" s="215" t="s">
        <v>82</v>
      </c>
      <c r="AV1306" s="14" t="s">
        <v>82</v>
      </c>
      <c r="AW1306" s="14" t="s">
        <v>33</v>
      </c>
      <c r="AX1306" s="14" t="s">
        <v>79</v>
      </c>
      <c r="AY1306" s="215" t="s">
        <v>380</v>
      </c>
    </row>
    <row r="1307" spans="1:65" s="2" customFormat="1" ht="24.2" customHeight="1">
      <c r="A1307" s="36"/>
      <c r="B1307" s="37"/>
      <c r="C1307" s="181" t="s">
        <v>1756</v>
      </c>
      <c r="D1307" s="181" t="s">
        <v>382</v>
      </c>
      <c r="E1307" s="182" t="s">
        <v>1757</v>
      </c>
      <c r="F1307" s="183" t="s">
        <v>1758</v>
      </c>
      <c r="G1307" s="184" t="s">
        <v>398</v>
      </c>
      <c r="H1307" s="185">
        <v>132.01</v>
      </c>
      <c r="I1307" s="186"/>
      <c r="J1307" s="187">
        <f>ROUND(I1307*H1307,2)</f>
        <v>0</v>
      </c>
      <c r="K1307" s="183" t="s">
        <v>19</v>
      </c>
      <c r="L1307" s="41"/>
      <c r="M1307" s="188" t="s">
        <v>19</v>
      </c>
      <c r="N1307" s="189" t="s">
        <v>43</v>
      </c>
      <c r="O1307" s="66"/>
      <c r="P1307" s="190">
        <f>O1307*H1307</f>
        <v>0</v>
      </c>
      <c r="Q1307" s="190">
        <v>1.5789999999999998E-2</v>
      </c>
      <c r="R1307" s="190">
        <f>Q1307*H1307</f>
        <v>2.0844378999999997</v>
      </c>
      <c r="S1307" s="190">
        <v>0</v>
      </c>
      <c r="T1307" s="191">
        <f>S1307*H1307</f>
        <v>0</v>
      </c>
      <c r="U1307" s="36"/>
      <c r="V1307" s="36"/>
      <c r="W1307" s="36"/>
      <c r="X1307" s="36"/>
      <c r="Y1307" s="36"/>
      <c r="Z1307" s="36"/>
      <c r="AA1307" s="36"/>
      <c r="AB1307" s="36"/>
      <c r="AC1307" s="36"/>
      <c r="AD1307" s="36"/>
      <c r="AE1307" s="36"/>
      <c r="AR1307" s="192" t="s">
        <v>281</v>
      </c>
      <c r="AT1307" s="192" t="s">
        <v>382</v>
      </c>
      <c r="AU1307" s="192" t="s">
        <v>82</v>
      </c>
      <c r="AY1307" s="19" t="s">
        <v>380</v>
      </c>
      <c r="BE1307" s="193">
        <f>IF(N1307="základní",J1307,0)</f>
        <v>0</v>
      </c>
      <c r="BF1307" s="193">
        <f>IF(N1307="snížená",J1307,0)</f>
        <v>0</v>
      </c>
      <c r="BG1307" s="193">
        <f>IF(N1307="zákl. přenesená",J1307,0)</f>
        <v>0</v>
      </c>
      <c r="BH1307" s="193">
        <f>IF(N1307="sníž. přenesená",J1307,0)</f>
        <v>0</v>
      </c>
      <c r="BI1307" s="193">
        <f>IF(N1307="nulová",J1307,0)</f>
        <v>0</v>
      </c>
      <c r="BJ1307" s="19" t="s">
        <v>79</v>
      </c>
      <c r="BK1307" s="193">
        <f>ROUND(I1307*H1307,2)</f>
        <v>0</v>
      </c>
      <c r="BL1307" s="19" t="s">
        <v>281</v>
      </c>
      <c r="BM1307" s="192" t="s">
        <v>1759</v>
      </c>
    </row>
    <row r="1308" spans="1:65" s="13" customFormat="1" ht="11.25">
      <c r="B1308" s="194"/>
      <c r="C1308" s="195"/>
      <c r="D1308" s="196" t="s">
        <v>388</v>
      </c>
      <c r="E1308" s="197" t="s">
        <v>19</v>
      </c>
      <c r="F1308" s="198" t="s">
        <v>1760</v>
      </c>
      <c r="G1308" s="195"/>
      <c r="H1308" s="197" t="s">
        <v>19</v>
      </c>
      <c r="I1308" s="199"/>
      <c r="J1308" s="195"/>
      <c r="K1308" s="195"/>
      <c r="L1308" s="200"/>
      <c r="M1308" s="201"/>
      <c r="N1308" s="202"/>
      <c r="O1308" s="202"/>
      <c r="P1308" s="202"/>
      <c r="Q1308" s="202"/>
      <c r="R1308" s="202"/>
      <c r="S1308" s="202"/>
      <c r="T1308" s="203"/>
      <c r="AT1308" s="204" t="s">
        <v>388</v>
      </c>
      <c r="AU1308" s="204" t="s">
        <v>82</v>
      </c>
      <c r="AV1308" s="13" t="s">
        <v>79</v>
      </c>
      <c r="AW1308" s="13" t="s">
        <v>33</v>
      </c>
      <c r="AX1308" s="13" t="s">
        <v>72</v>
      </c>
      <c r="AY1308" s="204" t="s">
        <v>380</v>
      </c>
    </row>
    <row r="1309" spans="1:65" s="14" customFormat="1" ht="11.25">
      <c r="B1309" s="205"/>
      <c r="C1309" s="206"/>
      <c r="D1309" s="196" t="s">
        <v>388</v>
      </c>
      <c r="E1309" s="207" t="s">
        <v>19</v>
      </c>
      <c r="F1309" s="208" t="s">
        <v>1761</v>
      </c>
      <c r="G1309" s="206"/>
      <c r="H1309" s="209">
        <v>70.2</v>
      </c>
      <c r="I1309" s="210"/>
      <c r="J1309" s="206"/>
      <c r="K1309" s="206"/>
      <c r="L1309" s="211"/>
      <c r="M1309" s="212"/>
      <c r="N1309" s="213"/>
      <c r="O1309" s="213"/>
      <c r="P1309" s="213"/>
      <c r="Q1309" s="213"/>
      <c r="R1309" s="213"/>
      <c r="S1309" s="213"/>
      <c r="T1309" s="214"/>
      <c r="AT1309" s="215" t="s">
        <v>388</v>
      </c>
      <c r="AU1309" s="215" t="s">
        <v>82</v>
      </c>
      <c r="AV1309" s="14" t="s">
        <v>82</v>
      </c>
      <c r="AW1309" s="14" t="s">
        <v>33</v>
      </c>
      <c r="AX1309" s="14" t="s">
        <v>72</v>
      </c>
      <c r="AY1309" s="215" t="s">
        <v>380</v>
      </c>
    </row>
    <row r="1310" spans="1:65" s="13" customFormat="1" ht="11.25">
      <c r="B1310" s="194"/>
      <c r="C1310" s="195"/>
      <c r="D1310" s="196" t="s">
        <v>388</v>
      </c>
      <c r="E1310" s="197" t="s">
        <v>19</v>
      </c>
      <c r="F1310" s="198" t="s">
        <v>1762</v>
      </c>
      <c r="G1310" s="195"/>
      <c r="H1310" s="197" t="s">
        <v>19</v>
      </c>
      <c r="I1310" s="199"/>
      <c r="J1310" s="195"/>
      <c r="K1310" s="195"/>
      <c r="L1310" s="200"/>
      <c r="M1310" s="201"/>
      <c r="N1310" s="202"/>
      <c r="O1310" s="202"/>
      <c r="P1310" s="202"/>
      <c r="Q1310" s="202"/>
      <c r="R1310" s="202"/>
      <c r="S1310" s="202"/>
      <c r="T1310" s="203"/>
      <c r="AT1310" s="204" t="s">
        <v>388</v>
      </c>
      <c r="AU1310" s="204" t="s">
        <v>82</v>
      </c>
      <c r="AV1310" s="13" t="s">
        <v>79</v>
      </c>
      <c r="AW1310" s="13" t="s">
        <v>33</v>
      </c>
      <c r="AX1310" s="13" t="s">
        <v>72</v>
      </c>
      <c r="AY1310" s="204" t="s">
        <v>380</v>
      </c>
    </row>
    <row r="1311" spans="1:65" s="14" customFormat="1" ht="11.25">
      <c r="B1311" s="205"/>
      <c r="C1311" s="206"/>
      <c r="D1311" s="196" t="s">
        <v>388</v>
      </c>
      <c r="E1311" s="207" t="s">
        <v>19</v>
      </c>
      <c r="F1311" s="208" t="s">
        <v>1763</v>
      </c>
      <c r="G1311" s="206"/>
      <c r="H1311" s="209">
        <v>1.89</v>
      </c>
      <c r="I1311" s="210"/>
      <c r="J1311" s="206"/>
      <c r="K1311" s="206"/>
      <c r="L1311" s="211"/>
      <c r="M1311" s="212"/>
      <c r="N1311" s="213"/>
      <c r="O1311" s="213"/>
      <c r="P1311" s="213"/>
      <c r="Q1311" s="213"/>
      <c r="R1311" s="213"/>
      <c r="S1311" s="213"/>
      <c r="T1311" s="214"/>
      <c r="AT1311" s="215" t="s">
        <v>388</v>
      </c>
      <c r="AU1311" s="215" t="s">
        <v>82</v>
      </c>
      <c r="AV1311" s="14" t="s">
        <v>82</v>
      </c>
      <c r="AW1311" s="14" t="s">
        <v>33</v>
      </c>
      <c r="AX1311" s="14" t="s">
        <v>72</v>
      </c>
      <c r="AY1311" s="215" t="s">
        <v>380</v>
      </c>
    </row>
    <row r="1312" spans="1:65" s="13" customFormat="1" ht="11.25">
      <c r="B1312" s="194"/>
      <c r="C1312" s="195"/>
      <c r="D1312" s="196" t="s">
        <v>388</v>
      </c>
      <c r="E1312" s="197" t="s">
        <v>19</v>
      </c>
      <c r="F1312" s="198" t="s">
        <v>1764</v>
      </c>
      <c r="G1312" s="195"/>
      <c r="H1312" s="197" t="s">
        <v>19</v>
      </c>
      <c r="I1312" s="199"/>
      <c r="J1312" s="195"/>
      <c r="K1312" s="195"/>
      <c r="L1312" s="200"/>
      <c r="M1312" s="201"/>
      <c r="N1312" s="202"/>
      <c r="O1312" s="202"/>
      <c r="P1312" s="202"/>
      <c r="Q1312" s="202"/>
      <c r="R1312" s="202"/>
      <c r="S1312" s="202"/>
      <c r="T1312" s="203"/>
      <c r="AT1312" s="204" t="s">
        <v>388</v>
      </c>
      <c r="AU1312" s="204" t="s">
        <v>82</v>
      </c>
      <c r="AV1312" s="13" t="s">
        <v>79</v>
      </c>
      <c r="AW1312" s="13" t="s">
        <v>33</v>
      </c>
      <c r="AX1312" s="13" t="s">
        <v>72</v>
      </c>
      <c r="AY1312" s="204" t="s">
        <v>380</v>
      </c>
    </row>
    <row r="1313" spans="1:65" s="14" customFormat="1" ht="11.25">
      <c r="B1313" s="205"/>
      <c r="C1313" s="206"/>
      <c r="D1313" s="196" t="s">
        <v>388</v>
      </c>
      <c r="E1313" s="207" t="s">
        <v>19</v>
      </c>
      <c r="F1313" s="208" t="s">
        <v>1765</v>
      </c>
      <c r="G1313" s="206"/>
      <c r="H1313" s="209">
        <v>59.92</v>
      </c>
      <c r="I1313" s="210"/>
      <c r="J1313" s="206"/>
      <c r="K1313" s="206"/>
      <c r="L1313" s="211"/>
      <c r="M1313" s="212"/>
      <c r="N1313" s="213"/>
      <c r="O1313" s="213"/>
      <c r="P1313" s="213"/>
      <c r="Q1313" s="213"/>
      <c r="R1313" s="213"/>
      <c r="S1313" s="213"/>
      <c r="T1313" s="214"/>
      <c r="AT1313" s="215" t="s">
        <v>388</v>
      </c>
      <c r="AU1313" s="215" t="s">
        <v>82</v>
      </c>
      <c r="AV1313" s="14" t="s">
        <v>82</v>
      </c>
      <c r="AW1313" s="14" t="s">
        <v>33</v>
      </c>
      <c r="AX1313" s="14" t="s">
        <v>72</v>
      </c>
      <c r="AY1313" s="215" t="s">
        <v>380</v>
      </c>
    </row>
    <row r="1314" spans="1:65" s="15" customFormat="1" ht="11.25">
      <c r="B1314" s="216"/>
      <c r="C1314" s="217"/>
      <c r="D1314" s="196" t="s">
        <v>388</v>
      </c>
      <c r="E1314" s="218" t="s">
        <v>19</v>
      </c>
      <c r="F1314" s="219" t="s">
        <v>419</v>
      </c>
      <c r="G1314" s="217"/>
      <c r="H1314" s="220">
        <v>132.01</v>
      </c>
      <c r="I1314" s="221"/>
      <c r="J1314" s="217"/>
      <c r="K1314" s="217"/>
      <c r="L1314" s="222"/>
      <c r="M1314" s="223"/>
      <c r="N1314" s="224"/>
      <c r="O1314" s="224"/>
      <c r="P1314" s="224"/>
      <c r="Q1314" s="224"/>
      <c r="R1314" s="224"/>
      <c r="S1314" s="224"/>
      <c r="T1314" s="225"/>
      <c r="AT1314" s="226" t="s">
        <v>388</v>
      </c>
      <c r="AU1314" s="226" t="s">
        <v>82</v>
      </c>
      <c r="AV1314" s="15" t="s">
        <v>386</v>
      </c>
      <c r="AW1314" s="15" t="s">
        <v>33</v>
      </c>
      <c r="AX1314" s="15" t="s">
        <v>79</v>
      </c>
      <c r="AY1314" s="226" t="s">
        <v>380</v>
      </c>
    </row>
    <row r="1315" spans="1:65" s="2" customFormat="1" ht="16.5" customHeight="1">
      <c r="A1315" s="36"/>
      <c r="B1315" s="37"/>
      <c r="C1315" s="181" t="s">
        <v>1766</v>
      </c>
      <c r="D1315" s="181" t="s">
        <v>382</v>
      </c>
      <c r="E1315" s="182" t="s">
        <v>1767</v>
      </c>
      <c r="F1315" s="183" t="s">
        <v>1768</v>
      </c>
      <c r="G1315" s="184" t="s">
        <v>398</v>
      </c>
      <c r="H1315" s="185">
        <v>141.69999999999999</v>
      </c>
      <c r="I1315" s="186"/>
      <c r="J1315" s="187">
        <f>ROUND(I1315*H1315,2)</f>
        <v>0</v>
      </c>
      <c r="K1315" s="183" t="s">
        <v>399</v>
      </c>
      <c r="L1315" s="41"/>
      <c r="M1315" s="188" t="s">
        <v>19</v>
      </c>
      <c r="N1315" s="189" t="s">
        <v>43</v>
      </c>
      <c r="O1315" s="66"/>
      <c r="P1315" s="190">
        <f>O1315*H1315</f>
        <v>0</v>
      </c>
      <c r="Q1315" s="190">
        <v>2.0392399999999999E-4</v>
      </c>
      <c r="R1315" s="190">
        <f>Q1315*H1315</f>
        <v>2.8896030799999996E-2</v>
      </c>
      <c r="S1315" s="190">
        <v>0</v>
      </c>
      <c r="T1315" s="191">
        <f>S1315*H1315</f>
        <v>0</v>
      </c>
      <c r="U1315" s="36"/>
      <c r="V1315" s="36"/>
      <c r="W1315" s="36"/>
      <c r="X1315" s="36"/>
      <c r="Y1315" s="36"/>
      <c r="Z1315" s="36"/>
      <c r="AA1315" s="36"/>
      <c r="AB1315" s="36"/>
      <c r="AC1315" s="36"/>
      <c r="AD1315" s="36"/>
      <c r="AE1315" s="36"/>
      <c r="AR1315" s="192" t="s">
        <v>281</v>
      </c>
      <c r="AT1315" s="192" t="s">
        <v>382</v>
      </c>
      <c r="AU1315" s="192" t="s">
        <v>82</v>
      </c>
      <c r="AY1315" s="19" t="s">
        <v>380</v>
      </c>
      <c r="BE1315" s="193">
        <f>IF(N1315="základní",J1315,0)</f>
        <v>0</v>
      </c>
      <c r="BF1315" s="193">
        <f>IF(N1315="snížená",J1315,0)</f>
        <v>0</v>
      </c>
      <c r="BG1315" s="193">
        <f>IF(N1315="zákl. přenesená",J1315,0)</f>
        <v>0</v>
      </c>
      <c r="BH1315" s="193">
        <f>IF(N1315="sníž. přenesená",J1315,0)</f>
        <v>0</v>
      </c>
      <c r="BI1315" s="193">
        <f>IF(N1315="nulová",J1315,0)</f>
        <v>0</v>
      </c>
      <c r="BJ1315" s="19" t="s">
        <v>79</v>
      </c>
      <c r="BK1315" s="193">
        <f>ROUND(I1315*H1315,2)</f>
        <v>0</v>
      </c>
      <c r="BL1315" s="19" t="s">
        <v>281</v>
      </c>
      <c r="BM1315" s="192" t="s">
        <v>1769</v>
      </c>
    </row>
    <row r="1316" spans="1:65" s="14" customFormat="1" ht="11.25">
      <c r="B1316" s="205"/>
      <c r="C1316" s="206"/>
      <c r="D1316" s="196" t="s">
        <v>388</v>
      </c>
      <c r="E1316" s="207" t="s">
        <v>19</v>
      </c>
      <c r="F1316" s="208" t="s">
        <v>1770</v>
      </c>
      <c r="G1316" s="206"/>
      <c r="H1316" s="209">
        <v>141.69999999999999</v>
      </c>
      <c r="I1316" s="210"/>
      <c r="J1316" s="206"/>
      <c r="K1316" s="206"/>
      <c r="L1316" s="211"/>
      <c r="M1316" s="212"/>
      <c r="N1316" s="213"/>
      <c r="O1316" s="213"/>
      <c r="P1316" s="213"/>
      <c r="Q1316" s="213"/>
      <c r="R1316" s="213"/>
      <c r="S1316" s="213"/>
      <c r="T1316" s="214"/>
      <c r="AT1316" s="215" t="s">
        <v>388</v>
      </c>
      <c r="AU1316" s="215" t="s">
        <v>82</v>
      </c>
      <c r="AV1316" s="14" t="s">
        <v>82</v>
      </c>
      <c r="AW1316" s="14" t="s">
        <v>33</v>
      </c>
      <c r="AX1316" s="14" t="s">
        <v>79</v>
      </c>
      <c r="AY1316" s="215" t="s">
        <v>380</v>
      </c>
    </row>
    <row r="1317" spans="1:65" s="2" customFormat="1" ht="24.2" customHeight="1">
      <c r="A1317" s="36"/>
      <c r="B1317" s="37"/>
      <c r="C1317" s="181" t="s">
        <v>1771</v>
      </c>
      <c r="D1317" s="181" t="s">
        <v>382</v>
      </c>
      <c r="E1317" s="182" t="s">
        <v>1772</v>
      </c>
      <c r="F1317" s="183" t="s">
        <v>1773</v>
      </c>
      <c r="G1317" s="184" t="s">
        <v>437</v>
      </c>
      <c r="H1317" s="185">
        <v>4.4569999999999999</v>
      </c>
      <c r="I1317" s="186"/>
      <c r="J1317" s="187">
        <f>ROUND(I1317*H1317,2)</f>
        <v>0</v>
      </c>
      <c r="K1317" s="183" t="s">
        <v>399</v>
      </c>
      <c r="L1317" s="41"/>
      <c r="M1317" s="188" t="s">
        <v>19</v>
      </c>
      <c r="N1317" s="189" t="s">
        <v>43</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281</v>
      </c>
      <c r="AT1317" s="192" t="s">
        <v>382</v>
      </c>
      <c r="AU1317" s="192" t="s">
        <v>82</v>
      </c>
      <c r="AY1317" s="19" t="s">
        <v>380</v>
      </c>
      <c r="BE1317" s="193">
        <f>IF(N1317="základní",J1317,0)</f>
        <v>0</v>
      </c>
      <c r="BF1317" s="193">
        <f>IF(N1317="snížená",J1317,0)</f>
        <v>0</v>
      </c>
      <c r="BG1317" s="193">
        <f>IF(N1317="zákl. přenesená",J1317,0)</f>
        <v>0</v>
      </c>
      <c r="BH1317" s="193">
        <f>IF(N1317="sníž. přenesená",J1317,0)</f>
        <v>0</v>
      </c>
      <c r="BI1317" s="193">
        <f>IF(N1317="nulová",J1317,0)</f>
        <v>0</v>
      </c>
      <c r="BJ1317" s="19" t="s">
        <v>79</v>
      </c>
      <c r="BK1317" s="193">
        <f>ROUND(I1317*H1317,2)</f>
        <v>0</v>
      </c>
      <c r="BL1317" s="19" t="s">
        <v>281</v>
      </c>
      <c r="BM1317" s="192" t="s">
        <v>1774</v>
      </c>
    </row>
    <row r="1318" spans="1:65" s="12" customFormat="1" ht="22.9" customHeight="1">
      <c r="B1318" s="165"/>
      <c r="C1318" s="166"/>
      <c r="D1318" s="167" t="s">
        <v>71</v>
      </c>
      <c r="E1318" s="179" t="s">
        <v>1775</v>
      </c>
      <c r="F1318" s="179" t="s">
        <v>1776</v>
      </c>
      <c r="G1318" s="166"/>
      <c r="H1318" s="166"/>
      <c r="I1318" s="169"/>
      <c r="J1318" s="180">
        <f>BK1318</f>
        <v>0</v>
      </c>
      <c r="K1318" s="166"/>
      <c r="L1318" s="171"/>
      <c r="M1318" s="172"/>
      <c r="N1318" s="173"/>
      <c r="O1318" s="173"/>
      <c r="P1318" s="174">
        <f>SUM(P1319:P1346)</f>
        <v>0</v>
      </c>
      <c r="Q1318" s="173"/>
      <c r="R1318" s="174">
        <f>SUM(R1319:R1346)</f>
        <v>27.036092564923401</v>
      </c>
      <c r="S1318" s="173"/>
      <c r="T1318" s="175">
        <f>SUM(T1319:T1346)</f>
        <v>0</v>
      </c>
      <c r="AR1318" s="176" t="s">
        <v>82</v>
      </c>
      <c r="AT1318" s="177" t="s">
        <v>71</v>
      </c>
      <c r="AU1318" s="177" t="s">
        <v>79</v>
      </c>
      <c r="AY1318" s="176" t="s">
        <v>380</v>
      </c>
      <c r="BK1318" s="178">
        <f>SUM(BK1319:BK1346)</f>
        <v>0</v>
      </c>
    </row>
    <row r="1319" spans="1:65" s="2" customFormat="1" ht="33" customHeight="1">
      <c r="A1319" s="36"/>
      <c r="B1319" s="37"/>
      <c r="C1319" s="181" t="s">
        <v>1777</v>
      </c>
      <c r="D1319" s="181" t="s">
        <v>382</v>
      </c>
      <c r="E1319" s="182" t="s">
        <v>1778</v>
      </c>
      <c r="F1319" s="183" t="s">
        <v>1779</v>
      </c>
      <c r="G1319" s="184" t="s">
        <v>398</v>
      </c>
      <c r="H1319" s="185">
        <v>279.63900000000001</v>
      </c>
      <c r="I1319" s="186"/>
      <c r="J1319" s="187">
        <f>ROUND(I1319*H1319,2)</f>
        <v>0</v>
      </c>
      <c r="K1319" s="183" t="s">
        <v>399</v>
      </c>
      <c r="L1319" s="41"/>
      <c r="M1319" s="188" t="s">
        <v>19</v>
      </c>
      <c r="N1319" s="189" t="s">
        <v>43</v>
      </c>
      <c r="O1319" s="66"/>
      <c r="P1319" s="190">
        <f>O1319*H1319</f>
        <v>0</v>
      </c>
      <c r="Q1319" s="190">
        <v>4.4103260599999999E-2</v>
      </c>
      <c r="R1319" s="190">
        <f>Q1319*H1319</f>
        <v>12.3329916909234</v>
      </c>
      <c r="S1319" s="190">
        <v>0</v>
      </c>
      <c r="T1319" s="191">
        <f>S1319*H1319</f>
        <v>0</v>
      </c>
      <c r="U1319" s="36"/>
      <c r="V1319" s="36"/>
      <c r="W1319" s="36"/>
      <c r="X1319" s="36"/>
      <c r="Y1319" s="36"/>
      <c r="Z1319" s="36"/>
      <c r="AA1319" s="36"/>
      <c r="AB1319" s="36"/>
      <c r="AC1319" s="36"/>
      <c r="AD1319" s="36"/>
      <c r="AE1319" s="36"/>
      <c r="AR1319" s="192" t="s">
        <v>281</v>
      </c>
      <c r="AT1319" s="192" t="s">
        <v>382</v>
      </c>
      <c r="AU1319" s="192" t="s">
        <v>82</v>
      </c>
      <c r="AY1319" s="19" t="s">
        <v>380</v>
      </c>
      <c r="BE1319" s="193">
        <f>IF(N1319="základní",J1319,0)</f>
        <v>0</v>
      </c>
      <c r="BF1319" s="193">
        <f>IF(N1319="snížená",J1319,0)</f>
        <v>0</v>
      </c>
      <c r="BG1319" s="193">
        <f>IF(N1319="zákl. přenesená",J1319,0)</f>
        <v>0</v>
      </c>
      <c r="BH1319" s="193">
        <f>IF(N1319="sníž. přenesená",J1319,0)</f>
        <v>0</v>
      </c>
      <c r="BI1319" s="193">
        <f>IF(N1319="nulová",J1319,0)</f>
        <v>0</v>
      </c>
      <c r="BJ1319" s="19" t="s">
        <v>79</v>
      </c>
      <c r="BK1319" s="193">
        <f>ROUND(I1319*H1319,2)</f>
        <v>0</v>
      </c>
      <c r="BL1319" s="19" t="s">
        <v>281</v>
      </c>
      <c r="BM1319" s="192" t="s">
        <v>1780</v>
      </c>
    </row>
    <row r="1320" spans="1:65" s="13" customFormat="1" ht="11.25">
      <c r="B1320" s="194"/>
      <c r="C1320" s="195"/>
      <c r="D1320" s="196" t="s">
        <v>388</v>
      </c>
      <c r="E1320" s="197" t="s">
        <v>19</v>
      </c>
      <c r="F1320" s="198" t="s">
        <v>573</v>
      </c>
      <c r="G1320" s="195"/>
      <c r="H1320" s="197" t="s">
        <v>19</v>
      </c>
      <c r="I1320" s="199"/>
      <c r="J1320" s="195"/>
      <c r="K1320" s="195"/>
      <c r="L1320" s="200"/>
      <c r="M1320" s="201"/>
      <c r="N1320" s="202"/>
      <c r="O1320" s="202"/>
      <c r="P1320" s="202"/>
      <c r="Q1320" s="202"/>
      <c r="R1320" s="202"/>
      <c r="S1320" s="202"/>
      <c r="T1320" s="203"/>
      <c r="AT1320" s="204" t="s">
        <v>388</v>
      </c>
      <c r="AU1320" s="204" t="s">
        <v>82</v>
      </c>
      <c r="AV1320" s="13" t="s">
        <v>79</v>
      </c>
      <c r="AW1320" s="13" t="s">
        <v>33</v>
      </c>
      <c r="AX1320" s="13" t="s">
        <v>72</v>
      </c>
      <c r="AY1320" s="204" t="s">
        <v>380</v>
      </c>
    </row>
    <row r="1321" spans="1:65" s="14" customFormat="1" ht="11.25">
      <c r="B1321" s="205"/>
      <c r="C1321" s="206"/>
      <c r="D1321" s="196" t="s">
        <v>388</v>
      </c>
      <c r="E1321" s="207" t="s">
        <v>19</v>
      </c>
      <c r="F1321" s="208" t="s">
        <v>1781</v>
      </c>
      <c r="G1321" s="206"/>
      <c r="H1321" s="209">
        <v>50.082999999999998</v>
      </c>
      <c r="I1321" s="210"/>
      <c r="J1321" s="206"/>
      <c r="K1321" s="206"/>
      <c r="L1321" s="211"/>
      <c r="M1321" s="212"/>
      <c r="N1321" s="213"/>
      <c r="O1321" s="213"/>
      <c r="P1321" s="213"/>
      <c r="Q1321" s="213"/>
      <c r="R1321" s="213"/>
      <c r="S1321" s="213"/>
      <c r="T1321" s="214"/>
      <c r="AT1321" s="215" t="s">
        <v>388</v>
      </c>
      <c r="AU1321" s="215" t="s">
        <v>82</v>
      </c>
      <c r="AV1321" s="14" t="s">
        <v>82</v>
      </c>
      <c r="AW1321" s="14" t="s">
        <v>33</v>
      </c>
      <c r="AX1321" s="14" t="s">
        <v>72</v>
      </c>
      <c r="AY1321" s="215" t="s">
        <v>380</v>
      </c>
    </row>
    <row r="1322" spans="1:65" s="14" customFormat="1" ht="11.25">
      <c r="B1322" s="205"/>
      <c r="C1322" s="206"/>
      <c r="D1322" s="196" t="s">
        <v>388</v>
      </c>
      <c r="E1322" s="207" t="s">
        <v>19</v>
      </c>
      <c r="F1322" s="208" t="s">
        <v>1782</v>
      </c>
      <c r="G1322" s="206"/>
      <c r="H1322" s="209">
        <v>151.119</v>
      </c>
      <c r="I1322" s="210"/>
      <c r="J1322" s="206"/>
      <c r="K1322" s="206"/>
      <c r="L1322" s="211"/>
      <c r="M1322" s="212"/>
      <c r="N1322" s="213"/>
      <c r="O1322" s="213"/>
      <c r="P1322" s="213"/>
      <c r="Q1322" s="213"/>
      <c r="R1322" s="213"/>
      <c r="S1322" s="213"/>
      <c r="T1322" s="214"/>
      <c r="AT1322" s="215" t="s">
        <v>388</v>
      </c>
      <c r="AU1322" s="215" t="s">
        <v>82</v>
      </c>
      <c r="AV1322" s="14" t="s">
        <v>82</v>
      </c>
      <c r="AW1322" s="14" t="s">
        <v>33</v>
      </c>
      <c r="AX1322" s="14" t="s">
        <v>72</v>
      </c>
      <c r="AY1322" s="215" t="s">
        <v>380</v>
      </c>
    </row>
    <row r="1323" spans="1:65" s="14" customFormat="1" ht="11.25">
      <c r="B1323" s="205"/>
      <c r="C1323" s="206"/>
      <c r="D1323" s="196" t="s">
        <v>388</v>
      </c>
      <c r="E1323" s="207" t="s">
        <v>19</v>
      </c>
      <c r="F1323" s="208" t="s">
        <v>1783</v>
      </c>
      <c r="G1323" s="206"/>
      <c r="H1323" s="209">
        <v>29.094999999999999</v>
      </c>
      <c r="I1323" s="210"/>
      <c r="J1323" s="206"/>
      <c r="K1323" s="206"/>
      <c r="L1323" s="211"/>
      <c r="M1323" s="212"/>
      <c r="N1323" s="213"/>
      <c r="O1323" s="213"/>
      <c r="P1323" s="213"/>
      <c r="Q1323" s="213"/>
      <c r="R1323" s="213"/>
      <c r="S1323" s="213"/>
      <c r="T1323" s="214"/>
      <c r="AT1323" s="215" t="s">
        <v>388</v>
      </c>
      <c r="AU1323" s="215" t="s">
        <v>82</v>
      </c>
      <c r="AV1323" s="14" t="s">
        <v>82</v>
      </c>
      <c r="AW1323" s="14" t="s">
        <v>33</v>
      </c>
      <c r="AX1323" s="14" t="s">
        <v>72</v>
      </c>
      <c r="AY1323" s="215" t="s">
        <v>380</v>
      </c>
    </row>
    <row r="1324" spans="1:65" s="14" customFormat="1" ht="11.25">
      <c r="B1324" s="205"/>
      <c r="C1324" s="206"/>
      <c r="D1324" s="196" t="s">
        <v>388</v>
      </c>
      <c r="E1324" s="207" t="s">
        <v>19</v>
      </c>
      <c r="F1324" s="208" t="s">
        <v>1784</v>
      </c>
      <c r="G1324" s="206"/>
      <c r="H1324" s="209">
        <v>30.442</v>
      </c>
      <c r="I1324" s="210"/>
      <c r="J1324" s="206"/>
      <c r="K1324" s="206"/>
      <c r="L1324" s="211"/>
      <c r="M1324" s="212"/>
      <c r="N1324" s="213"/>
      <c r="O1324" s="213"/>
      <c r="P1324" s="213"/>
      <c r="Q1324" s="213"/>
      <c r="R1324" s="213"/>
      <c r="S1324" s="213"/>
      <c r="T1324" s="214"/>
      <c r="AT1324" s="215" t="s">
        <v>388</v>
      </c>
      <c r="AU1324" s="215" t="s">
        <v>82</v>
      </c>
      <c r="AV1324" s="14" t="s">
        <v>82</v>
      </c>
      <c r="AW1324" s="14" t="s">
        <v>33</v>
      </c>
      <c r="AX1324" s="14" t="s">
        <v>72</v>
      </c>
      <c r="AY1324" s="215" t="s">
        <v>380</v>
      </c>
    </row>
    <row r="1325" spans="1:65" s="13" customFormat="1" ht="11.25">
      <c r="B1325" s="194"/>
      <c r="C1325" s="195"/>
      <c r="D1325" s="196" t="s">
        <v>388</v>
      </c>
      <c r="E1325" s="197" t="s">
        <v>19</v>
      </c>
      <c r="F1325" s="198" t="s">
        <v>1785</v>
      </c>
      <c r="G1325" s="195"/>
      <c r="H1325" s="197" t="s">
        <v>19</v>
      </c>
      <c r="I1325" s="199"/>
      <c r="J1325" s="195"/>
      <c r="K1325" s="195"/>
      <c r="L1325" s="200"/>
      <c r="M1325" s="201"/>
      <c r="N1325" s="202"/>
      <c r="O1325" s="202"/>
      <c r="P1325" s="202"/>
      <c r="Q1325" s="202"/>
      <c r="R1325" s="202"/>
      <c r="S1325" s="202"/>
      <c r="T1325" s="203"/>
      <c r="AT1325" s="204" t="s">
        <v>388</v>
      </c>
      <c r="AU1325" s="204" t="s">
        <v>82</v>
      </c>
      <c r="AV1325" s="13" t="s">
        <v>79</v>
      </c>
      <c r="AW1325" s="13" t="s">
        <v>33</v>
      </c>
      <c r="AX1325" s="13" t="s">
        <v>72</v>
      </c>
      <c r="AY1325" s="204" t="s">
        <v>380</v>
      </c>
    </row>
    <row r="1326" spans="1:65" s="14" customFormat="1" ht="11.25">
      <c r="B1326" s="205"/>
      <c r="C1326" s="206"/>
      <c r="D1326" s="196" t="s">
        <v>388</v>
      </c>
      <c r="E1326" s="207" t="s">
        <v>19</v>
      </c>
      <c r="F1326" s="208" t="s">
        <v>1786</v>
      </c>
      <c r="G1326" s="206"/>
      <c r="H1326" s="209">
        <v>18.899999999999999</v>
      </c>
      <c r="I1326" s="210"/>
      <c r="J1326" s="206"/>
      <c r="K1326" s="206"/>
      <c r="L1326" s="211"/>
      <c r="M1326" s="212"/>
      <c r="N1326" s="213"/>
      <c r="O1326" s="213"/>
      <c r="P1326" s="213"/>
      <c r="Q1326" s="213"/>
      <c r="R1326" s="213"/>
      <c r="S1326" s="213"/>
      <c r="T1326" s="214"/>
      <c r="AT1326" s="215" t="s">
        <v>388</v>
      </c>
      <c r="AU1326" s="215" t="s">
        <v>82</v>
      </c>
      <c r="AV1326" s="14" t="s">
        <v>82</v>
      </c>
      <c r="AW1326" s="14" t="s">
        <v>33</v>
      </c>
      <c r="AX1326" s="14" t="s">
        <v>72</v>
      </c>
      <c r="AY1326" s="215" t="s">
        <v>380</v>
      </c>
    </row>
    <row r="1327" spans="1:65" s="15" customFormat="1" ht="11.25">
      <c r="B1327" s="216"/>
      <c r="C1327" s="217"/>
      <c r="D1327" s="196" t="s">
        <v>388</v>
      </c>
      <c r="E1327" s="218" t="s">
        <v>19</v>
      </c>
      <c r="F1327" s="219" t="s">
        <v>419</v>
      </c>
      <c r="G1327" s="217"/>
      <c r="H1327" s="220">
        <v>279.63899999999995</v>
      </c>
      <c r="I1327" s="221"/>
      <c r="J1327" s="217"/>
      <c r="K1327" s="217"/>
      <c r="L1327" s="222"/>
      <c r="M1327" s="223"/>
      <c r="N1327" s="224"/>
      <c r="O1327" s="224"/>
      <c r="P1327" s="224"/>
      <c r="Q1327" s="224"/>
      <c r="R1327" s="224"/>
      <c r="S1327" s="224"/>
      <c r="T1327" s="225"/>
      <c r="AT1327" s="226" t="s">
        <v>388</v>
      </c>
      <c r="AU1327" s="226" t="s">
        <v>82</v>
      </c>
      <c r="AV1327" s="15" t="s">
        <v>386</v>
      </c>
      <c r="AW1327" s="15" t="s">
        <v>33</v>
      </c>
      <c r="AX1327" s="15" t="s">
        <v>79</v>
      </c>
      <c r="AY1327" s="226" t="s">
        <v>380</v>
      </c>
    </row>
    <row r="1328" spans="1:65" s="2" customFormat="1" ht="24.2" customHeight="1">
      <c r="A1328" s="36"/>
      <c r="B1328" s="37"/>
      <c r="C1328" s="181" t="s">
        <v>1787</v>
      </c>
      <c r="D1328" s="181" t="s">
        <v>382</v>
      </c>
      <c r="E1328" s="182" t="s">
        <v>1788</v>
      </c>
      <c r="F1328" s="183" t="s">
        <v>1789</v>
      </c>
      <c r="G1328" s="184" t="s">
        <v>398</v>
      </c>
      <c r="H1328" s="185">
        <v>31.2</v>
      </c>
      <c r="I1328" s="186"/>
      <c r="J1328" s="187">
        <f>ROUND(I1328*H1328,2)</f>
        <v>0</v>
      </c>
      <c r="K1328" s="183" t="s">
        <v>399</v>
      </c>
      <c r="L1328" s="41"/>
      <c r="M1328" s="188" t="s">
        <v>19</v>
      </c>
      <c r="N1328" s="189" t="s">
        <v>43</v>
      </c>
      <c r="O1328" s="66"/>
      <c r="P1328" s="190">
        <f>O1328*H1328</f>
        <v>0</v>
      </c>
      <c r="Q1328" s="190">
        <v>1.2228590900000001E-2</v>
      </c>
      <c r="R1328" s="190">
        <f>Q1328*H1328</f>
        <v>0.38153203608000003</v>
      </c>
      <c r="S1328" s="190">
        <v>0</v>
      </c>
      <c r="T1328" s="191">
        <f>S1328*H1328</f>
        <v>0</v>
      </c>
      <c r="U1328" s="36"/>
      <c r="V1328" s="36"/>
      <c r="W1328" s="36"/>
      <c r="X1328" s="36"/>
      <c r="Y1328" s="36"/>
      <c r="Z1328" s="36"/>
      <c r="AA1328" s="36"/>
      <c r="AB1328" s="36"/>
      <c r="AC1328" s="36"/>
      <c r="AD1328" s="36"/>
      <c r="AE1328" s="36"/>
      <c r="AR1328" s="192" t="s">
        <v>281</v>
      </c>
      <c r="AT1328" s="192" t="s">
        <v>382</v>
      </c>
      <c r="AU1328" s="192" t="s">
        <v>82</v>
      </c>
      <c r="AY1328" s="19" t="s">
        <v>380</v>
      </c>
      <c r="BE1328" s="193">
        <f>IF(N1328="základní",J1328,0)</f>
        <v>0</v>
      </c>
      <c r="BF1328" s="193">
        <f>IF(N1328="snížená",J1328,0)</f>
        <v>0</v>
      </c>
      <c r="BG1328" s="193">
        <f>IF(N1328="zákl. přenesená",J1328,0)</f>
        <v>0</v>
      </c>
      <c r="BH1328" s="193">
        <f>IF(N1328="sníž. přenesená",J1328,0)</f>
        <v>0</v>
      </c>
      <c r="BI1328" s="193">
        <f>IF(N1328="nulová",J1328,0)</f>
        <v>0</v>
      </c>
      <c r="BJ1328" s="19" t="s">
        <v>79</v>
      </c>
      <c r="BK1328" s="193">
        <f>ROUND(I1328*H1328,2)</f>
        <v>0</v>
      </c>
      <c r="BL1328" s="19" t="s">
        <v>281</v>
      </c>
      <c r="BM1328" s="192" t="s">
        <v>1790</v>
      </c>
    </row>
    <row r="1329" spans="1:65" s="13" customFormat="1" ht="11.25">
      <c r="B1329" s="194"/>
      <c r="C1329" s="195"/>
      <c r="D1329" s="196" t="s">
        <v>388</v>
      </c>
      <c r="E1329" s="197" t="s">
        <v>19</v>
      </c>
      <c r="F1329" s="198" t="s">
        <v>1791</v>
      </c>
      <c r="G1329" s="195"/>
      <c r="H1329" s="197" t="s">
        <v>19</v>
      </c>
      <c r="I1329" s="199"/>
      <c r="J1329" s="195"/>
      <c r="K1329" s="195"/>
      <c r="L1329" s="200"/>
      <c r="M1329" s="201"/>
      <c r="N1329" s="202"/>
      <c r="O1329" s="202"/>
      <c r="P1329" s="202"/>
      <c r="Q1329" s="202"/>
      <c r="R1329" s="202"/>
      <c r="S1329" s="202"/>
      <c r="T1329" s="203"/>
      <c r="AT1329" s="204" t="s">
        <v>388</v>
      </c>
      <c r="AU1329" s="204" t="s">
        <v>82</v>
      </c>
      <c r="AV1329" s="13" t="s">
        <v>79</v>
      </c>
      <c r="AW1329" s="13" t="s">
        <v>33</v>
      </c>
      <c r="AX1329" s="13" t="s">
        <v>72</v>
      </c>
      <c r="AY1329" s="204" t="s">
        <v>380</v>
      </c>
    </row>
    <row r="1330" spans="1:65" s="14" customFormat="1" ht="11.25">
      <c r="B1330" s="205"/>
      <c r="C1330" s="206"/>
      <c r="D1330" s="196" t="s">
        <v>388</v>
      </c>
      <c r="E1330" s="207" t="s">
        <v>19</v>
      </c>
      <c r="F1330" s="208" t="s">
        <v>1792</v>
      </c>
      <c r="G1330" s="206"/>
      <c r="H1330" s="209">
        <v>31.2</v>
      </c>
      <c r="I1330" s="210"/>
      <c r="J1330" s="206"/>
      <c r="K1330" s="206"/>
      <c r="L1330" s="211"/>
      <c r="M1330" s="212"/>
      <c r="N1330" s="213"/>
      <c r="O1330" s="213"/>
      <c r="P1330" s="213"/>
      <c r="Q1330" s="213"/>
      <c r="R1330" s="213"/>
      <c r="S1330" s="213"/>
      <c r="T1330" s="214"/>
      <c r="AT1330" s="215" t="s">
        <v>388</v>
      </c>
      <c r="AU1330" s="215" t="s">
        <v>82</v>
      </c>
      <c r="AV1330" s="14" t="s">
        <v>82</v>
      </c>
      <c r="AW1330" s="14" t="s">
        <v>33</v>
      </c>
      <c r="AX1330" s="14" t="s">
        <v>79</v>
      </c>
      <c r="AY1330" s="215" t="s">
        <v>380</v>
      </c>
    </row>
    <row r="1331" spans="1:65" s="2" customFormat="1" ht="24.2" customHeight="1">
      <c r="A1331" s="36"/>
      <c r="B1331" s="37"/>
      <c r="C1331" s="181" t="s">
        <v>1793</v>
      </c>
      <c r="D1331" s="181" t="s">
        <v>382</v>
      </c>
      <c r="E1331" s="182" t="s">
        <v>1794</v>
      </c>
      <c r="F1331" s="183" t="s">
        <v>1795</v>
      </c>
      <c r="G1331" s="184" t="s">
        <v>398</v>
      </c>
      <c r="H1331" s="185">
        <v>428.8</v>
      </c>
      <c r="I1331" s="186"/>
      <c r="J1331" s="187">
        <f>ROUND(I1331*H1331,2)</f>
        <v>0</v>
      </c>
      <c r="K1331" s="183" t="s">
        <v>399</v>
      </c>
      <c r="L1331" s="41"/>
      <c r="M1331" s="188" t="s">
        <v>19</v>
      </c>
      <c r="N1331" s="189" t="s">
        <v>43</v>
      </c>
      <c r="O1331" s="66"/>
      <c r="P1331" s="190">
        <f>O1331*H1331</f>
        <v>0</v>
      </c>
      <c r="Q1331" s="190">
        <v>1.25435909E-2</v>
      </c>
      <c r="R1331" s="190">
        <f>Q1331*H1331</f>
        <v>5.3786917779200003</v>
      </c>
      <c r="S1331" s="190">
        <v>0</v>
      </c>
      <c r="T1331" s="191">
        <f>S1331*H1331</f>
        <v>0</v>
      </c>
      <c r="U1331" s="36"/>
      <c r="V1331" s="36"/>
      <c r="W1331" s="36"/>
      <c r="X1331" s="36"/>
      <c r="Y1331" s="36"/>
      <c r="Z1331" s="36"/>
      <c r="AA1331" s="36"/>
      <c r="AB1331" s="36"/>
      <c r="AC1331" s="36"/>
      <c r="AD1331" s="36"/>
      <c r="AE1331" s="36"/>
      <c r="AR1331" s="192" t="s">
        <v>281</v>
      </c>
      <c r="AT1331" s="192" t="s">
        <v>382</v>
      </c>
      <c r="AU1331" s="192" t="s">
        <v>82</v>
      </c>
      <c r="AY1331" s="19" t="s">
        <v>380</v>
      </c>
      <c r="BE1331" s="193">
        <f>IF(N1331="základní",J1331,0)</f>
        <v>0</v>
      </c>
      <c r="BF1331" s="193">
        <f>IF(N1331="snížená",J1331,0)</f>
        <v>0</v>
      </c>
      <c r="BG1331" s="193">
        <f>IF(N1331="zákl. přenesená",J1331,0)</f>
        <v>0</v>
      </c>
      <c r="BH1331" s="193">
        <f>IF(N1331="sníž. přenesená",J1331,0)</f>
        <v>0</v>
      </c>
      <c r="BI1331" s="193">
        <f>IF(N1331="nulová",J1331,0)</f>
        <v>0</v>
      </c>
      <c r="BJ1331" s="19" t="s">
        <v>79</v>
      </c>
      <c r="BK1331" s="193">
        <f>ROUND(I1331*H1331,2)</f>
        <v>0</v>
      </c>
      <c r="BL1331" s="19" t="s">
        <v>281</v>
      </c>
      <c r="BM1331" s="192" t="s">
        <v>1796</v>
      </c>
    </row>
    <row r="1332" spans="1:65" s="13" customFormat="1" ht="11.25">
      <c r="B1332" s="194"/>
      <c r="C1332" s="195"/>
      <c r="D1332" s="196" t="s">
        <v>388</v>
      </c>
      <c r="E1332" s="197" t="s">
        <v>19</v>
      </c>
      <c r="F1332" s="198" t="s">
        <v>1058</v>
      </c>
      <c r="G1332" s="195"/>
      <c r="H1332" s="197" t="s">
        <v>19</v>
      </c>
      <c r="I1332" s="199"/>
      <c r="J1332" s="195"/>
      <c r="K1332" s="195"/>
      <c r="L1332" s="200"/>
      <c r="M1332" s="201"/>
      <c r="N1332" s="202"/>
      <c r="O1332" s="202"/>
      <c r="P1332" s="202"/>
      <c r="Q1332" s="202"/>
      <c r="R1332" s="202"/>
      <c r="S1332" s="202"/>
      <c r="T1332" s="203"/>
      <c r="AT1332" s="204" t="s">
        <v>388</v>
      </c>
      <c r="AU1332" s="204" t="s">
        <v>82</v>
      </c>
      <c r="AV1332" s="13" t="s">
        <v>79</v>
      </c>
      <c r="AW1332" s="13" t="s">
        <v>33</v>
      </c>
      <c r="AX1332" s="13" t="s">
        <v>72</v>
      </c>
      <c r="AY1332" s="204" t="s">
        <v>380</v>
      </c>
    </row>
    <row r="1333" spans="1:65" s="14" customFormat="1" ht="11.25">
      <c r="B1333" s="205"/>
      <c r="C1333" s="206"/>
      <c r="D1333" s="196" t="s">
        <v>388</v>
      </c>
      <c r="E1333" s="207" t="s">
        <v>19</v>
      </c>
      <c r="F1333" s="208" t="s">
        <v>1797</v>
      </c>
      <c r="G1333" s="206"/>
      <c r="H1333" s="209">
        <v>460</v>
      </c>
      <c r="I1333" s="210"/>
      <c r="J1333" s="206"/>
      <c r="K1333" s="206"/>
      <c r="L1333" s="211"/>
      <c r="M1333" s="212"/>
      <c r="N1333" s="213"/>
      <c r="O1333" s="213"/>
      <c r="P1333" s="213"/>
      <c r="Q1333" s="213"/>
      <c r="R1333" s="213"/>
      <c r="S1333" s="213"/>
      <c r="T1333" s="214"/>
      <c r="AT1333" s="215" t="s">
        <v>388</v>
      </c>
      <c r="AU1333" s="215" t="s">
        <v>82</v>
      </c>
      <c r="AV1333" s="14" t="s">
        <v>82</v>
      </c>
      <c r="AW1333" s="14" t="s">
        <v>33</v>
      </c>
      <c r="AX1333" s="14" t="s">
        <v>72</v>
      </c>
      <c r="AY1333" s="215" t="s">
        <v>380</v>
      </c>
    </row>
    <row r="1334" spans="1:65" s="16" customFormat="1" ht="11.25">
      <c r="B1334" s="237"/>
      <c r="C1334" s="238"/>
      <c r="D1334" s="196" t="s">
        <v>388</v>
      </c>
      <c r="E1334" s="239" t="s">
        <v>328</v>
      </c>
      <c r="F1334" s="240" t="s">
        <v>572</v>
      </c>
      <c r="G1334" s="238"/>
      <c r="H1334" s="241">
        <v>460</v>
      </c>
      <c r="I1334" s="242"/>
      <c r="J1334" s="238"/>
      <c r="K1334" s="238"/>
      <c r="L1334" s="243"/>
      <c r="M1334" s="244"/>
      <c r="N1334" s="245"/>
      <c r="O1334" s="245"/>
      <c r="P1334" s="245"/>
      <c r="Q1334" s="245"/>
      <c r="R1334" s="245"/>
      <c r="S1334" s="245"/>
      <c r="T1334" s="246"/>
      <c r="AT1334" s="247" t="s">
        <v>388</v>
      </c>
      <c r="AU1334" s="247" t="s">
        <v>82</v>
      </c>
      <c r="AV1334" s="16" t="s">
        <v>99</v>
      </c>
      <c r="AW1334" s="16" t="s">
        <v>33</v>
      </c>
      <c r="AX1334" s="16" t="s">
        <v>72</v>
      </c>
      <c r="AY1334" s="247" t="s">
        <v>380</v>
      </c>
    </row>
    <row r="1335" spans="1:65" s="13" customFormat="1" ht="11.25">
      <c r="B1335" s="194"/>
      <c r="C1335" s="195"/>
      <c r="D1335" s="196" t="s">
        <v>388</v>
      </c>
      <c r="E1335" s="197" t="s">
        <v>19</v>
      </c>
      <c r="F1335" s="198" t="s">
        <v>1798</v>
      </c>
      <c r="G1335" s="195"/>
      <c r="H1335" s="197" t="s">
        <v>19</v>
      </c>
      <c r="I1335" s="199"/>
      <c r="J1335" s="195"/>
      <c r="K1335" s="195"/>
      <c r="L1335" s="200"/>
      <c r="M1335" s="201"/>
      <c r="N1335" s="202"/>
      <c r="O1335" s="202"/>
      <c r="P1335" s="202"/>
      <c r="Q1335" s="202"/>
      <c r="R1335" s="202"/>
      <c r="S1335" s="202"/>
      <c r="T1335" s="203"/>
      <c r="AT1335" s="204" t="s">
        <v>388</v>
      </c>
      <c r="AU1335" s="204" t="s">
        <v>82</v>
      </c>
      <c r="AV1335" s="13" t="s">
        <v>79</v>
      </c>
      <c r="AW1335" s="13" t="s">
        <v>33</v>
      </c>
      <c r="AX1335" s="13" t="s">
        <v>72</v>
      </c>
      <c r="AY1335" s="204" t="s">
        <v>380</v>
      </c>
    </row>
    <row r="1336" spans="1:65" s="14" customFormat="1" ht="11.25">
      <c r="B1336" s="205"/>
      <c r="C1336" s="206"/>
      <c r="D1336" s="196" t="s">
        <v>388</v>
      </c>
      <c r="E1336" s="207" t="s">
        <v>19</v>
      </c>
      <c r="F1336" s="208" t="s">
        <v>1799</v>
      </c>
      <c r="G1336" s="206"/>
      <c r="H1336" s="209">
        <v>-31.2</v>
      </c>
      <c r="I1336" s="210"/>
      <c r="J1336" s="206"/>
      <c r="K1336" s="206"/>
      <c r="L1336" s="211"/>
      <c r="M1336" s="212"/>
      <c r="N1336" s="213"/>
      <c r="O1336" s="213"/>
      <c r="P1336" s="213"/>
      <c r="Q1336" s="213"/>
      <c r="R1336" s="213"/>
      <c r="S1336" s="213"/>
      <c r="T1336" s="214"/>
      <c r="AT1336" s="215" t="s">
        <v>388</v>
      </c>
      <c r="AU1336" s="215" t="s">
        <v>82</v>
      </c>
      <c r="AV1336" s="14" t="s">
        <v>82</v>
      </c>
      <c r="AW1336" s="14" t="s">
        <v>33</v>
      </c>
      <c r="AX1336" s="14" t="s">
        <v>72</v>
      </c>
      <c r="AY1336" s="215" t="s">
        <v>380</v>
      </c>
    </row>
    <row r="1337" spans="1:65" s="16" customFormat="1" ht="11.25">
      <c r="B1337" s="237"/>
      <c r="C1337" s="238"/>
      <c r="D1337" s="196" t="s">
        <v>388</v>
      </c>
      <c r="E1337" s="239" t="s">
        <v>19</v>
      </c>
      <c r="F1337" s="240" t="s">
        <v>572</v>
      </c>
      <c r="G1337" s="238"/>
      <c r="H1337" s="241">
        <v>-31.2</v>
      </c>
      <c r="I1337" s="242"/>
      <c r="J1337" s="238"/>
      <c r="K1337" s="238"/>
      <c r="L1337" s="243"/>
      <c r="M1337" s="244"/>
      <c r="N1337" s="245"/>
      <c r="O1337" s="245"/>
      <c r="P1337" s="245"/>
      <c r="Q1337" s="245"/>
      <c r="R1337" s="245"/>
      <c r="S1337" s="245"/>
      <c r="T1337" s="246"/>
      <c r="AT1337" s="247" t="s">
        <v>388</v>
      </c>
      <c r="AU1337" s="247" t="s">
        <v>82</v>
      </c>
      <c r="AV1337" s="16" t="s">
        <v>99</v>
      </c>
      <c r="AW1337" s="16" t="s">
        <v>33</v>
      </c>
      <c r="AX1337" s="16" t="s">
        <v>72</v>
      </c>
      <c r="AY1337" s="247" t="s">
        <v>380</v>
      </c>
    </row>
    <row r="1338" spans="1:65" s="15" customFormat="1" ht="11.25">
      <c r="B1338" s="216"/>
      <c r="C1338" s="217"/>
      <c r="D1338" s="196" t="s">
        <v>388</v>
      </c>
      <c r="E1338" s="218" t="s">
        <v>19</v>
      </c>
      <c r="F1338" s="219" t="s">
        <v>419</v>
      </c>
      <c r="G1338" s="217"/>
      <c r="H1338" s="220">
        <v>428.8</v>
      </c>
      <c r="I1338" s="221"/>
      <c r="J1338" s="217"/>
      <c r="K1338" s="217"/>
      <c r="L1338" s="222"/>
      <c r="M1338" s="223"/>
      <c r="N1338" s="224"/>
      <c r="O1338" s="224"/>
      <c r="P1338" s="224"/>
      <c r="Q1338" s="224"/>
      <c r="R1338" s="224"/>
      <c r="S1338" s="224"/>
      <c r="T1338" s="225"/>
      <c r="AT1338" s="226" t="s">
        <v>388</v>
      </c>
      <c r="AU1338" s="226" t="s">
        <v>82</v>
      </c>
      <c r="AV1338" s="15" t="s">
        <v>386</v>
      </c>
      <c r="AW1338" s="15" t="s">
        <v>33</v>
      </c>
      <c r="AX1338" s="15" t="s">
        <v>79</v>
      </c>
      <c r="AY1338" s="226" t="s">
        <v>380</v>
      </c>
    </row>
    <row r="1339" spans="1:65" s="2" customFormat="1" ht="24.2" customHeight="1">
      <c r="A1339" s="36"/>
      <c r="B1339" s="37"/>
      <c r="C1339" s="181" t="s">
        <v>1800</v>
      </c>
      <c r="D1339" s="181" t="s">
        <v>382</v>
      </c>
      <c r="E1339" s="182" t="s">
        <v>1801</v>
      </c>
      <c r="F1339" s="183" t="s">
        <v>1802</v>
      </c>
      <c r="G1339" s="184" t="s">
        <v>398</v>
      </c>
      <c r="H1339" s="185">
        <v>913.9</v>
      </c>
      <c r="I1339" s="186"/>
      <c r="J1339" s="187">
        <f>ROUND(I1339*H1339,2)</f>
        <v>0</v>
      </c>
      <c r="K1339" s="183" t="s">
        <v>399</v>
      </c>
      <c r="L1339" s="41"/>
      <c r="M1339" s="188" t="s">
        <v>19</v>
      </c>
      <c r="N1339" s="189" t="s">
        <v>43</v>
      </c>
      <c r="O1339" s="66"/>
      <c r="P1339" s="190">
        <f>O1339*H1339</f>
        <v>0</v>
      </c>
      <c r="Q1339" s="190">
        <v>1.3854E-3</v>
      </c>
      <c r="R1339" s="190">
        <f>Q1339*H1339</f>
        <v>1.26611706</v>
      </c>
      <c r="S1339" s="190">
        <v>0</v>
      </c>
      <c r="T1339" s="191">
        <f>S1339*H1339</f>
        <v>0</v>
      </c>
      <c r="U1339" s="36"/>
      <c r="V1339" s="36"/>
      <c r="W1339" s="36"/>
      <c r="X1339" s="36"/>
      <c r="Y1339" s="36"/>
      <c r="Z1339" s="36"/>
      <c r="AA1339" s="36"/>
      <c r="AB1339" s="36"/>
      <c r="AC1339" s="36"/>
      <c r="AD1339" s="36"/>
      <c r="AE1339" s="36"/>
      <c r="AR1339" s="192" t="s">
        <v>281</v>
      </c>
      <c r="AT1339" s="192" t="s">
        <v>382</v>
      </c>
      <c r="AU1339" s="192" t="s">
        <v>82</v>
      </c>
      <c r="AY1339" s="19" t="s">
        <v>380</v>
      </c>
      <c r="BE1339" s="193">
        <f>IF(N1339="základní",J1339,0)</f>
        <v>0</v>
      </c>
      <c r="BF1339" s="193">
        <f>IF(N1339="snížená",J1339,0)</f>
        <v>0</v>
      </c>
      <c r="BG1339" s="193">
        <f>IF(N1339="zákl. přenesená",J1339,0)</f>
        <v>0</v>
      </c>
      <c r="BH1339" s="193">
        <f>IF(N1339="sníž. přenesená",J1339,0)</f>
        <v>0</v>
      </c>
      <c r="BI1339" s="193">
        <f>IF(N1339="nulová",J1339,0)</f>
        <v>0</v>
      </c>
      <c r="BJ1339" s="19" t="s">
        <v>79</v>
      </c>
      <c r="BK1339" s="193">
        <f>ROUND(I1339*H1339,2)</f>
        <v>0</v>
      </c>
      <c r="BL1339" s="19" t="s">
        <v>281</v>
      </c>
      <c r="BM1339" s="192" t="s">
        <v>1803</v>
      </c>
    </row>
    <row r="1340" spans="1:65" s="13" customFormat="1" ht="11.25">
      <c r="B1340" s="194"/>
      <c r="C1340" s="195"/>
      <c r="D1340" s="196" t="s">
        <v>388</v>
      </c>
      <c r="E1340" s="197" t="s">
        <v>19</v>
      </c>
      <c r="F1340" s="198" t="s">
        <v>1058</v>
      </c>
      <c r="G1340" s="195"/>
      <c r="H1340" s="197" t="s">
        <v>19</v>
      </c>
      <c r="I1340" s="199"/>
      <c r="J1340" s="195"/>
      <c r="K1340" s="195"/>
      <c r="L1340" s="200"/>
      <c r="M1340" s="201"/>
      <c r="N1340" s="202"/>
      <c r="O1340" s="202"/>
      <c r="P1340" s="202"/>
      <c r="Q1340" s="202"/>
      <c r="R1340" s="202"/>
      <c r="S1340" s="202"/>
      <c r="T1340" s="203"/>
      <c r="AT1340" s="204" t="s">
        <v>388</v>
      </c>
      <c r="AU1340" s="204" t="s">
        <v>82</v>
      </c>
      <c r="AV1340" s="13" t="s">
        <v>79</v>
      </c>
      <c r="AW1340" s="13" t="s">
        <v>33</v>
      </c>
      <c r="AX1340" s="13" t="s">
        <v>72</v>
      </c>
      <c r="AY1340" s="204" t="s">
        <v>380</v>
      </c>
    </row>
    <row r="1341" spans="1:65" s="14" customFormat="1" ht="11.25">
      <c r="B1341" s="205"/>
      <c r="C1341" s="206"/>
      <c r="D1341" s="196" t="s">
        <v>388</v>
      </c>
      <c r="E1341" s="207" t="s">
        <v>19</v>
      </c>
      <c r="F1341" s="208" t="s">
        <v>331</v>
      </c>
      <c r="G1341" s="206"/>
      <c r="H1341" s="209">
        <v>913.9</v>
      </c>
      <c r="I1341" s="210"/>
      <c r="J1341" s="206"/>
      <c r="K1341" s="206"/>
      <c r="L1341" s="211"/>
      <c r="M1341" s="212"/>
      <c r="N1341" s="213"/>
      <c r="O1341" s="213"/>
      <c r="P1341" s="213"/>
      <c r="Q1341" s="213"/>
      <c r="R1341" s="213"/>
      <c r="S1341" s="213"/>
      <c r="T1341" s="214"/>
      <c r="AT1341" s="215" t="s">
        <v>388</v>
      </c>
      <c r="AU1341" s="215" t="s">
        <v>82</v>
      </c>
      <c r="AV1341" s="14" t="s">
        <v>82</v>
      </c>
      <c r="AW1341" s="14" t="s">
        <v>33</v>
      </c>
      <c r="AX1341" s="14" t="s">
        <v>72</v>
      </c>
      <c r="AY1341" s="215" t="s">
        <v>380</v>
      </c>
    </row>
    <row r="1342" spans="1:65" s="16" customFormat="1" ht="11.25">
      <c r="B1342" s="237"/>
      <c r="C1342" s="238"/>
      <c r="D1342" s="196" t="s">
        <v>388</v>
      </c>
      <c r="E1342" s="239" t="s">
        <v>330</v>
      </c>
      <c r="F1342" s="240" t="s">
        <v>572</v>
      </c>
      <c r="G1342" s="238"/>
      <c r="H1342" s="241">
        <v>913.9</v>
      </c>
      <c r="I1342" s="242"/>
      <c r="J1342" s="238"/>
      <c r="K1342" s="238"/>
      <c r="L1342" s="243"/>
      <c r="M1342" s="244"/>
      <c r="N1342" s="245"/>
      <c r="O1342" s="245"/>
      <c r="P1342" s="245"/>
      <c r="Q1342" s="245"/>
      <c r="R1342" s="245"/>
      <c r="S1342" s="245"/>
      <c r="T1342" s="246"/>
      <c r="AT1342" s="247" t="s">
        <v>388</v>
      </c>
      <c r="AU1342" s="247" t="s">
        <v>82</v>
      </c>
      <c r="AV1342" s="16" t="s">
        <v>99</v>
      </c>
      <c r="AW1342" s="16" t="s">
        <v>33</v>
      </c>
      <c r="AX1342" s="16" t="s">
        <v>72</v>
      </c>
      <c r="AY1342" s="247" t="s">
        <v>380</v>
      </c>
    </row>
    <row r="1343" spans="1:65" s="15" customFormat="1" ht="11.25">
      <c r="B1343" s="216"/>
      <c r="C1343" s="217"/>
      <c r="D1343" s="196" t="s">
        <v>388</v>
      </c>
      <c r="E1343" s="218" t="s">
        <v>19</v>
      </c>
      <c r="F1343" s="219" t="s">
        <v>419</v>
      </c>
      <c r="G1343" s="217"/>
      <c r="H1343" s="220">
        <v>913.9</v>
      </c>
      <c r="I1343" s="221"/>
      <c r="J1343" s="217"/>
      <c r="K1343" s="217"/>
      <c r="L1343" s="222"/>
      <c r="M1343" s="223"/>
      <c r="N1343" s="224"/>
      <c r="O1343" s="224"/>
      <c r="P1343" s="224"/>
      <c r="Q1343" s="224"/>
      <c r="R1343" s="224"/>
      <c r="S1343" s="224"/>
      <c r="T1343" s="225"/>
      <c r="AT1343" s="226" t="s">
        <v>388</v>
      </c>
      <c r="AU1343" s="226" t="s">
        <v>82</v>
      </c>
      <c r="AV1343" s="15" t="s">
        <v>386</v>
      </c>
      <c r="AW1343" s="15" t="s">
        <v>33</v>
      </c>
      <c r="AX1343" s="15" t="s">
        <v>79</v>
      </c>
      <c r="AY1343" s="226" t="s">
        <v>380</v>
      </c>
    </row>
    <row r="1344" spans="1:65" s="2" customFormat="1" ht="16.5" customHeight="1">
      <c r="A1344" s="36"/>
      <c r="B1344" s="37"/>
      <c r="C1344" s="227" t="s">
        <v>1804</v>
      </c>
      <c r="D1344" s="227" t="s">
        <v>465</v>
      </c>
      <c r="E1344" s="228" t="s">
        <v>1805</v>
      </c>
      <c r="F1344" s="229" t="s">
        <v>1806</v>
      </c>
      <c r="G1344" s="230" t="s">
        <v>398</v>
      </c>
      <c r="H1344" s="231">
        <v>959.59500000000003</v>
      </c>
      <c r="I1344" s="232"/>
      <c r="J1344" s="233">
        <f>ROUND(I1344*H1344,2)</f>
        <v>0</v>
      </c>
      <c r="K1344" s="229" t="s">
        <v>19</v>
      </c>
      <c r="L1344" s="234"/>
      <c r="M1344" s="235" t="s">
        <v>19</v>
      </c>
      <c r="N1344" s="236" t="s">
        <v>43</v>
      </c>
      <c r="O1344" s="66"/>
      <c r="P1344" s="190">
        <f>O1344*H1344</f>
        <v>0</v>
      </c>
      <c r="Q1344" s="190">
        <v>8.0000000000000002E-3</v>
      </c>
      <c r="R1344" s="190">
        <f>Q1344*H1344</f>
        <v>7.6767600000000007</v>
      </c>
      <c r="S1344" s="190">
        <v>0</v>
      </c>
      <c r="T1344" s="191">
        <f>S1344*H1344</f>
        <v>0</v>
      </c>
      <c r="U1344" s="36"/>
      <c r="V1344" s="36"/>
      <c r="W1344" s="36"/>
      <c r="X1344" s="36"/>
      <c r="Y1344" s="36"/>
      <c r="Z1344" s="36"/>
      <c r="AA1344" s="36"/>
      <c r="AB1344" s="36"/>
      <c r="AC1344" s="36"/>
      <c r="AD1344" s="36"/>
      <c r="AE1344" s="36"/>
      <c r="AR1344" s="192" t="s">
        <v>546</v>
      </c>
      <c r="AT1344" s="192" t="s">
        <v>465</v>
      </c>
      <c r="AU1344" s="192" t="s">
        <v>82</v>
      </c>
      <c r="AY1344" s="19" t="s">
        <v>380</v>
      </c>
      <c r="BE1344" s="193">
        <f>IF(N1344="základní",J1344,0)</f>
        <v>0</v>
      </c>
      <c r="BF1344" s="193">
        <f>IF(N1344="snížená",J1344,0)</f>
        <v>0</v>
      </c>
      <c r="BG1344" s="193">
        <f>IF(N1344="zákl. přenesená",J1344,0)</f>
        <v>0</v>
      </c>
      <c r="BH1344" s="193">
        <f>IF(N1344="sníž. přenesená",J1344,0)</f>
        <v>0</v>
      </c>
      <c r="BI1344" s="193">
        <f>IF(N1344="nulová",J1344,0)</f>
        <v>0</v>
      </c>
      <c r="BJ1344" s="19" t="s">
        <v>79</v>
      </c>
      <c r="BK1344" s="193">
        <f>ROUND(I1344*H1344,2)</f>
        <v>0</v>
      </c>
      <c r="BL1344" s="19" t="s">
        <v>281</v>
      </c>
      <c r="BM1344" s="192" t="s">
        <v>1807</v>
      </c>
    </row>
    <row r="1345" spans="1:65" s="14" customFormat="1" ht="11.25">
      <c r="B1345" s="205"/>
      <c r="C1345" s="206"/>
      <c r="D1345" s="196" t="s">
        <v>388</v>
      </c>
      <c r="E1345" s="207" t="s">
        <v>19</v>
      </c>
      <c r="F1345" s="208" t="s">
        <v>1808</v>
      </c>
      <c r="G1345" s="206"/>
      <c r="H1345" s="209">
        <v>959.59500000000003</v>
      </c>
      <c r="I1345" s="210"/>
      <c r="J1345" s="206"/>
      <c r="K1345" s="206"/>
      <c r="L1345" s="211"/>
      <c r="M1345" s="212"/>
      <c r="N1345" s="213"/>
      <c r="O1345" s="213"/>
      <c r="P1345" s="213"/>
      <c r="Q1345" s="213"/>
      <c r="R1345" s="213"/>
      <c r="S1345" s="213"/>
      <c r="T1345" s="214"/>
      <c r="AT1345" s="215" t="s">
        <v>388</v>
      </c>
      <c r="AU1345" s="215" t="s">
        <v>82</v>
      </c>
      <c r="AV1345" s="14" t="s">
        <v>82</v>
      </c>
      <c r="AW1345" s="14" t="s">
        <v>33</v>
      </c>
      <c r="AX1345" s="14" t="s">
        <v>79</v>
      </c>
      <c r="AY1345" s="215" t="s">
        <v>380</v>
      </c>
    </row>
    <row r="1346" spans="1:65" s="2" customFormat="1" ht="37.9" customHeight="1">
      <c r="A1346" s="36"/>
      <c r="B1346" s="37"/>
      <c r="C1346" s="181" t="s">
        <v>1809</v>
      </c>
      <c r="D1346" s="181" t="s">
        <v>382</v>
      </c>
      <c r="E1346" s="182" t="s">
        <v>1810</v>
      </c>
      <c r="F1346" s="183" t="s">
        <v>1811</v>
      </c>
      <c r="G1346" s="184" t="s">
        <v>437</v>
      </c>
      <c r="H1346" s="185">
        <v>27.036000000000001</v>
      </c>
      <c r="I1346" s="186"/>
      <c r="J1346" s="187">
        <f>ROUND(I1346*H1346,2)</f>
        <v>0</v>
      </c>
      <c r="K1346" s="183" t="s">
        <v>399</v>
      </c>
      <c r="L1346" s="41"/>
      <c r="M1346" s="188" t="s">
        <v>19</v>
      </c>
      <c r="N1346" s="189" t="s">
        <v>43</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281</v>
      </c>
      <c r="AT1346" s="192" t="s">
        <v>382</v>
      </c>
      <c r="AU1346" s="192" t="s">
        <v>82</v>
      </c>
      <c r="AY1346" s="19" t="s">
        <v>380</v>
      </c>
      <c r="BE1346" s="193">
        <f>IF(N1346="základní",J1346,0)</f>
        <v>0</v>
      </c>
      <c r="BF1346" s="193">
        <f>IF(N1346="snížená",J1346,0)</f>
        <v>0</v>
      </c>
      <c r="BG1346" s="193">
        <f>IF(N1346="zákl. přenesená",J1346,0)</f>
        <v>0</v>
      </c>
      <c r="BH1346" s="193">
        <f>IF(N1346="sníž. přenesená",J1346,0)</f>
        <v>0</v>
      </c>
      <c r="BI1346" s="193">
        <f>IF(N1346="nulová",J1346,0)</f>
        <v>0</v>
      </c>
      <c r="BJ1346" s="19" t="s">
        <v>79</v>
      </c>
      <c r="BK1346" s="193">
        <f>ROUND(I1346*H1346,2)</f>
        <v>0</v>
      </c>
      <c r="BL1346" s="19" t="s">
        <v>281</v>
      </c>
      <c r="BM1346" s="192" t="s">
        <v>1812</v>
      </c>
    </row>
    <row r="1347" spans="1:65" s="12" customFormat="1" ht="22.9" customHeight="1">
      <c r="B1347" s="165"/>
      <c r="C1347" s="166"/>
      <c r="D1347" s="167" t="s">
        <v>71</v>
      </c>
      <c r="E1347" s="179" t="s">
        <v>1813</v>
      </c>
      <c r="F1347" s="179" t="s">
        <v>1814</v>
      </c>
      <c r="G1347" s="166"/>
      <c r="H1347" s="166"/>
      <c r="I1347" s="169"/>
      <c r="J1347" s="180">
        <f>BK1347</f>
        <v>0</v>
      </c>
      <c r="K1347" s="166"/>
      <c r="L1347" s="171"/>
      <c r="M1347" s="172"/>
      <c r="N1347" s="173"/>
      <c r="O1347" s="173"/>
      <c r="P1347" s="174">
        <f>SUM(P1348:P1379)</f>
        <v>0</v>
      </c>
      <c r="Q1347" s="173"/>
      <c r="R1347" s="174">
        <f>SUM(R1348:R1379)</f>
        <v>1.9510945800000001</v>
      </c>
      <c r="S1347" s="173"/>
      <c r="T1347" s="175">
        <f>SUM(T1348:T1379)</f>
        <v>0</v>
      </c>
      <c r="AR1347" s="176" t="s">
        <v>82</v>
      </c>
      <c r="AT1347" s="177" t="s">
        <v>71</v>
      </c>
      <c r="AU1347" s="177" t="s">
        <v>79</v>
      </c>
      <c r="AY1347" s="176" t="s">
        <v>380</v>
      </c>
      <c r="BK1347" s="178">
        <f>SUM(BK1348:BK1379)</f>
        <v>0</v>
      </c>
    </row>
    <row r="1348" spans="1:65" s="2" customFormat="1" ht="24.2" customHeight="1">
      <c r="A1348" s="36"/>
      <c r="B1348" s="37"/>
      <c r="C1348" s="181" t="s">
        <v>1815</v>
      </c>
      <c r="D1348" s="181" t="s">
        <v>382</v>
      </c>
      <c r="E1348" s="182" t="s">
        <v>1816</v>
      </c>
      <c r="F1348" s="183" t="s">
        <v>1817</v>
      </c>
      <c r="G1348" s="184" t="s">
        <v>452</v>
      </c>
      <c r="H1348" s="185">
        <v>12.4</v>
      </c>
      <c r="I1348" s="186"/>
      <c r="J1348" s="187">
        <f>ROUND(I1348*H1348,2)</f>
        <v>0</v>
      </c>
      <c r="K1348" s="183" t="s">
        <v>19</v>
      </c>
      <c r="L1348" s="41"/>
      <c r="M1348" s="188" t="s">
        <v>19</v>
      </c>
      <c r="N1348" s="189" t="s">
        <v>43</v>
      </c>
      <c r="O1348" s="66"/>
      <c r="P1348" s="190">
        <f>O1348*H1348</f>
        <v>0</v>
      </c>
      <c r="Q1348" s="190">
        <v>2.64E-3</v>
      </c>
      <c r="R1348" s="190">
        <f>Q1348*H1348</f>
        <v>3.2736000000000001E-2</v>
      </c>
      <c r="S1348" s="190">
        <v>0</v>
      </c>
      <c r="T1348" s="191">
        <f>S1348*H1348</f>
        <v>0</v>
      </c>
      <c r="U1348" s="36"/>
      <c r="V1348" s="36"/>
      <c r="W1348" s="36"/>
      <c r="X1348" s="36"/>
      <c r="Y1348" s="36"/>
      <c r="Z1348" s="36"/>
      <c r="AA1348" s="36"/>
      <c r="AB1348" s="36"/>
      <c r="AC1348" s="36"/>
      <c r="AD1348" s="36"/>
      <c r="AE1348" s="36"/>
      <c r="AR1348" s="192" t="s">
        <v>281</v>
      </c>
      <c r="AT1348" s="192" t="s">
        <v>382</v>
      </c>
      <c r="AU1348" s="192" t="s">
        <v>82</v>
      </c>
      <c r="AY1348" s="19" t="s">
        <v>380</v>
      </c>
      <c r="BE1348" s="193">
        <f>IF(N1348="základní",J1348,0)</f>
        <v>0</v>
      </c>
      <c r="BF1348" s="193">
        <f>IF(N1348="snížená",J1348,0)</f>
        <v>0</v>
      </c>
      <c r="BG1348" s="193">
        <f>IF(N1348="zákl. přenesená",J1348,0)</f>
        <v>0</v>
      </c>
      <c r="BH1348" s="193">
        <f>IF(N1348="sníž. přenesená",J1348,0)</f>
        <v>0</v>
      </c>
      <c r="BI1348" s="193">
        <f>IF(N1348="nulová",J1348,0)</f>
        <v>0</v>
      </c>
      <c r="BJ1348" s="19" t="s">
        <v>79</v>
      </c>
      <c r="BK1348" s="193">
        <f>ROUND(I1348*H1348,2)</f>
        <v>0</v>
      </c>
      <c r="BL1348" s="19" t="s">
        <v>281</v>
      </c>
      <c r="BM1348" s="192" t="s">
        <v>1818</v>
      </c>
    </row>
    <row r="1349" spans="1:65" s="13" customFormat="1" ht="11.25">
      <c r="B1349" s="194"/>
      <c r="C1349" s="195"/>
      <c r="D1349" s="196" t="s">
        <v>388</v>
      </c>
      <c r="E1349" s="197" t="s">
        <v>19</v>
      </c>
      <c r="F1349" s="198" t="s">
        <v>1819</v>
      </c>
      <c r="G1349" s="195"/>
      <c r="H1349" s="197" t="s">
        <v>19</v>
      </c>
      <c r="I1349" s="199"/>
      <c r="J1349" s="195"/>
      <c r="K1349" s="195"/>
      <c r="L1349" s="200"/>
      <c r="M1349" s="201"/>
      <c r="N1349" s="202"/>
      <c r="O1349" s="202"/>
      <c r="P1349" s="202"/>
      <c r="Q1349" s="202"/>
      <c r="R1349" s="202"/>
      <c r="S1349" s="202"/>
      <c r="T1349" s="203"/>
      <c r="AT1349" s="204" t="s">
        <v>388</v>
      </c>
      <c r="AU1349" s="204" t="s">
        <v>82</v>
      </c>
      <c r="AV1349" s="13" t="s">
        <v>79</v>
      </c>
      <c r="AW1349" s="13" t="s">
        <v>33</v>
      </c>
      <c r="AX1349" s="13" t="s">
        <v>72</v>
      </c>
      <c r="AY1349" s="204" t="s">
        <v>380</v>
      </c>
    </row>
    <row r="1350" spans="1:65" s="14" customFormat="1" ht="11.25">
      <c r="B1350" s="205"/>
      <c r="C1350" s="206"/>
      <c r="D1350" s="196" t="s">
        <v>388</v>
      </c>
      <c r="E1350" s="207" t="s">
        <v>19</v>
      </c>
      <c r="F1350" s="208" t="s">
        <v>1820</v>
      </c>
      <c r="G1350" s="206"/>
      <c r="H1350" s="209">
        <v>12.4</v>
      </c>
      <c r="I1350" s="210"/>
      <c r="J1350" s="206"/>
      <c r="K1350" s="206"/>
      <c r="L1350" s="211"/>
      <c r="M1350" s="212"/>
      <c r="N1350" s="213"/>
      <c r="O1350" s="213"/>
      <c r="P1350" s="213"/>
      <c r="Q1350" s="213"/>
      <c r="R1350" s="213"/>
      <c r="S1350" s="213"/>
      <c r="T1350" s="214"/>
      <c r="AT1350" s="215" t="s">
        <v>388</v>
      </c>
      <c r="AU1350" s="215" t="s">
        <v>82</v>
      </c>
      <c r="AV1350" s="14" t="s">
        <v>82</v>
      </c>
      <c r="AW1350" s="14" t="s">
        <v>33</v>
      </c>
      <c r="AX1350" s="14" t="s">
        <v>79</v>
      </c>
      <c r="AY1350" s="215" t="s">
        <v>380</v>
      </c>
    </row>
    <row r="1351" spans="1:65" s="2" customFormat="1" ht="24.2" customHeight="1">
      <c r="A1351" s="36"/>
      <c r="B1351" s="37"/>
      <c r="C1351" s="181" t="s">
        <v>1821</v>
      </c>
      <c r="D1351" s="181" t="s">
        <v>382</v>
      </c>
      <c r="E1351" s="182" t="s">
        <v>1822</v>
      </c>
      <c r="F1351" s="183" t="s">
        <v>1823</v>
      </c>
      <c r="G1351" s="184" t="s">
        <v>452</v>
      </c>
      <c r="H1351" s="185">
        <v>16.600000000000001</v>
      </c>
      <c r="I1351" s="186"/>
      <c r="J1351" s="187">
        <f>ROUND(I1351*H1351,2)</f>
        <v>0</v>
      </c>
      <c r="K1351" s="183" t="s">
        <v>19</v>
      </c>
      <c r="L1351" s="41"/>
      <c r="M1351" s="188" t="s">
        <v>19</v>
      </c>
      <c r="N1351" s="189" t="s">
        <v>43</v>
      </c>
      <c r="O1351" s="66"/>
      <c r="P1351" s="190">
        <f>O1351*H1351</f>
        <v>0</v>
      </c>
      <c r="Q1351" s="190">
        <v>3.15E-3</v>
      </c>
      <c r="R1351" s="190">
        <f>Q1351*H1351</f>
        <v>5.2290000000000003E-2</v>
      </c>
      <c r="S1351" s="190">
        <v>0</v>
      </c>
      <c r="T1351" s="191">
        <f>S1351*H1351</f>
        <v>0</v>
      </c>
      <c r="U1351" s="36"/>
      <c r="V1351" s="36"/>
      <c r="W1351" s="36"/>
      <c r="X1351" s="36"/>
      <c r="Y1351" s="36"/>
      <c r="Z1351" s="36"/>
      <c r="AA1351" s="36"/>
      <c r="AB1351" s="36"/>
      <c r="AC1351" s="36"/>
      <c r="AD1351" s="36"/>
      <c r="AE1351" s="36"/>
      <c r="AR1351" s="192" t="s">
        <v>281</v>
      </c>
      <c r="AT1351" s="192" t="s">
        <v>382</v>
      </c>
      <c r="AU1351" s="192" t="s">
        <v>82</v>
      </c>
      <c r="AY1351" s="19" t="s">
        <v>380</v>
      </c>
      <c r="BE1351" s="193">
        <f>IF(N1351="základní",J1351,0)</f>
        <v>0</v>
      </c>
      <c r="BF1351" s="193">
        <f>IF(N1351="snížená",J1351,0)</f>
        <v>0</v>
      </c>
      <c r="BG1351" s="193">
        <f>IF(N1351="zákl. přenesená",J1351,0)</f>
        <v>0</v>
      </c>
      <c r="BH1351" s="193">
        <f>IF(N1351="sníž. přenesená",J1351,0)</f>
        <v>0</v>
      </c>
      <c r="BI1351" s="193">
        <f>IF(N1351="nulová",J1351,0)</f>
        <v>0</v>
      </c>
      <c r="BJ1351" s="19" t="s">
        <v>79</v>
      </c>
      <c r="BK1351" s="193">
        <f>ROUND(I1351*H1351,2)</f>
        <v>0</v>
      </c>
      <c r="BL1351" s="19" t="s">
        <v>281</v>
      </c>
      <c r="BM1351" s="192" t="s">
        <v>1824</v>
      </c>
    </row>
    <row r="1352" spans="1:65" s="13" customFormat="1" ht="11.25">
      <c r="B1352" s="194"/>
      <c r="C1352" s="195"/>
      <c r="D1352" s="196" t="s">
        <v>388</v>
      </c>
      <c r="E1352" s="197" t="s">
        <v>19</v>
      </c>
      <c r="F1352" s="198" t="s">
        <v>1819</v>
      </c>
      <c r="G1352" s="195"/>
      <c r="H1352" s="197" t="s">
        <v>19</v>
      </c>
      <c r="I1352" s="199"/>
      <c r="J1352" s="195"/>
      <c r="K1352" s="195"/>
      <c r="L1352" s="200"/>
      <c r="M1352" s="201"/>
      <c r="N1352" s="202"/>
      <c r="O1352" s="202"/>
      <c r="P1352" s="202"/>
      <c r="Q1352" s="202"/>
      <c r="R1352" s="202"/>
      <c r="S1352" s="202"/>
      <c r="T1352" s="203"/>
      <c r="AT1352" s="204" t="s">
        <v>388</v>
      </c>
      <c r="AU1352" s="204" t="s">
        <v>82</v>
      </c>
      <c r="AV1352" s="13" t="s">
        <v>79</v>
      </c>
      <c r="AW1352" s="13" t="s">
        <v>33</v>
      </c>
      <c r="AX1352" s="13" t="s">
        <v>72</v>
      </c>
      <c r="AY1352" s="204" t="s">
        <v>380</v>
      </c>
    </row>
    <row r="1353" spans="1:65" s="14" customFormat="1" ht="11.25">
      <c r="B1353" s="205"/>
      <c r="C1353" s="206"/>
      <c r="D1353" s="196" t="s">
        <v>388</v>
      </c>
      <c r="E1353" s="207" t="s">
        <v>19</v>
      </c>
      <c r="F1353" s="208" t="s">
        <v>1825</v>
      </c>
      <c r="G1353" s="206"/>
      <c r="H1353" s="209">
        <v>16.600000000000001</v>
      </c>
      <c r="I1353" s="210"/>
      <c r="J1353" s="206"/>
      <c r="K1353" s="206"/>
      <c r="L1353" s="211"/>
      <c r="M1353" s="212"/>
      <c r="N1353" s="213"/>
      <c r="O1353" s="213"/>
      <c r="P1353" s="213"/>
      <c r="Q1353" s="213"/>
      <c r="R1353" s="213"/>
      <c r="S1353" s="213"/>
      <c r="T1353" s="214"/>
      <c r="AT1353" s="215" t="s">
        <v>388</v>
      </c>
      <c r="AU1353" s="215" t="s">
        <v>82</v>
      </c>
      <c r="AV1353" s="14" t="s">
        <v>82</v>
      </c>
      <c r="AW1353" s="14" t="s">
        <v>33</v>
      </c>
      <c r="AX1353" s="14" t="s">
        <v>79</v>
      </c>
      <c r="AY1353" s="215" t="s">
        <v>380</v>
      </c>
    </row>
    <row r="1354" spans="1:65" s="2" customFormat="1" ht="24.2" customHeight="1">
      <c r="A1354" s="36"/>
      <c r="B1354" s="37"/>
      <c r="C1354" s="181" t="s">
        <v>1826</v>
      </c>
      <c r="D1354" s="181" t="s">
        <v>382</v>
      </c>
      <c r="E1354" s="182" t="s">
        <v>1827</v>
      </c>
      <c r="F1354" s="183" t="s">
        <v>1828</v>
      </c>
      <c r="G1354" s="184" t="s">
        <v>452</v>
      </c>
      <c r="H1354" s="185">
        <v>14.4</v>
      </c>
      <c r="I1354" s="186"/>
      <c r="J1354" s="187">
        <f>ROUND(I1354*H1354,2)</f>
        <v>0</v>
      </c>
      <c r="K1354" s="183" t="s">
        <v>19</v>
      </c>
      <c r="L1354" s="41"/>
      <c r="M1354" s="188" t="s">
        <v>19</v>
      </c>
      <c r="N1354" s="189" t="s">
        <v>43</v>
      </c>
      <c r="O1354" s="66"/>
      <c r="P1354" s="190">
        <f>O1354*H1354</f>
        <v>0</v>
      </c>
      <c r="Q1354" s="190">
        <v>2.64E-3</v>
      </c>
      <c r="R1354" s="190">
        <f>Q1354*H1354</f>
        <v>3.8016000000000001E-2</v>
      </c>
      <c r="S1354" s="190">
        <v>0</v>
      </c>
      <c r="T1354" s="191">
        <f>S1354*H1354</f>
        <v>0</v>
      </c>
      <c r="U1354" s="36"/>
      <c r="V1354" s="36"/>
      <c r="W1354" s="36"/>
      <c r="X1354" s="36"/>
      <c r="Y1354" s="36"/>
      <c r="Z1354" s="36"/>
      <c r="AA1354" s="36"/>
      <c r="AB1354" s="36"/>
      <c r="AC1354" s="36"/>
      <c r="AD1354" s="36"/>
      <c r="AE1354" s="36"/>
      <c r="AR1354" s="192" t="s">
        <v>281</v>
      </c>
      <c r="AT1354" s="192" t="s">
        <v>382</v>
      </c>
      <c r="AU1354" s="192" t="s">
        <v>82</v>
      </c>
      <c r="AY1354" s="19" t="s">
        <v>380</v>
      </c>
      <c r="BE1354" s="193">
        <f>IF(N1354="základní",J1354,0)</f>
        <v>0</v>
      </c>
      <c r="BF1354" s="193">
        <f>IF(N1354="snížená",J1354,0)</f>
        <v>0</v>
      </c>
      <c r="BG1354" s="193">
        <f>IF(N1354="zákl. přenesená",J1354,0)</f>
        <v>0</v>
      </c>
      <c r="BH1354" s="193">
        <f>IF(N1354="sníž. přenesená",J1354,0)</f>
        <v>0</v>
      </c>
      <c r="BI1354" s="193">
        <f>IF(N1354="nulová",J1354,0)</f>
        <v>0</v>
      </c>
      <c r="BJ1354" s="19" t="s">
        <v>79</v>
      </c>
      <c r="BK1354" s="193">
        <f>ROUND(I1354*H1354,2)</f>
        <v>0</v>
      </c>
      <c r="BL1354" s="19" t="s">
        <v>281</v>
      </c>
      <c r="BM1354" s="192" t="s">
        <v>1829</v>
      </c>
    </row>
    <row r="1355" spans="1:65" s="13" customFormat="1" ht="11.25">
      <c r="B1355" s="194"/>
      <c r="C1355" s="195"/>
      <c r="D1355" s="196" t="s">
        <v>388</v>
      </c>
      <c r="E1355" s="197" t="s">
        <v>19</v>
      </c>
      <c r="F1355" s="198" t="s">
        <v>1819</v>
      </c>
      <c r="G1355" s="195"/>
      <c r="H1355" s="197" t="s">
        <v>19</v>
      </c>
      <c r="I1355" s="199"/>
      <c r="J1355" s="195"/>
      <c r="K1355" s="195"/>
      <c r="L1355" s="200"/>
      <c r="M1355" s="201"/>
      <c r="N1355" s="202"/>
      <c r="O1355" s="202"/>
      <c r="P1355" s="202"/>
      <c r="Q1355" s="202"/>
      <c r="R1355" s="202"/>
      <c r="S1355" s="202"/>
      <c r="T1355" s="203"/>
      <c r="AT1355" s="204" t="s">
        <v>388</v>
      </c>
      <c r="AU1355" s="204" t="s">
        <v>82</v>
      </c>
      <c r="AV1355" s="13" t="s">
        <v>79</v>
      </c>
      <c r="AW1355" s="13" t="s">
        <v>33</v>
      </c>
      <c r="AX1355" s="13" t="s">
        <v>72</v>
      </c>
      <c r="AY1355" s="204" t="s">
        <v>380</v>
      </c>
    </row>
    <row r="1356" spans="1:65" s="14" customFormat="1" ht="11.25">
      <c r="B1356" s="205"/>
      <c r="C1356" s="206"/>
      <c r="D1356" s="196" t="s">
        <v>388</v>
      </c>
      <c r="E1356" s="207" t="s">
        <v>19</v>
      </c>
      <c r="F1356" s="208" t="s">
        <v>1830</v>
      </c>
      <c r="G1356" s="206"/>
      <c r="H1356" s="209">
        <v>14.4</v>
      </c>
      <c r="I1356" s="210"/>
      <c r="J1356" s="206"/>
      <c r="K1356" s="206"/>
      <c r="L1356" s="211"/>
      <c r="M1356" s="212"/>
      <c r="N1356" s="213"/>
      <c r="O1356" s="213"/>
      <c r="P1356" s="213"/>
      <c r="Q1356" s="213"/>
      <c r="R1356" s="213"/>
      <c r="S1356" s="213"/>
      <c r="T1356" s="214"/>
      <c r="AT1356" s="215" t="s">
        <v>388</v>
      </c>
      <c r="AU1356" s="215" t="s">
        <v>82</v>
      </c>
      <c r="AV1356" s="14" t="s">
        <v>82</v>
      </c>
      <c r="AW1356" s="14" t="s">
        <v>33</v>
      </c>
      <c r="AX1356" s="14" t="s">
        <v>79</v>
      </c>
      <c r="AY1356" s="215" t="s">
        <v>380</v>
      </c>
    </row>
    <row r="1357" spans="1:65" s="2" customFormat="1" ht="24.2" customHeight="1">
      <c r="A1357" s="36"/>
      <c r="B1357" s="37"/>
      <c r="C1357" s="181" t="s">
        <v>1831</v>
      </c>
      <c r="D1357" s="181" t="s">
        <v>382</v>
      </c>
      <c r="E1357" s="182" t="s">
        <v>1832</v>
      </c>
      <c r="F1357" s="183" t="s">
        <v>1833</v>
      </c>
      <c r="G1357" s="184" t="s">
        <v>452</v>
      </c>
      <c r="H1357" s="185">
        <v>4.5</v>
      </c>
      <c r="I1357" s="186"/>
      <c r="J1357" s="187">
        <f>ROUND(I1357*H1357,2)</f>
        <v>0</v>
      </c>
      <c r="K1357" s="183" t="s">
        <v>19</v>
      </c>
      <c r="L1357" s="41"/>
      <c r="M1357" s="188" t="s">
        <v>19</v>
      </c>
      <c r="N1357" s="189" t="s">
        <v>43</v>
      </c>
      <c r="O1357" s="66"/>
      <c r="P1357" s="190">
        <f>O1357*H1357</f>
        <v>0</v>
      </c>
      <c r="Q1357" s="190">
        <v>4.4799999999999996E-3</v>
      </c>
      <c r="R1357" s="190">
        <f>Q1357*H1357</f>
        <v>2.0159999999999997E-2</v>
      </c>
      <c r="S1357" s="190">
        <v>0</v>
      </c>
      <c r="T1357" s="191">
        <f>S1357*H1357</f>
        <v>0</v>
      </c>
      <c r="U1357" s="36"/>
      <c r="V1357" s="36"/>
      <c r="W1357" s="36"/>
      <c r="X1357" s="36"/>
      <c r="Y1357" s="36"/>
      <c r="Z1357" s="36"/>
      <c r="AA1357" s="36"/>
      <c r="AB1357" s="36"/>
      <c r="AC1357" s="36"/>
      <c r="AD1357" s="36"/>
      <c r="AE1357" s="36"/>
      <c r="AR1357" s="192" t="s">
        <v>281</v>
      </c>
      <c r="AT1357" s="192" t="s">
        <v>382</v>
      </c>
      <c r="AU1357" s="192" t="s">
        <v>82</v>
      </c>
      <c r="AY1357" s="19" t="s">
        <v>380</v>
      </c>
      <c r="BE1357" s="193">
        <f>IF(N1357="základní",J1357,0)</f>
        <v>0</v>
      </c>
      <c r="BF1357" s="193">
        <f>IF(N1357="snížená",J1357,0)</f>
        <v>0</v>
      </c>
      <c r="BG1357" s="193">
        <f>IF(N1357="zákl. přenesená",J1357,0)</f>
        <v>0</v>
      </c>
      <c r="BH1357" s="193">
        <f>IF(N1357="sníž. přenesená",J1357,0)</f>
        <v>0</v>
      </c>
      <c r="BI1357" s="193">
        <f>IF(N1357="nulová",J1357,0)</f>
        <v>0</v>
      </c>
      <c r="BJ1357" s="19" t="s">
        <v>79</v>
      </c>
      <c r="BK1357" s="193">
        <f>ROUND(I1357*H1357,2)</f>
        <v>0</v>
      </c>
      <c r="BL1357" s="19" t="s">
        <v>281</v>
      </c>
      <c r="BM1357" s="192" t="s">
        <v>1834</v>
      </c>
    </row>
    <row r="1358" spans="1:65" s="13" customFormat="1" ht="11.25">
      <c r="B1358" s="194"/>
      <c r="C1358" s="195"/>
      <c r="D1358" s="196" t="s">
        <v>388</v>
      </c>
      <c r="E1358" s="197" t="s">
        <v>19</v>
      </c>
      <c r="F1358" s="198" t="s">
        <v>1819</v>
      </c>
      <c r="G1358" s="195"/>
      <c r="H1358" s="197" t="s">
        <v>19</v>
      </c>
      <c r="I1358" s="199"/>
      <c r="J1358" s="195"/>
      <c r="K1358" s="195"/>
      <c r="L1358" s="200"/>
      <c r="M1358" s="201"/>
      <c r="N1358" s="202"/>
      <c r="O1358" s="202"/>
      <c r="P1358" s="202"/>
      <c r="Q1358" s="202"/>
      <c r="R1358" s="202"/>
      <c r="S1358" s="202"/>
      <c r="T1358" s="203"/>
      <c r="AT1358" s="204" t="s">
        <v>388</v>
      </c>
      <c r="AU1358" s="204" t="s">
        <v>82</v>
      </c>
      <c r="AV1358" s="13" t="s">
        <v>79</v>
      </c>
      <c r="AW1358" s="13" t="s">
        <v>33</v>
      </c>
      <c r="AX1358" s="13" t="s">
        <v>72</v>
      </c>
      <c r="AY1358" s="204" t="s">
        <v>380</v>
      </c>
    </row>
    <row r="1359" spans="1:65" s="14" customFormat="1" ht="11.25">
      <c r="B1359" s="205"/>
      <c r="C1359" s="206"/>
      <c r="D1359" s="196" t="s">
        <v>388</v>
      </c>
      <c r="E1359" s="207" t="s">
        <v>19</v>
      </c>
      <c r="F1359" s="208" t="s">
        <v>1835</v>
      </c>
      <c r="G1359" s="206"/>
      <c r="H1359" s="209">
        <v>4.5</v>
      </c>
      <c r="I1359" s="210"/>
      <c r="J1359" s="206"/>
      <c r="K1359" s="206"/>
      <c r="L1359" s="211"/>
      <c r="M1359" s="212"/>
      <c r="N1359" s="213"/>
      <c r="O1359" s="213"/>
      <c r="P1359" s="213"/>
      <c r="Q1359" s="213"/>
      <c r="R1359" s="213"/>
      <c r="S1359" s="213"/>
      <c r="T1359" s="214"/>
      <c r="AT1359" s="215" t="s">
        <v>388</v>
      </c>
      <c r="AU1359" s="215" t="s">
        <v>82</v>
      </c>
      <c r="AV1359" s="14" t="s">
        <v>82</v>
      </c>
      <c r="AW1359" s="14" t="s">
        <v>33</v>
      </c>
      <c r="AX1359" s="14" t="s">
        <v>79</v>
      </c>
      <c r="AY1359" s="215" t="s">
        <v>380</v>
      </c>
    </row>
    <row r="1360" spans="1:65" s="2" customFormat="1" ht="24.2" customHeight="1">
      <c r="A1360" s="36"/>
      <c r="B1360" s="37"/>
      <c r="C1360" s="181" t="s">
        <v>1836</v>
      </c>
      <c r="D1360" s="181" t="s">
        <v>382</v>
      </c>
      <c r="E1360" s="182" t="s">
        <v>1837</v>
      </c>
      <c r="F1360" s="183" t="s">
        <v>1838</v>
      </c>
      <c r="G1360" s="184" t="s">
        <v>398</v>
      </c>
      <c r="H1360" s="185">
        <v>199.875</v>
      </c>
      <c r="I1360" s="186"/>
      <c r="J1360" s="187">
        <f>ROUND(I1360*H1360,2)</f>
        <v>0</v>
      </c>
      <c r="K1360" s="183" t="s">
        <v>399</v>
      </c>
      <c r="L1360" s="41"/>
      <c r="M1360" s="188" t="s">
        <v>19</v>
      </c>
      <c r="N1360" s="189" t="s">
        <v>43</v>
      </c>
      <c r="O1360" s="66"/>
      <c r="P1360" s="190">
        <f>O1360*H1360</f>
        <v>0</v>
      </c>
      <c r="Q1360" s="190">
        <v>5.3713600000000004E-3</v>
      </c>
      <c r="R1360" s="190">
        <f>Q1360*H1360</f>
        <v>1.0736005800000001</v>
      </c>
      <c r="S1360" s="190">
        <v>0</v>
      </c>
      <c r="T1360" s="191">
        <f>S1360*H1360</f>
        <v>0</v>
      </c>
      <c r="U1360" s="36"/>
      <c r="V1360" s="36"/>
      <c r="W1360" s="36"/>
      <c r="X1360" s="36"/>
      <c r="Y1360" s="36"/>
      <c r="Z1360" s="36"/>
      <c r="AA1360" s="36"/>
      <c r="AB1360" s="36"/>
      <c r="AC1360" s="36"/>
      <c r="AD1360" s="36"/>
      <c r="AE1360" s="36"/>
      <c r="AR1360" s="192" t="s">
        <v>281</v>
      </c>
      <c r="AT1360" s="192" t="s">
        <v>382</v>
      </c>
      <c r="AU1360" s="192" t="s">
        <v>82</v>
      </c>
      <c r="AY1360" s="19" t="s">
        <v>380</v>
      </c>
      <c r="BE1360" s="193">
        <f>IF(N1360="základní",J1360,0)</f>
        <v>0</v>
      </c>
      <c r="BF1360" s="193">
        <f>IF(N1360="snížená",J1360,0)</f>
        <v>0</v>
      </c>
      <c r="BG1360" s="193">
        <f>IF(N1360="zákl. přenesená",J1360,0)</f>
        <v>0</v>
      </c>
      <c r="BH1360" s="193">
        <f>IF(N1360="sníž. přenesená",J1360,0)</f>
        <v>0</v>
      </c>
      <c r="BI1360" s="193">
        <f>IF(N1360="nulová",J1360,0)</f>
        <v>0</v>
      </c>
      <c r="BJ1360" s="19" t="s">
        <v>79</v>
      </c>
      <c r="BK1360" s="193">
        <f>ROUND(I1360*H1360,2)</f>
        <v>0</v>
      </c>
      <c r="BL1360" s="19" t="s">
        <v>281</v>
      </c>
      <c r="BM1360" s="192" t="s">
        <v>1839</v>
      </c>
    </row>
    <row r="1361" spans="1:65" s="13" customFormat="1" ht="11.25">
      <c r="B1361" s="194"/>
      <c r="C1361" s="195"/>
      <c r="D1361" s="196" t="s">
        <v>388</v>
      </c>
      <c r="E1361" s="197" t="s">
        <v>19</v>
      </c>
      <c r="F1361" s="198" t="s">
        <v>1819</v>
      </c>
      <c r="G1361" s="195"/>
      <c r="H1361" s="197" t="s">
        <v>19</v>
      </c>
      <c r="I1361" s="199"/>
      <c r="J1361" s="195"/>
      <c r="K1361" s="195"/>
      <c r="L1361" s="200"/>
      <c r="M1361" s="201"/>
      <c r="N1361" s="202"/>
      <c r="O1361" s="202"/>
      <c r="P1361" s="202"/>
      <c r="Q1361" s="202"/>
      <c r="R1361" s="202"/>
      <c r="S1361" s="202"/>
      <c r="T1361" s="203"/>
      <c r="AT1361" s="204" t="s">
        <v>388</v>
      </c>
      <c r="AU1361" s="204" t="s">
        <v>82</v>
      </c>
      <c r="AV1361" s="13" t="s">
        <v>79</v>
      </c>
      <c r="AW1361" s="13" t="s">
        <v>33</v>
      </c>
      <c r="AX1361" s="13" t="s">
        <v>72</v>
      </c>
      <c r="AY1361" s="204" t="s">
        <v>380</v>
      </c>
    </row>
    <row r="1362" spans="1:65" s="13" customFormat="1" ht="11.25">
      <c r="B1362" s="194"/>
      <c r="C1362" s="195"/>
      <c r="D1362" s="196" t="s">
        <v>388</v>
      </c>
      <c r="E1362" s="197" t="s">
        <v>19</v>
      </c>
      <c r="F1362" s="198" t="s">
        <v>1840</v>
      </c>
      <c r="G1362" s="195"/>
      <c r="H1362" s="197" t="s">
        <v>19</v>
      </c>
      <c r="I1362" s="199"/>
      <c r="J1362" s="195"/>
      <c r="K1362" s="195"/>
      <c r="L1362" s="200"/>
      <c r="M1362" s="201"/>
      <c r="N1362" s="202"/>
      <c r="O1362" s="202"/>
      <c r="P1362" s="202"/>
      <c r="Q1362" s="202"/>
      <c r="R1362" s="202"/>
      <c r="S1362" s="202"/>
      <c r="T1362" s="203"/>
      <c r="AT1362" s="204" t="s">
        <v>388</v>
      </c>
      <c r="AU1362" s="204" t="s">
        <v>82</v>
      </c>
      <c r="AV1362" s="13" t="s">
        <v>79</v>
      </c>
      <c r="AW1362" s="13" t="s">
        <v>33</v>
      </c>
      <c r="AX1362" s="13" t="s">
        <v>72</v>
      </c>
      <c r="AY1362" s="204" t="s">
        <v>380</v>
      </c>
    </row>
    <row r="1363" spans="1:65" s="14" customFormat="1" ht="11.25">
      <c r="B1363" s="205"/>
      <c r="C1363" s="206"/>
      <c r="D1363" s="196" t="s">
        <v>388</v>
      </c>
      <c r="E1363" s="207" t="s">
        <v>19</v>
      </c>
      <c r="F1363" s="208" t="s">
        <v>1841</v>
      </c>
      <c r="G1363" s="206"/>
      <c r="H1363" s="209">
        <v>77.52</v>
      </c>
      <c r="I1363" s="210"/>
      <c r="J1363" s="206"/>
      <c r="K1363" s="206"/>
      <c r="L1363" s="211"/>
      <c r="M1363" s="212"/>
      <c r="N1363" s="213"/>
      <c r="O1363" s="213"/>
      <c r="P1363" s="213"/>
      <c r="Q1363" s="213"/>
      <c r="R1363" s="213"/>
      <c r="S1363" s="213"/>
      <c r="T1363" s="214"/>
      <c r="AT1363" s="215" t="s">
        <v>388</v>
      </c>
      <c r="AU1363" s="215" t="s">
        <v>82</v>
      </c>
      <c r="AV1363" s="14" t="s">
        <v>82</v>
      </c>
      <c r="AW1363" s="14" t="s">
        <v>33</v>
      </c>
      <c r="AX1363" s="14" t="s">
        <v>72</v>
      </c>
      <c r="AY1363" s="215" t="s">
        <v>380</v>
      </c>
    </row>
    <row r="1364" spans="1:65" s="13" customFormat="1" ht="11.25">
      <c r="B1364" s="194"/>
      <c r="C1364" s="195"/>
      <c r="D1364" s="196" t="s">
        <v>388</v>
      </c>
      <c r="E1364" s="197" t="s">
        <v>19</v>
      </c>
      <c r="F1364" s="198" t="s">
        <v>1842</v>
      </c>
      <c r="G1364" s="195"/>
      <c r="H1364" s="197" t="s">
        <v>19</v>
      </c>
      <c r="I1364" s="199"/>
      <c r="J1364" s="195"/>
      <c r="K1364" s="195"/>
      <c r="L1364" s="200"/>
      <c r="M1364" s="201"/>
      <c r="N1364" s="202"/>
      <c r="O1364" s="202"/>
      <c r="P1364" s="202"/>
      <c r="Q1364" s="202"/>
      <c r="R1364" s="202"/>
      <c r="S1364" s="202"/>
      <c r="T1364" s="203"/>
      <c r="AT1364" s="204" t="s">
        <v>388</v>
      </c>
      <c r="AU1364" s="204" t="s">
        <v>82</v>
      </c>
      <c r="AV1364" s="13" t="s">
        <v>79</v>
      </c>
      <c r="AW1364" s="13" t="s">
        <v>33</v>
      </c>
      <c r="AX1364" s="13" t="s">
        <v>72</v>
      </c>
      <c r="AY1364" s="204" t="s">
        <v>380</v>
      </c>
    </row>
    <row r="1365" spans="1:65" s="14" customFormat="1" ht="11.25">
      <c r="B1365" s="205"/>
      <c r="C1365" s="206"/>
      <c r="D1365" s="196" t="s">
        <v>388</v>
      </c>
      <c r="E1365" s="207" t="s">
        <v>19</v>
      </c>
      <c r="F1365" s="208" t="s">
        <v>1843</v>
      </c>
      <c r="G1365" s="206"/>
      <c r="H1365" s="209">
        <v>32.643000000000001</v>
      </c>
      <c r="I1365" s="210"/>
      <c r="J1365" s="206"/>
      <c r="K1365" s="206"/>
      <c r="L1365" s="211"/>
      <c r="M1365" s="212"/>
      <c r="N1365" s="213"/>
      <c r="O1365" s="213"/>
      <c r="P1365" s="213"/>
      <c r="Q1365" s="213"/>
      <c r="R1365" s="213"/>
      <c r="S1365" s="213"/>
      <c r="T1365" s="214"/>
      <c r="AT1365" s="215" t="s">
        <v>388</v>
      </c>
      <c r="AU1365" s="215" t="s">
        <v>82</v>
      </c>
      <c r="AV1365" s="14" t="s">
        <v>82</v>
      </c>
      <c r="AW1365" s="14" t="s">
        <v>33</v>
      </c>
      <c r="AX1365" s="14" t="s">
        <v>72</v>
      </c>
      <c r="AY1365" s="215" t="s">
        <v>380</v>
      </c>
    </row>
    <row r="1366" spans="1:65" s="13" customFormat="1" ht="11.25">
      <c r="B1366" s="194"/>
      <c r="C1366" s="195"/>
      <c r="D1366" s="196" t="s">
        <v>388</v>
      </c>
      <c r="E1366" s="197" t="s">
        <v>19</v>
      </c>
      <c r="F1366" s="198" t="s">
        <v>1844</v>
      </c>
      <c r="G1366" s="195"/>
      <c r="H1366" s="197" t="s">
        <v>19</v>
      </c>
      <c r="I1366" s="199"/>
      <c r="J1366" s="195"/>
      <c r="K1366" s="195"/>
      <c r="L1366" s="200"/>
      <c r="M1366" s="201"/>
      <c r="N1366" s="202"/>
      <c r="O1366" s="202"/>
      <c r="P1366" s="202"/>
      <c r="Q1366" s="202"/>
      <c r="R1366" s="202"/>
      <c r="S1366" s="202"/>
      <c r="T1366" s="203"/>
      <c r="AT1366" s="204" t="s">
        <v>388</v>
      </c>
      <c r="AU1366" s="204" t="s">
        <v>82</v>
      </c>
      <c r="AV1366" s="13" t="s">
        <v>79</v>
      </c>
      <c r="AW1366" s="13" t="s">
        <v>33</v>
      </c>
      <c r="AX1366" s="13" t="s">
        <v>72</v>
      </c>
      <c r="AY1366" s="204" t="s">
        <v>380</v>
      </c>
    </row>
    <row r="1367" spans="1:65" s="14" customFormat="1" ht="11.25">
      <c r="B1367" s="205"/>
      <c r="C1367" s="206"/>
      <c r="D1367" s="196" t="s">
        <v>388</v>
      </c>
      <c r="E1367" s="207" t="s">
        <v>19</v>
      </c>
      <c r="F1367" s="208" t="s">
        <v>1845</v>
      </c>
      <c r="G1367" s="206"/>
      <c r="H1367" s="209">
        <v>89.712000000000003</v>
      </c>
      <c r="I1367" s="210"/>
      <c r="J1367" s="206"/>
      <c r="K1367" s="206"/>
      <c r="L1367" s="211"/>
      <c r="M1367" s="212"/>
      <c r="N1367" s="213"/>
      <c r="O1367" s="213"/>
      <c r="P1367" s="213"/>
      <c r="Q1367" s="213"/>
      <c r="R1367" s="213"/>
      <c r="S1367" s="213"/>
      <c r="T1367" s="214"/>
      <c r="AT1367" s="215" t="s">
        <v>388</v>
      </c>
      <c r="AU1367" s="215" t="s">
        <v>82</v>
      </c>
      <c r="AV1367" s="14" t="s">
        <v>82</v>
      </c>
      <c r="AW1367" s="14" t="s">
        <v>33</v>
      </c>
      <c r="AX1367" s="14" t="s">
        <v>72</v>
      </c>
      <c r="AY1367" s="215" t="s">
        <v>380</v>
      </c>
    </row>
    <row r="1368" spans="1:65" s="15" customFormat="1" ht="11.25">
      <c r="B1368" s="216"/>
      <c r="C1368" s="217"/>
      <c r="D1368" s="196" t="s">
        <v>388</v>
      </c>
      <c r="E1368" s="218" t="s">
        <v>19</v>
      </c>
      <c r="F1368" s="219" t="s">
        <v>419</v>
      </c>
      <c r="G1368" s="217"/>
      <c r="H1368" s="220">
        <v>199.875</v>
      </c>
      <c r="I1368" s="221"/>
      <c r="J1368" s="217"/>
      <c r="K1368" s="217"/>
      <c r="L1368" s="222"/>
      <c r="M1368" s="223"/>
      <c r="N1368" s="224"/>
      <c r="O1368" s="224"/>
      <c r="P1368" s="224"/>
      <c r="Q1368" s="224"/>
      <c r="R1368" s="224"/>
      <c r="S1368" s="224"/>
      <c r="T1368" s="225"/>
      <c r="AT1368" s="226" t="s">
        <v>388</v>
      </c>
      <c r="AU1368" s="226" t="s">
        <v>82</v>
      </c>
      <c r="AV1368" s="15" t="s">
        <v>386</v>
      </c>
      <c r="AW1368" s="15" t="s">
        <v>33</v>
      </c>
      <c r="AX1368" s="15" t="s">
        <v>79</v>
      </c>
      <c r="AY1368" s="226" t="s">
        <v>380</v>
      </c>
    </row>
    <row r="1369" spans="1:65" s="2" customFormat="1" ht="24.2" customHeight="1">
      <c r="A1369" s="36"/>
      <c r="B1369" s="37"/>
      <c r="C1369" s="181" t="s">
        <v>1846</v>
      </c>
      <c r="D1369" s="181" t="s">
        <v>382</v>
      </c>
      <c r="E1369" s="182" t="s">
        <v>1847</v>
      </c>
      <c r="F1369" s="183" t="s">
        <v>1848</v>
      </c>
      <c r="G1369" s="184" t="s">
        <v>452</v>
      </c>
      <c r="H1369" s="185">
        <v>4.5</v>
      </c>
      <c r="I1369" s="186"/>
      <c r="J1369" s="187">
        <f>ROUND(I1369*H1369,2)</f>
        <v>0</v>
      </c>
      <c r="K1369" s="183" t="s">
        <v>19</v>
      </c>
      <c r="L1369" s="41"/>
      <c r="M1369" s="188" t="s">
        <v>19</v>
      </c>
      <c r="N1369" s="189" t="s">
        <v>43</v>
      </c>
      <c r="O1369" s="66"/>
      <c r="P1369" s="190">
        <f>O1369*H1369</f>
        <v>0</v>
      </c>
      <c r="Q1369" s="190">
        <v>1.2199999999999999E-3</v>
      </c>
      <c r="R1369" s="190">
        <f>Q1369*H1369</f>
        <v>5.4900000000000001E-3</v>
      </c>
      <c r="S1369" s="190">
        <v>0</v>
      </c>
      <c r="T1369" s="191">
        <f>S1369*H1369</f>
        <v>0</v>
      </c>
      <c r="U1369" s="36"/>
      <c r="V1369" s="36"/>
      <c r="W1369" s="36"/>
      <c r="X1369" s="36"/>
      <c r="Y1369" s="36"/>
      <c r="Z1369" s="36"/>
      <c r="AA1369" s="36"/>
      <c r="AB1369" s="36"/>
      <c r="AC1369" s="36"/>
      <c r="AD1369" s="36"/>
      <c r="AE1369" s="36"/>
      <c r="AR1369" s="192" t="s">
        <v>281</v>
      </c>
      <c r="AT1369" s="192" t="s">
        <v>382</v>
      </c>
      <c r="AU1369" s="192" t="s">
        <v>82</v>
      </c>
      <c r="AY1369" s="19" t="s">
        <v>380</v>
      </c>
      <c r="BE1369" s="193">
        <f>IF(N1369="základní",J1369,0)</f>
        <v>0</v>
      </c>
      <c r="BF1369" s="193">
        <f>IF(N1369="snížená",J1369,0)</f>
        <v>0</v>
      </c>
      <c r="BG1369" s="193">
        <f>IF(N1369="zákl. přenesená",J1369,0)</f>
        <v>0</v>
      </c>
      <c r="BH1369" s="193">
        <f>IF(N1369="sníž. přenesená",J1369,0)</f>
        <v>0</v>
      </c>
      <c r="BI1369" s="193">
        <f>IF(N1369="nulová",J1369,0)</f>
        <v>0</v>
      </c>
      <c r="BJ1369" s="19" t="s">
        <v>79</v>
      </c>
      <c r="BK1369" s="193">
        <f>ROUND(I1369*H1369,2)</f>
        <v>0</v>
      </c>
      <c r="BL1369" s="19" t="s">
        <v>281</v>
      </c>
      <c r="BM1369" s="192" t="s">
        <v>1849</v>
      </c>
    </row>
    <row r="1370" spans="1:65" s="13" customFormat="1" ht="11.25">
      <c r="B1370" s="194"/>
      <c r="C1370" s="195"/>
      <c r="D1370" s="196" t="s">
        <v>388</v>
      </c>
      <c r="E1370" s="197" t="s">
        <v>19</v>
      </c>
      <c r="F1370" s="198" t="s">
        <v>1819</v>
      </c>
      <c r="G1370" s="195"/>
      <c r="H1370" s="197" t="s">
        <v>19</v>
      </c>
      <c r="I1370" s="199"/>
      <c r="J1370" s="195"/>
      <c r="K1370" s="195"/>
      <c r="L1370" s="200"/>
      <c r="M1370" s="201"/>
      <c r="N1370" s="202"/>
      <c r="O1370" s="202"/>
      <c r="P1370" s="202"/>
      <c r="Q1370" s="202"/>
      <c r="R1370" s="202"/>
      <c r="S1370" s="202"/>
      <c r="T1370" s="203"/>
      <c r="AT1370" s="204" t="s">
        <v>388</v>
      </c>
      <c r="AU1370" s="204" t="s">
        <v>82</v>
      </c>
      <c r="AV1370" s="13" t="s">
        <v>79</v>
      </c>
      <c r="AW1370" s="13" t="s">
        <v>33</v>
      </c>
      <c r="AX1370" s="13" t="s">
        <v>72</v>
      </c>
      <c r="AY1370" s="204" t="s">
        <v>380</v>
      </c>
    </row>
    <row r="1371" spans="1:65" s="14" customFormat="1" ht="11.25">
      <c r="B1371" s="205"/>
      <c r="C1371" s="206"/>
      <c r="D1371" s="196" t="s">
        <v>388</v>
      </c>
      <c r="E1371" s="207" t="s">
        <v>19</v>
      </c>
      <c r="F1371" s="208" t="s">
        <v>1835</v>
      </c>
      <c r="G1371" s="206"/>
      <c r="H1371" s="209">
        <v>4.5</v>
      </c>
      <c r="I1371" s="210"/>
      <c r="J1371" s="206"/>
      <c r="K1371" s="206"/>
      <c r="L1371" s="211"/>
      <c r="M1371" s="212"/>
      <c r="N1371" s="213"/>
      <c r="O1371" s="213"/>
      <c r="P1371" s="213"/>
      <c r="Q1371" s="213"/>
      <c r="R1371" s="213"/>
      <c r="S1371" s="213"/>
      <c r="T1371" s="214"/>
      <c r="AT1371" s="215" t="s">
        <v>388</v>
      </c>
      <c r="AU1371" s="215" t="s">
        <v>82</v>
      </c>
      <c r="AV1371" s="14" t="s">
        <v>82</v>
      </c>
      <c r="AW1371" s="14" t="s">
        <v>33</v>
      </c>
      <c r="AX1371" s="14" t="s">
        <v>79</v>
      </c>
      <c r="AY1371" s="215" t="s">
        <v>380</v>
      </c>
    </row>
    <row r="1372" spans="1:65" s="2" customFormat="1" ht="24.2" customHeight="1">
      <c r="A1372" s="36"/>
      <c r="B1372" s="37"/>
      <c r="C1372" s="181" t="s">
        <v>1850</v>
      </c>
      <c r="D1372" s="181" t="s">
        <v>382</v>
      </c>
      <c r="E1372" s="182" t="s">
        <v>1851</v>
      </c>
      <c r="F1372" s="183" t="s">
        <v>1852</v>
      </c>
      <c r="G1372" s="184" t="s">
        <v>398</v>
      </c>
      <c r="H1372" s="185">
        <v>45.15</v>
      </c>
      <c r="I1372" s="186"/>
      <c r="J1372" s="187">
        <f>ROUND(I1372*H1372,2)</f>
        <v>0</v>
      </c>
      <c r="K1372" s="183" t="s">
        <v>19</v>
      </c>
      <c r="L1372" s="41"/>
      <c r="M1372" s="188" t="s">
        <v>19</v>
      </c>
      <c r="N1372" s="189" t="s">
        <v>43</v>
      </c>
      <c r="O1372" s="66"/>
      <c r="P1372" s="190">
        <f>O1372*H1372</f>
        <v>0</v>
      </c>
      <c r="Q1372" s="190">
        <v>6.8399999999999997E-3</v>
      </c>
      <c r="R1372" s="190">
        <f>Q1372*H1372</f>
        <v>0.30882599999999999</v>
      </c>
      <c r="S1372" s="190">
        <v>0</v>
      </c>
      <c r="T1372" s="191">
        <f>S1372*H1372</f>
        <v>0</v>
      </c>
      <c r="U1372" s="36"/>
      <c r="V1372" s="36"/>
      <c r="W1372" s="36"/>
      <c r="X1372" s="36"/>
      <c r="Y1372" s="36"/>
      <c r="Z1372" s="36"/>
      <c r="AA1372" s="36"/>
      <c r="AB1372" s="36"/>
      <c r="AC1372" s="36"/>
      <c r="AD1372" s="36"/>
      <c r="AE1372" s="36"/>
      <c r="AR1372" s="192" t="s">
        <v>281</v>
      </c>
      <c r="AT1372" s="192" t="s">
        <v>382</v>
      </c>
      <c r="AU1372" s="192" t="s">
        <v>82</v>
      </c>
      <c r="AY1372" s="19" t="s">
        <v>380</v>
      </c>
      <c r="BE1372" s="193">
        <f>IF(N1372="základní",J1372,0)</f>
        <v>0</v>
      </c>
      <c r="BF1372" s="193">
        <f>IF(N1372="snížená",J1372,0)</f>
        <v>0</v>
      </c>
      <c r="BG1372" s="193">
        <f>IF(N1372="zákl. přenesená",J1372,0)</f>
        <v>0</v>
      </c>
      <c r="BH1372" s="193">
        <f>IF(N1372="sníž. přenesená",J1372,0)</f>
        <v>0</v>
      </c>
      <c r="BI1372" s="193">
        <f>IF(N1372="nulová",J1372,0)</f>
        <v>0</v>
      </c>
      <c r="BJ1372" s="19" t="s">
        <v>79</v>
      </c>
      <c r="BK1372" s="193">
        <f>ROUND(I1372*H1372,2)</f>
        <v>0</v>
      </c>
      <c r="BL1372" s="19" t="s">
        <v>281</v>
      </c>
      <c r="BM1372" s="192" t="s">
        <v>1853</v>
      </c>
    </row>
    <row r="1373" spans="1:65" s="13" customFormat="1" ht="11.25">
      <c r="B1373" s="194"/>
      <c r="C1373" s="195"/>
      <c r="D1373" s="196" t="s">
        <v>388</v>
      </c>
      <c r="E1373" s="197" t="s">
        <v>19</v>
      </c>
      <c r="F1373" s="198" t="s">
        <v>1735</v>
      </c>
      <c r="G1373" s="195"/>
      <c r="H1373" s="197" t="s">
        <v>19</v>
      </c>
      <c r="I1373" s="199"/>
      <c r="J1373" s="195"/>
      <c r="K1373" s="195"/>
      <c r="L1373" s="200"/>
      <c r="M1373" s="201"/>
      <c r="N1373" s="202"/>
      <c r="O1373" s="202"/>
      <c r="P1373" s="202"/>
      <c r="Q1373" s="202"/>
      <c r="R1373" s="202"/>
      <c r="S1373" s="202"/>
      <c r="T1373" s="203"/>
      <c r="AT1373" s="204" t="s">
        <v>388</v>
      </c>
      <c r="AU1373" s="204" t="s">
        <v>82</v>
      </c>
      <c r="AV1373" s="13" t="s">
        <v>79</v>
      </c>
      <c r="AW1373" s="13" t="s">
        <v>33</v>
      </c>
      <c r="AX1373" s="13" t="s">
        <v>72</v>
      </c>
      <c r="AY1373" s="204" t="s">
        <v>380</v>
      </c>
    </row>
    <row r="1374" spans="1:65" s="14" customFormat="1" ht="11.25">
      <c r="B1374" s="205"/>
      <c r="C1374" s="206"/>
      <c r="D1374" s="196" t="s">
        <v>388</v>
      </c>
      <c r="E1374" s="207" t="s">
        <v>19</v>
      </c>
      <c r="F1374" s="208" t="s">
        <v>1854</v>
      </c>
      <c r="G1374" s="206"/>
      <c r="H1374" s="209">
        <v>45.15</v>
      </c>
      <c r="I1374" s="210"/>
      <c r="J1374" s="206"/>
      <c r="K1374" s="206"/>
      <c r="L1374" s="211"/>
      <c r="M1374" s="212"/>
      <c r="N1374" s="213"/>
      <c r="O1374" s="213"/>
      <c r="P1374" s="213"/>
      <c r="Q1374" s="213"/>
      <c r="R1374" s="213"/>
      <c r="S1374" s="213"/>
      <c r="T1374" s="214"/>
      <c r="AT1374" s="215" t="s">
        <v>388</v>
      </c>
      <c r="AU1374" s="215" t="s">
        <v>82</v>
      </c>
      <c r="AV1374" s="14" t="s">
        <v>82</v>
      </c>
      <c r="AW1374" s="14" t="s">
        <v>33</v>
      </c>
      <c r="AX1374" s="14" t="s">
        <v>79</v>
      </c>
      <c r="AY1374" s="215" t="s">
        <v>380</v>
      </c>
    </row>
    <row r="1375" spans="1:65" s="2" customFormat="1" ht="24.2" customHeight="1">
      <c r="A1375" s="36"/>
      <c r="B1375" s="37"/>
      <c r="C1375" s="181" t="s">
        <v>1855</v>
      </c>
      <c r="D1375" s="181" t="s">
        <v>382</v>
      </c>
      <c r="E1375" s="182" t="s">
        <v>1856</v>
      </c>
      <c r="F1375" s="183" t="s">
        <v>1857</v>
      </c>
      <c r="G1375" s="184" t="s">
        <v>398</v>
      </c>
      <c r="H1375" s="185">
        <v>61.4</v>
      </c>
      <c r="I1375" s="186"/>
      <c r="J1375" s="187">
        <f>ROUND(I1375*H1375,2)</f>
        <v>0</v>
      </c>
      <c r="K1375" s="183" t="s">
        <v>19</v>
      </c>
      <c r="L1375" s="41"/>
      <c r="M1375" s="188" t="s">
        <v>19</v>
      </c>
      <c r="N1375" s="189" t="s">
        <v>43</v>
      </c>
      <c r="O1375" s="66"/>
      <c r="P1375" s="190">
        <f>O1375*H1375</f>
        <v>0</v>
      </c>
      <c r="Q1375" s="190">
        <v>6.8399999999999997E-3</v>
      </c>
      <c r="R1375" s="190">
        <f>Q1375*H1375</f>
        <v>0.41997599999999996</v>
      </c>
      <c r="S1375" s="190">
        <v>0</v>
      </c>
      <c r="T1375" s="191">
        <f>S1375*H1375</f>
        <v>0</v>
      </c>
      <c r="U1375" s="36"/>
      <c r="V1375" s="36"/>
      <c r="W1375" s="36"/>
      <c r="X1375" s="36"/>
      <c r="Y1375" s="36"/>
      <c r="Z1375" s="36"/>
      <c r="AA1375" s="36"/>
      <c r="AB1375" s="36"/>
      <c r="AC1375" s="36"/>
      <c r="AD1375" s="36"/>
      <c r="AE1375" s="36"/>
      <c r="AR1375" s="192" t="s">
        <v>281</v>
      </c>
      <c r="AT1375" s="192" t="s">
        <v>382</v>
      </c>
      <c r="AU1375" s="192" t="s">
        <v>82</v>
      </c>
      <c r="AY1375" s="19" t="s">
        <v>380</v>
      </c>
      <c r="BE1375" s="193">
        <f>IF(N1375="základní",J1375,0)</f>
        <v>0</v>
      </c>
      <c r="BF1375" s="193">
        <f>IF(N1375="snížená",J1375,0)</f>
        <v>0</v>
      </c>
      <c r="BG1375" s="193">
        <f>IF(N1375="zákl. přenesená",J1375,0)</f>
        <v>0</v>
      </c>
      <c r="BH1375" s="193">
        <f>IF(N1375="sníž. přenesená",J1375,0)</f>
        <v>0</v>
      </c>
      <c r="BI1375" s="193">
        <f>IF(N1375="nulová",J1375,0)</f>
        <v>0</v>
      </c>
      <c r="BJ1375" s="19" t="s">
        <v>79</v>
      </c>
      <c r="BK1375" s="193">
        <f>ROUND(I1375*H1375,2)</f>
        <v>0</v>
      </c>
      <c r="BL1375" s="19" t="s">
        <v>281</v>
      </c>
      <c r="BM1375" s="192" t="s">
        <v>1858</v>
      </c>
    </row>
    <row r="1376" spans="1:65" s="13" customFormat="1" ht="11.25">
      <c r="B1376" s="194"/>
      <c r="C1376" s="195"/>
      <c r="D1376" s="196" t="s">
        <v>388</v>
      </c>
      <c r="E1376" s="197" t="s">
        <v>19</v>
      </c>
      <c r="F1376" s="198" t="s">
        <v>1730</v>
      </c>
      <c r="G1376" s="195"/>
      <c r="H1376" s="197" t="s">
        <v>19</v>
      </c>
      <c r="I1376" s="199"/>
      <c r="J1376" s="195"/>
      <c r="K1376" s="195"/>
      <c r="L1376" s="200"/>
      <c r="M1376" s="201"/>
      <c r="N1376" s="202"/>
      <c r="O1376" s="202"/>
      <c r="P1376" s="202"/>
      <c r="Q1376" s="202"/>
      <c r="R1376" s="202"/>
      <c r="S1376" s="202"/>
      <c r="T1376" s="203"/>
      <c r="AT1376" s="204" t="s">
        <v>388</v>
      </c>
      <c r="AU1376" s="204" t="s">
        <v>82</v>
      </c>
      <c r="AV1376" s="13" t="s">
        <v>79</v>
      </c>
      <c r="AW1376" s="13" t="s">
        <v>33</v>
      </c>
      <c r="AX1376" s="13" t="s">
        <v>72</v>
      </c>
      <c r="AY1376" s="204" t="s">
        <v>380</v>
      </c>
    </row>
    <row r="1377" spans="1:65" s="13" customFormat="1" ht="11.25">
      <c r="B1377" s="194"/>
      <c r="C1377" s="195"/>
      <c r="D1377" s="196" t="s">
        <v>388</v>
      </c>
      <c r="E1377" s="197" t="s">
        <v>19</v>
      </c>
      <c r="F1377" s="198" t="s">
        <v>1232</v>
      </c>
      <c r="G1377" s="195"/>
      <c r="H1377" s="197" t="s">
        <v>19</v>
      </c>
      <c r="I1377" s="199"/>
      <c r="J1377" s="195"/>
      <c r="K1377" s="195"/>
      <c r="L1377" s="200"/>
      <c r="M1377" s="201"/>
      <c r="N1377" s="202"/>
      <c r="O1377" s="202"/>
      <c r="P1377" s="202"/>
      <c r="Q1377" s="202"/>
      <c r="R1377" s="202"/>
      <c r="S1377" s="202"/>
      <c r="T1377" s="203"/>
      <c r="AT1377" s="204" t="s">
        <v>388</v>
      </c>
      <c r="AU1377" s="204" t="s">
        <v>82</v>
      </c>
      <c r="AV1377" s="13" t="s">
        <v>79</v>
      </c>
      <c r="AW1377" s="13" t="s">
        <v>33</v>
      </c>
      <c r="AX1377" s="13" t="s">
        <v>72</v>
      </c>
      <c r="AY1377" s="204" t="s">
        <v>380</v>
      </c>
    </row>
    <row r="1378" spans="1:65" s="14" customFormat="1" ht="11.25">
      <c r="B1378" s="205"/>
      <c r="C1378" s="206"/>
      <c r="D1378" s="196" t="s">
        <v>388</v>
      </c>
      <c r="E1378" s="207" t="s">
        <v>19</v>
      </c>
      <c r="F1378" s="208" t="s">
        <v>1572</v>
      </c>
      <c r="G1378" s="206"/>
      <c r="H1378" s="209">
        <v>61.4</v>
      </c>
      <c r="I1378" s="210"/>
      <c r="J1378" s="206"/>
      <c r="K1378" s="206"/>
      <c r="L1378" s="211"/>
      <c r="M1378" s="212"/>
      <c r="N1378" s="213"/>
      <c r="O1378" s="213"/>
      <c r="P1378" s="213"/>
      <c r="Q1378" s="213"/>
      <c r="R1378" s="213"/>
      <c r="S1378" s="213"/>
      <c r="T1378" s="214"/>
      <c r="AT1378" s="215" t="s">
        <v>388</v>
      </c>
      <c r="AU1378" s="215" t="s">
        <v>82</v>
      </c>
      <c r="AV1378" s="14" t="s">
        <v>82</v>
      </c>
      <c r="AW1378" s="14" t="s">
        <v>33</v>
      </c>
      <c r="AX1378" s="14" t="s">
        <v>79</v>
      </c>
      <c r="AY1378" s="215" t="s">
        <v>380</v>
      </c>
    </row>
    <row r="1379" spans="1:65" s="2" customFormat="1" ht="24.2" customHeight="1">
      <c r="A1379" s="36"/>
      <c r="B1379" s="37"/>
      <c r="C1379" s="181" t="s">
        <v>1859</v>
      </c>
      <c r="D1379" s="181" t="s">
        <v>382</v>
      </c>
      <c r="E1379" s="182" t="s">
        <v>1860</v>
      </c>
      <c r="F1379" s="183" t="s">
        <v>1861</v>
      </c>
      <c r="G1379" s="184" t="s">
        <v>437</v>
      </c>
      <c r="H1379" s="185">
        <v>1.9510000000000001</v>
      </c>
      <c r="I1379" s="186"/>
      <c r="J1379" s="187">
        <f>ROUND(I1379*H1379,2)</f>
        <v>0</v>
      </c>
      <c r="K1379" s="183" t="s">
        <v>399</v>
      </c>
      <c r="L1379" s="41"/>
      <c r="M1379" s="188" t="s">
        <v>19</v>
      </c>
      <c r="N1379" s="189" t="s">
        <v>43</v>
      </c>
      <c r="O1379" s="66"/>
      <c r="P1379" s="190">
        <f>O1379*H1379</f>
        <v>0</v>
      </c>
      <c r="Q1379" s="190">
        <v>0</v>
      </c>
      <c r="R1379" s="190">
        <f>Q1379*H1379</f>
        <v>0</v>
      </c>
      <c r="S1379" s="190">
        <v>0</v>
      </c>
      <c r="T1379" s="191">
        <f>S1379*H1379</f>
        <v>0</v>
      </c>
      <c r="U1379" s="36"/>
      <c r="V1379" s="36"/>
      <c r="W1379" s="36"/>
      <c r="X1379" s="36"/>
      <c r="Y1379" s="36"/>
      <c r="Z1379" s="36"/>
      <c r="AA1379" s="36"/>
      <c r="AB1379" s="36"/>
      <c r="AC1379" s="36"/>
      <c r="AD1379" s="36"/>
      <c r="AE1379" s="36"/>
      <c r="AR1379" s="192" t="s">
        <v>281</v>
      </c>
      <c r="AT1379" s="192" t="s">
        <v>382</v>
      </c>
      <c r="AU1379" s="192" t="s">
        <v>82</v>
      </c>
      <c r="AY1379" s="19" t="s">
        <v>380</v>
      </c>
      <c r="BE1379" s="193">
        <f>IF(N1379="základní",J1379,0)</f>
        <v>0</v>
      </c>
      <c r="BF1379" s="193">
        <f>IF(N1379="snížená",J1379,0)</f>
        <v>0</v>
      </c>
      <c r="BG1379" s="193">
        <f>IF(N1379="zákl. přenesená",J1379,0)</f>
        <v>0</v>
      </c>
      <c r="BH1379" s="193">
        <f>IF(N1379="sníž. přenesená",J1379,0)</f>
        <v>0</v>
      </c>
      <c r="BI1379" s="193">
        <f>IF(N1379="nulová",J1379,0)</f>
        <v>0</v>
      </c>
      <c r="BJ1379" s="19" t="s">
        <v>79</v>
      </c>
      <c r="BK1379" s="193">
        <f>ROUND(I1379*H1379,2)</f>
        <v>0</v>
      </c>
      <c r="BL1379" s="19" t="s">
        <v>281</v>
      </c>
      <c r="BM1379" s="192" t="s">
        <v>1862</v>
      </c>
    </row>
    <row r="1380" spans="1:65" s="12" customFormat="1" ht="22.9" customHeight="1">
      <c r="B1380" s="165"/>
      <c r="C1380" s="166"/>
      <c r="D1380" s="167" t="s">
        <v>71</v>
      </c>
      <c r="E1380" s="179" t="s">
        <v>1863</v>
      </c>
      <c r="F1380" s="179" t="s">
        <v>1864</v>
      </c>
      <c r="G1380" s="166"/>
      <c r="H1380" s="166"/>
      <c r="I1380" s="169"/>
      <c r="J1380" s="180">
        <f>BK1380</f>
        <v>0</v>
      </c>
      <c r="K1380" s="166"/>
      <c r="L1380" s="171"/>
      <c r="M1380" s="172"/>
      <c r="N1380" s="173"/>
      <c r="O1380" s="173"/>
      <c r="P1380" s="174">
        <f>SUM(P1381:P1388)</f>
        <v>0</v>
      </c>
      <c r="Q1380" s="173"/>
      <c r="R1380" s="174">
        <f>SUM(R1381:R1388)</f>
        <v>0</v>
      </c>
      <c r="S1380" s="173"/>
      <c r="T1380" s="175">
        <f>SUM(T1381:T1388)</f>
        <v>0</v>
      </c>
      <c r="AR1380" s="176" t="s">
        <v>82</v>
      </c>
      <c r="AT1380" s="177" t="s">
        <v>71</v>
      </c>
      <c r="AU1380" s="177" t="s">
        <v>79</v>
      </c>
      <c r="AY1380" s="176" t="s">
        <v>380</v>
      </c>
      <c r="BK1380" s="178">
        <f>SUM(BK1381:BK1388)</f>
        <v>0</v>
      </c>
    </row>
    <row r="1381" spans="1:65" s="2" customFormat="1" ht="16.5" customHeight="1">
      <c r="A1381" s="36"/>
      <c r="B1381" s="37"/>
      <c r="C1381" s="181" t="s">
        <v>1865</v>
      </c>
      <c r="D1381" s="181" t="s">
        <v>382</v>
      </c>
      <c r="E1381" s="182" t="s">
        <v>1866</v>
      </c>
      <c r="F1381" s="183" t="s">
        <v>1867</v>
      </c>
      <c r="G1381" s="184" t="s">
        <v>452</v>
      </c>
      <c r="H1381" s="185">
        <v>75.599999999999994</v>
      </c>
      <c r="I1381" s="186"/>
      <c r="J1381" s="187">
        <f>ROUND(I1381*H1381,2)</f>
        <v>0</v>
      </c>
      <c r="K1381" s="183" t="s">
        <v>19</v>
      </c>
      <c r="L1381" s="41"/>
      <c r="M1381" s="188" t="s">
        <v>19</v>
      </c>
      <c r="N1381" s="189" t="s">
        <v>43</v>
      </c>
      <c r="O1381" s="66"/>
      <c r="P1381" s="190">
        <f>O1381*H1381</f>
        <v>0</v>
      </c>
      <c r="Q1381" s="190">
        <v>0</v>
      </c>
      <c r="R1381" s="190">
        <f>Q1381*H1381</f>
        <v>0</v>
      </c>
      <c r="S1381" s="190">
        <v>0</v>
      </c>
      <c r="T1381" s="191">
        <f>S1381*H1381</f>
        <v>0</v>
      </c>
      <c r="U1381" s="36"/>
      <c r="V1381" s="36"/>
      <c r="W1381" s="36"/>
      <c r="X1381" s="36"/>
      <c r="Y1381" s="36"/>
      <c r="Z1381" s="36"/>
      <c r="AA1381" s="36"/>
      <c r="AB1381" s="36"/>
      <c r="AC1381" s="36"/>
      <c r="AD1381" s="36"/>
      <c r="AE1381" s="36"/>
      <c r="AR1381" s="192" t="s">
        <v>281</v>
      </c>
      <c r="AT1381" s="192" t="s">
        <v>382</v>
      </c>
      <c r="AU1381" s="192" t="s">
        <v>82</v>
      </c>
      <c r="AY1381" s="19" t="s">
        <v>380</v>
      </c>
      <c r="BE1381" s="193">
        <f>IF(N1381="základní",J1381,0)</f>
        <v>0</v>
      </c>
      <c r="BF1381" s="193">
        <f>IF(N1381="snížená",J1381,0)</f>
        <v>0</v>
      </c>
      <c r="BG1381" s="193">
        <f>IF(N1381="zákl. přenesená",J1381,0)</f>
        <v>0</v>
      </c>
      <c r="BH1381" s="193">
        <f>IF(N1381="sníž. přenesená",J1381,0)</f>
        <v>0</v>
      </c>
      <c r="BI1381" s="193">
        <f>IF(N1381="nulová",J1381,0)</f>
        <v>0</v>
      </c>
      <c r="BJ1381" s="19" t="s">
        <v>79</v>
      </c>
      <c r="BK1381" s="193">
        <f>ROUND(I1381*H1381,2)</f>
        <v>0</v>
      </c>
      <c r="BL1381" s="19" t="s">
        <v>281</v>
      </c>
      <c r="BM1381" s="192" t="s">
        <v>1868</v>
      </c>
    </row>
    <row r="1382" spans="1:65" s="14" customFormat="1" ht="11.25">
      <c r="B1382" s="205"/>
      <c r="C1382" s="206"/>
      <c r="D1382" s="196" t="s">
        <v>388</v>
      </c>
      <c r="E1382" s="207" t="s">
        <v>19</v>
      </c>
      <c r="F1382" s="208" t="s">
        <v>1869</v>
      </c>
      <c r="G1382" s="206"/>
      <c r="H1382" s="209">
        <v>75.599999999999994</v>
      </c>
      <c r="I1382" s="210"/>
      <c r="J1382" s="206"/>
      <c r="K1382" s="206"/>
      <c r="L1382" s="211"/>
      <c r="M1382" s="212"/>
      <c r="N1382" s="213"/>
      <c r="O1382" s="213"/>
      <c r="P1382" s="213"/>
      <c r="Q1382" s="213"/>
      <c r="R1382" s="213"/>
      <c r="S1382" s="213"/>
      <c r="T1382" s="214"/>
      <c r="AT1382" s="215" t="s">
        <v>388</v>
      </c>
      <c r="AU1382" s="215" t="s">
        <v>82</v>
      </c>
      <c r="AV1382" s="14" t="s">
        <v>82</v>
      </c>
      <c r="AW1382" s="14" t="s">
        <v>33</v>
      </c>
      <c r="AX1382" s="14" t="s">
        <v>79</v>
      </c>
      <c r="AY1382" s="215" t="s">
        <v>380</v>
      </c>
    </row>
    <row r="1383" spans="1:65" s="2" customFormat="1" ht="16.5" customHeight="1">
      <c r="A1383" s="36"/>
      <c r="B1383" s="37"/>
      <c r="C1383" s="181" t="s">
        <v>1870</v>
      </c>
      <c r="D1383" s="181" t="s">
        <v>382</v>
      </c>
      <c r="E1383" s="182" t="s">
        <v>1871</v>
      </c>
      <c r="F1383" s="183" t="s">
        <v>1872</v>
      </c>
      <c r="G1383" s="184" t="s">
        <v>452</v>
      </c>
      <c r="H1383" s="185">
        <v>28.8</v>
      </c>
      <c r="I1383" s="186"/>
      <c r="J1383" s="187">
        <f>ROUND(I1383*H1383,2)</f>
        <v>0</v>
      </c>
      <c r="K1383" s="183" t="s">
        <v>19</v>
      </c>
      <c r="L1383" s="41"/>
      <c r="M1383" s="188" t="s">
        <v>19</v>
      </c>
      <c r="N1383" s="189" t="s">
        <v>43</v>
      </c>
      <c r="O1383" s="66"/>
      <c r="P1383" s="190">
        <f>O1383*H1383</f>
        <v>0</v>
      </c>
      <c r="Q1383" s="190">
        <v>0</v>
      </c>
      <c r="R1383" s="190">
        <f>Q1383*H1383</f>
        <v>0</v>
      </c>
      <c r="S1383" s="190">
        <v>0</v>
      </c>
      <c r="T1383" s="191">
        <f>S1383*H1383</f>
        <v>0</v>
      </c>
      <c r="U1383" s="36"/>
      <c r="V1383" s="36"/>
      <c r="W1383" s="36"/>
      <c r="X1383" s="36"/>
      <c r="Y1383" s="36"/>
      <c r="Z1383" s="36"/>
      <c r="AA1383" s="36"/>
      <c r="AB1383" s="36"/>
      <c r="AC1383" s="36"/>
      <c r="AD1383" s="36"/>
      <c r="AE1383" s="36"/>
      <c r="AR1383" s="192" t="s">
        <v>281</v>
      </c>
      <c r="AT1383" s="192" t="s">
        <v>382</v>
      </c>
      <c r="AU1383" s="192" t="s">
        <v>82</v>
      </c>
      <c r="AY1383" s="19" t="s">
        <v>380</v>
      </c>
      <c r="BE1383" s="193">
        <f>IF(N1383="základní",J1383,0)</f>
        <v>0</v>
      </c>
      <c r="BF1383" s="193">
        <f>IF(N1383="snížená",J1383,0)</f>
        <v>0</v>
      </c>
      <c r="BG1383" s="193">
        <f>IF(N1383="zákl. přenesená",J1383,0)</f>
        <v>0</v>
      </c>
      <c r="BH1383" s="193">
        <f>IF(N1383="sníž. přenesená",J1383,0)</f>
        <v>0</v>
      </c>
      <c r="BI1383" s="193">
        <f>IF(N1383="nulová",J1383,0)</f>
        <v>0</v>
      </c>
      <c r="BJ1383" s="19" t="s">
        <v>79</v>
      </c>
      <c r="BK1383" s="193">
        <f>ROUND(I1383*H1383,2)</f>
        <v>0</v>
      </c>
      <c r="BL1383" s="19" t="s">
        <v>281</v>
      </c>
      <c r="BM1383" s="192" t="s">
        <v>1873</v>
      </c>
    </row>
    <row r="1384" spans="1:65" s="14" customFormat="1" ht="11.25">
      <c r="B1384" s="205"/>
      <c r="C1384" s="206"/>
      <c r="D1384" s="196" t="s">
        <v>388</v>
      </c>
      <c r="E1384" s="207" t="s">
        <v>19</v>
      </c>
      <c r="F1384" s="208" t="s">
        <v>1874</v>
      </c>
      <c r="G1384" s="206"/>
      <c r="H1384" s="209">
        <v>28.8</v>
      </c>
      <c r="I1384" s="210"/>
      <c r="J1384" s="206"/>
      <c r="K1384" s="206"/>
      <c r="L1384" s="211"/>
      <c r="M1384" s="212"/>
      <c r="N1384" s="213"/>
      <c r="O1384" s="213"/>
      <c r="P1384" s="213"/>
      <c r="Q1384" s="213"/>
      <c r="R1384" s="213"/>
      <c r="S1384" s="213"/>
      <c r="T1384" s="214"/>
      <c r="AT1384" s="215" t="s">
        <v>388</v>
      </c>
      <c r="AU1384" s="215" t="s">
        <v>82</v>
      </c>
      <c r="AV1384" s="14" t="s">
        <v>82</v>
      </c>
      <c r="AW1384" s="14" t="s">
        <v>33</v>
      </c>
      <c r="AX1384" s="14" t="s">
        <v>79</v>
      </c>
      <c r="AY1384" s="215" t="s">
        <v>380</v>
      </c>
    </row>
    <row r="1385" spans="1:65" s="2" customFormat="1" ht="16.5" customHeight="1">
      <c r="A1385" s="36"/>
      <c r="B1385" s="37"/>
      <c r="C1385" s="181" t="s">
        <v>1875</v>
      </c>
      <c r="D1385" s="181" t="s">
        <v>382</v>
      </c>
      <c r="E1385" s="182" t="s">
        <v>1876</v>
      </c>
      <c r="F1385" s="183" t="s">
        <v>1877</v>
      </c>
      <c r="G1385" s="184" t="s">
        <v>452</v>
      </c>
      <c r="H1385" s="185">
        <v>123</v>
      </c>
      <c r="I1385" s="186"/>
      <c r="J1385" s="187">
        <f>ROUND(I1385*H1385,2)</f>
        <v>0</v>
      </c>
      <c r="K1385" s="183" t="s">
        <v>19</v>
      </c>
      <c r="L1385" s="41"/>
      <c r="M1385" s="188" t="s">
        <v>19</v>
      </c>
      <c r="N1385" s="189" t="s">
        <v>43</v>
      </c>
      <c r="O1385" s="66"/>
      <c r="P1385" s="190">
        <f>O1385*H1385</f>
        <v>0</v>
      </c>
      <c r="Q1385" s="190">
        <v>0</v>
      </c>
      <c r="R1385" s="190">
        <f>Q1385*H1385</f>
        <v>0</v>
      </c>
      <c r="S1385" s="190">
        <v>0</v>
      </c>
      <c r="T1385" s="191">
        <f>S1385*H1385</f>
        <v>0</v>
      </c>
      <c r="U1385" s="36"/>
      <c r="V1385" s="36"/>
      <c r="W1385" s="36"/>
      <c r="X1385" s="36"/>
      <c r="Y1385" s="36"/>
      <c r="Z1385" s="36"/>
      <c r="AA1385" s="36"/>
      <c r="AB1385" s="36"/>
      <c r="AC1385" s="36"/>
      <c r="AD1385" s="36"/>
      <c r="AE1385" s="36"/>
      <c r="AR1385" s="192" t="s">
        <v>281</v>
      </c>
      <c r="AT1385" s="192" t="s">
        <v>382</v>
      </c>
      <c r="AU1385" s="192" t="s">
        <v>82</v>
      </c>
      <c r="AY1385" s="19" t="s">
        <v>380</v>
      </c>
      <c r="BE1385" s="193">
        <f>IF(N1385="základní",J1385,0)</f>
        <v>0</v>
      </c>
      <c r="BF1385" s="193">
        <f>IF(N1385="snížená",J1385,0)</f>
        <v>0</v>
      </c>
      <c r="BG1385" s="193">
        <f>IF(N1385="zákl. přenesená",J1385,0)</f>
        <v>0</v>
      </c>
      <c r="BH1385" s="193">
        <f>IF(N1385="sníž. přenesená",J1385,0)</f>
        <v>0</v>
      </c>
      <c r="BI1385" s="193">
        <f>IF(N1385="nulová",J1385,0)</f>
        <v>0</v>
      </c>
      <c r="BJ1385" s="19" t="s">
        <v>79</v>
      </c>
      <c r="BK1385" s="193">
        <f>ROUND(I1385*H1385,2)</f>
        <v>0</v>
      </c>
      <c r="BL1385" s="19" t="s">
        <v>281</v>
      </c>
      <c r="BM1385" s="192" t="s">
        <v>1878</v>
      </c>
    </row>
    <row r="1386" spans="1:65" s="14" customFormat="1" ht="11.25">
      <c r="B1386" s="205"/>
      <c r="C1386" s="206"/>
      <c r="D1386" s="196" t="s">
        <v>388</v>
      </c>
      <c r="E1386" s="207" t="s">
        <v>19</v>
      </c>
      <c r="F1386" s="208" t="s">
        <v>1879</v>
      </c>
      <c r="G1386" s="206"/>
      <c r="H1386" s="209">
        <v>123</v>
      </c>
      <c r="I1386" s="210"/>
      <c r="J1386" s="206"/>
      <c r="K1386" s="206"/>
      <c r="L1386" s="211"/>
      <c r="M1386" s="212"/>
      <c r="N1386" s="213"/>
      <c r="O1386" s="213"/>
      <c r="P1386" s="213"/>
      <c r="Q1386" s="213"/>
      <c r="R1386" s="213"/>
      <c r="S1386" s="213"/>
      <c r="T1386" s="214"/>
      <c r="AT1386" s="215" t="s">
        <v>388</v>
      </c>
      <c r="AU1386" s="215" t="s">
        <v>82</v>
      </c>
      <c r="AV1386" s="14" t="s">
        <v>82</v>
      </c>
      <c r="AW1386" s="14" t="s">
        <v>33</v>
      </c>
      <c r="AX1386" s="14" t="s">
        <v>79</v>
      </c>
      <c r="AY1386" s="215" t="s">
        <v>380</v>
      </c>
    </row>
    <row r="1387" spans="1:65" s="2" customFormat="1" ht="16.5" customHeight="1">
      <c r="A1387" s="36"/>
      <c r="B1387" s="37"/>
      <c r="C1387" s="181" t="s">
        <v>1880</v>
      </c>
      <c r="D1387" s="181" t="s">
        <v>382</v>
      </c>
      <c r="E1387" s="182" t="s">
        <v>1881</v>
      </c>
      <c r="F1387" s="183" t="s">
        <v>1882</v>
      </c>
      <c r="G1387" s="184" t="s">
        <v>452</v>
      </c>
      <c r="H1387" s="185">
        <v>70.2</v>
      </c>
      <c r="I1387" s="186"/>
      <c r="J1387" s="187">
        <f>ROUND(I1387*H1387,2)</f>
        <v>0</v>
      </c>
      <c r="K1387" s="183" t="s">
        <v>19</v>
      </c>
      <c r="L1387" s="41"/>
      <c r="M1387" s="188" t="s">
        <v>19</v>
      </c>
      <c r="N1387" s="189" t="s">
        <v>43</v>
      </c>
      <c r="O1387" s="66"/>
      <c r="P1387" s="190">
        <f>O1387*H1387</f>
        <v>0</v>
      </c>
      <c r="Q1387" s="190">
        <v>0</v>
      </c>
      <c r="R1387" s="190">
        <f>Q1387*H1387</f>
        <v>0</v>
      </c>
      <c r="S1387" s="190">
        <v>0</v>
      </c>
      <c r="T1387" s="191">
        <f>S1387*H1387</f>
        <v>0</v>
      </c>
      <c r="U1387" s="36"/>
      <c r="V1387" s="36"/>
      <c r="W1387" s="36"/>
      <c r="X1387" s="36"/>
      <c r="Y1387" s="36"/>
      <c r="Z1387" s="36"/>
      <c r="AA1387" s="36"/>
      <c r="AB1387" s="36"/>
      <c r="AC1387" s="36"/>
      <c r="AD1387" s="36"/>
      <c r="AE1387" s="36"/>
      <c r="AR1387" s="192" t="s">
        <v>281</v>
      </c>
      <c r="AT1387" s="192" t="s">
        <v>382</v>
      </c>
      <c r="AU1387" s="192" t="s">
        <v>82</v>
      </c>
      <c r="AY1387" s="19" t="s">
        <v>380</v>
      </c>
      <c r="BE1387" s="193">
        <f>IF(N1387="základní",J1387,0)</f>
        <v>0</v>
      </c>
      <c r="BF1387" s="193">
        <f>IF(N1387="snížená",J1387,0)</f>
        <v>0</v>
      </c>
      <c r="BG1387" s="193">
        <f>IF(N1387="zákl. přenesená",J1387,0)</f>
        <v>0</v>
      </c>
      <c r="BH1387" s="193">
        <f>IF(N1387="sníž. přenesená",J1387,0)</f>
        <v>0</v>
      </c>
      <c r="BI1387" s="193">
        <f>IF(N1387="nulová",J1387,0)</f>
        <v>0</v>
      </c>
      <c r="BJ1387" s="19" t="s">
        <v>79</v>
      </c>
      <c r="BK1387" s="193">
        <f>ROUND(I1387*H1387,2)</f>
        <v>0</v>
      </c>
      <c r="BL1387" s="19" t="s">
        <v>281</v>
      </c>
      <c r="BM1387" s="192" t="s">
        <v>1883</v>
      </c>
    </row>
    <row r="1388" spans="1:65" s="14" customFormat="1" ht="11.25">
      <c r="B1388" s="205"/>
      <c r="C1388" s="206"/>
      <c r="D1388" s="196" t="s">
        <v>388</v>
      </c>
      <c r="E1388" s="207" t="s">
        <v>19</v>
      </c>
      <c r="F1388" s="208" t="s">
        <v>1884</v>
      </c>
      <c r="G1388" s="206"/>
      <c r="H1388" s="209">
        <v>70.2</v>
      </c>
      <c r="I1388" s="210"/>
      <c r="J1388" s="206"/>
      <c r="K1388" s="206"/>
      <c r="L1388" s="211"/>
      <c r="M1388" s="212"/>
      <c r="N1388" s="213"/>
      <c r="O1388" s="213"/>
      <c r="P1388" s="213"/>
      <c r="Q1388" s="213"/>
      <c r="R1388" s="213"/>
      <c r="S1388" s="213"/>
      <c r="T1388" s="214"/>
      <c r="AT1388" s="215" t="s">
        <v>388</v>
      </c>
      <c r="AU1388" s="215" t="s">
        <v>82</v>
      </c>
      <c r="AV1388" s="14" t="s">
        <v>82</v>
      </c>
      <c r="AW1388" s="14" t="s">
        <v>33</v>
      </c>
      <c r="AX1388" s="14" t="s">
        <v>79</v>
      </c>
      <c r="AY1388" s="215" t="s">
        <v>380</v>
      </c>
    </row>
    <row r="1389" spans="1:65" s="12" customFormat="1" ht="22.9" customHeight="1">
      <c r="B1389" s="165"/>
      <c r="C1389" s="166"/>
      <c r="D1389" s="167" t="s">
        <v>71</v>
      </c>
      <c r="E1389" s="179" t="s">
        <v>1885</v>
      </c>
      <c r="F1389" s="179" t="s">
        <v>1886</v>
      </c>
      <c r="G1389" s="166"/>
      <c r="H1389" s="166"/>
      <c r="I1389" s="169"/>
      <c r="J1389" s="180">
        <f>BK1389</f>
        <v>0</v>
      </c>
      <c r="K1389" s="166"/>
      <c r="L1389" s="171"/>
      <c r="M1389" s="172"/>
      <c r="N1389" s="173"/>
      <c r="O1389" s="173"/>
      <c r="P1389" s="174">
        <f>SUM(P1390:P1392)</f>
        <v>0</v>
      </c>
      <c r="Q1389" s="173"/>
      <c r="R1389" s="174">
        <f>SUM(R1390:R1392)</f>
        <v>0</v>
      </c>
      <c r="S1389" s="173"/>
      <c r="T1389" s="175">
        <f>SUM(T1390:T1392)</f>
        <v>0</v>
      </c>
      <c r="AR1389" s="176" t="s">
        <v>82</v>
      </c>
      <c r="AT1389" s="177" t="s">
        <v>71</v>
      </c>
      <c r="AU1389" s="177" t="s">
        <v>79</v>
      </c>
      <c r="AY1389" s="176" t="s">
        <v>380</v>
      </c>
      <c r="BK1389" s="178">
        <f>SUM(BK1390:BK1392)</f>
        <v>0</v>
      </c>
    </row>
    <row r="1390" spans="1:65" s="2" customFormat="1" ht="21.75" customHeight="1">
      <c r="A1390" s="36"/>
      <c r="B1390" s="37"/>
      <c r="C1390" s="181" t="s">
        <v>1887</v>
      </c>
      <c r="D1390" s="181" t="s">
        <v>382</v>
      </c>
      <c r="E1390" s="182" t="s">
        <v>1888</v>
      </c>
      <c r="F1390" s="183" t="s">
        <v>1889</v>
      </c>
      <c r="G1390" s="184" t="s">
        <v>452</v>
      </c>
      <c r="H1390" s="185">
        <v>42.5</v>
      </c>
      <c r="I1390" s="186"/>
      <c r="J1390" s="187">
        <f>ROUND(I1390*H1390,2)</f>
        <v>0</v>
      </c>
      <c r="K1390" s="183" t="s">
        <v>19</v>
      </c>
      <c r="L1390" s="41"/>
      <c r="M1390" s="188" t="s">
        <v>19</v>
      </c>
      <c r="N1390" s="189" t="s">
        <v>43</v>
      </c>
      <c r="O1390" s="66"/>
      <c r="P1390" s="190">
        <f>O1390*H1390</f>
        <v>0</v>
      </c>
      <c r="Q1390" s="190">
        <v>0</v>
      </c>
      <c r="R1390" s="190">
        <f>Q1390*H1390</f>
        <v>0</v>
      </c>
      <c r="S1390" s="190">
        <v>0</v>
      </c>
      <c r="T1390" s="191">
        <f>S1390*H1390</f>
        <v>0</v>
      </c>
      <c r="U1390" s="36"/>
      <c r="V1390" s="36"/>
      <c r="W1390" s="36"/>
      <c r="X1390" s="36"/>
      <c r="Y1390" s="36"/>
      <c r="Z1390" s="36"/>
      <c r="AA1390" s="36"/>
      <c r="AB1390" s="36"/>
      <c r="AC1390" s="36"/>
      <c r="AD1390" s="36"/>
      <c r="AE1390" s="36"/>
      <c r="AR1390" s="192" t="s">
        <v>281</v>
      </c>
      <c r="AT1390" s="192" t="s">
        <v>382</v>
      </c>
      <c r="AU1390" s="192" t="s">
        <v>82</v>
      </c>
      <c r="AY1390" s="19" t="s">
        <v>380</v>
      </c>
      <c r="BE1390" s="193">
        <f>IF(N1390="základní",J1390,0)</f>
        <v>0</v>
      </c>
      <c r="BF1390" s="193">
        <f>IF(N1390="snížená",J1390,0)</f>
        <v>0</v>
      </c>
      <c r="BG1390" s="193">
        <f>IF(N1390="zákl. přenesená",J1390,0)</f>
        <v>0</v>
      </c>
      <c r="BH1390" s="193">
        <f>IF(N1390="sníž. přenesená",J1390,0)</f>
        <v>0</v>
      </c>
      <c r="BI1390" s="193">
        <f>IF(N1390="nulová",J1390,0)</f>
        <v>0</v>
      </c>
      <c r="BJ1390" s="19" t="s">
        <v>79</v>
      </c>
      <c r="BK1390" s="193">
        <f>ROUND(I1390*H1390,2)</f>
        <v>0</v>
      </c>
      <c r="BL1390" s="19" t="s">
        <v>281</v>
      </c>
      <c r="BM1390" s="192" t="s">
        <v>1890</v>
      </c>
    </row>
    <row r="1391" spans="1:65" s="13" customFormat="1" ht="11.25">
      <c r="B1391" s="194"/>
      <c r="C1391" s="195"/>
      <c r="D1391" s="196" t="s">
        <v>388</v>
      </c>
      <c r="E1391" s="197" t="s">
        <v>19</v>
      </c>
      <c r="F1391" s="198" t="s">
        <v>1891</v>
      </c>
      <c r="G1391" s="195"/>
      <c r="H1391" s="197" t="s">
        <v>19</v>
      </c>
      <c r="I1391" s="199"/>
      <c r="J1391" s="195"/>
      <c r="K1391" s="195"/>
      <c r="L1391" s="200"/>
      <c r="M1391" s="201"/>
      <c r="N1391" s="202"/>
      <c r="O1391" s="202"/>
      <c r="P1391" s="202"/>
      <c r="Q1391" s="202"/>
      <c r="R1391" s="202"/>
      <c r="S1391" s="202"/>
      <c r="T1391" s="203"/>
      <c r="AT1391" s="204" t="s">
        <v>388</v>
      </c>
      <c r="AU1391" s="204" t="s">
        <v>82</v>
      </c>
      <c r="AV1391" s="13" t="s">
        <v>79</v>
      </c>
      <c r="AW1391" s="13" t="s">
        <v>33</v>
      </c>
      <c r="AX1391" s="13" t="s">
        <v>72</v>
      </c>
      <c r="AY1391" s="204" t="s">
        <v>380</v>
      </c>
    </row>
    <row r="1392" spans="1:65" s="14" customFormat="1" ht="11.25">
      <c r="B1392" s="205"/>
      <c r="C1392" s="206"/>
      <c r="D1392" s="196" t="s">
        <v>388</v>
      </c>
      <c r="E1392" s="207" t="s">
        <v>19</v>
      </c>
      <c r="F1392" s="208" t="s">
        <v>1892</v>
      </c>
      <c r="G1392" s="206"/>
      <c r="H1392" s="209">
        <v>42.5</v>
      </c>
      <c r="I1392" s="210"/>
      <c r="J1392" s="206"/>
      <c r="K1392" s="206"/>
      <c r="L1392" s="211"/>
      <c r="M1392" s="212"/>
      <c r="N1392" s="213"/>
      <c r="O1392" s="213"/>
      <c r="P1392" s="213"/>
      <c r="Q1392" s="213"/>
      <c r="R1392" s="213"/>
      <c r="S1392" s="213"/>
      <c r="T1392" s="214"/>
      <c r="AT1392" s="215" t="s">
        <v>388</v>
      </c>
      <c r="AU1392" s="215" t="s">
        <v>82</v>
      </c>
      <c r="AV1392" s="14" t="s">
        <v>82</v>
      </c>
      <c r="AW1392" s="14" t="s">
        <v>33</v>
      </c>
      <c r="AX1392" s="14" t="s">
        <v>79</v>
      </c>
      <c r="AY1392" s="215" t="s">
        <v>380</v>
      </c>
    </row>
    <row r="1393" spans="1:65" s="12" customFormat="1" ht="22.9" customHeight="1">
      <c r="B1393" s="165"/>
      <c r="C1393" s="166"/>
      <c r="D1393" s="167" t="s">
        <v>71</v>
      </c>
      <c r="E1393" s="179" t="s">
        <v>1893</v>
      </c>
      <c r="F1393" s="179" t="s">
        <v>1894</v>
      </c>
      <c r="G1393" s="166"/>
      <c r="H1393" s="166"/>
      <c r="I1393" s="169"/>
      <c r="J1393" s="180">
        <f>BK1393</f>
        <v>0</v>
      </c>
      <c r="K1393" s="166"/>
      <c r="L1393" s="171"/>
      <c r="M1393" s="172"/>
      <c r="N1393" s="173"/>
      <c r="O1393" s="173"/>
      <c r="P1393" s="174">
        <f>SUM(P1394:P1421)</f>
        <v>0</v>
      </c>
      <c r="Q1393" s="173"/>
      <c r="R1393" s="174">
        <f>SUM(R1394:R1421)</f>
        <v>0</v>
      </c>
      <c r="S1393" s="173"/>
      <c r="T1393" s="175">
        <f>SUM(T1394:T1421)</f>
        <v>0</v>
      </c>
      <c r="AR1393" s="176" t="s">
        <v>79</v>
      </c>
      <c r="AT1393" s="177" t="s">
        <v>71</v>
      </c>
      <c r="AU1393" s="177" t="s">
        <v>79</v>
      </c>
      <c r="AY1393" s="176" t="s">
        <v>380</v>
      </c>
      <c r="BK1393" s="178">
        <f>SUM(BK1394:BK1421)</f>
        <v>0</v>
      </c>
    </row>
    <row r="1394" spans="1:65" s="2" customFormat="1" ht="24.2" customHeight="1">
      <c r="A1394" s="36"/>
      <c r="B1394" s="37"/>
      <c r="C1394" s="181" t="s">
        <v>1895</v>
      </c>
      <c r="D1394" s="181" t="s">
        <v>382</v>
      </c>
      <c r="E1394" s="182" t="s">
        <v>1896</v>
      </c>
      <c r="F1394" s="183" t="s">
        <v>1897</v>
      </c>
      <c r="G1394" s="184" t="s">
        <v>641</v>
      </c>
      <c r="H1394" s="185">
        <v>1</v>
      </c>
      <c r="I1394" s="186"/>
      <c r="J1394" s="187">
        <f t="shared" ref="J1394:J1421" si="20">ROUND(I1394*H1394,2)</f>
        <v>0</v>
      </c>
      <c r="K1394" s="183" t="s">
        <v>19</v>
      </c>
      <c r="L1394" s="41"/>
      <c r="M1394" s="188" t="s">
        <v>19</v>
      </c>
      <c r="N1394" s="189" t="s">
        <v>43</v>
      </c>
      <c r="O1394" s="66"/>
      <c r="P1394" s="190">
        <f t="shared" ref="P1394:P1421" si="21">O1394*H1394</f>
        <v>0</v>
      </c>
      <c r="Q1394" s="190">
        <v>0</v>
      </c>
      <c r="R1394" s="190">
        <f t="shared" ref="R1394:R1421" si="22">Q1394*H1394</f>
        <v>0</v>
      </c>
      <c r="S1394" s="190">
        <v>0</v>
      </c>
      <c r="T1394" s="191">
        <f t="shared" ref="T1394:T1421" si="23">S1394*H1394</f>
        <v>0</v>
      </c>
      <c r="U1394" s="36"/>
      <c r="V1394" s="36"/>
      <c r="W1394" s="36"/>
      <c r="X1394" s="36"/>
      <c r="Y1394" s="36"/>
      <c r="Z1394" s="36"/>
      <c r="AA1394" s="36"/>
      <c r="AB1394" s="36"/>
      <c r="AC1394" s="36"/>
      <c r="AD1394" s="36"/>
      <c r="AE1394" s="36"/>
      <c r="AR1394" s="192" t="s">
        <v>281</v>
      </c>
      <c r="AT1394" s="192" t="s">
        <v>382</v>
      </c>
      <c r="AU1394" s="192" t="s">
        <v>82</v>
      </c>
      <c r="AY1394" s="19" t="s">
        <v>380</v>
      </c>
      <c r="BE1394" s="193">
        <f t="shared" ref="BE1394:BE1421" si="24">IF(N1394="základní",J1394,0)</f>
        <v>0</v>
      </c>
      <c r="BF1394" s="193">
        <f t="shared" ref="BF1394:BF1421" si="25">IF(N1394="snížená",J1394,0)</f>
        <v>0</v>
      </c>
      <c r="BG1394" s="193">
        <f t="shared" ref="BG1394:BG1421" si="26">IF(N1394="zákl. přenesená",J1394,0)</f>
        <v>0</v>
      </c>
      <c r="BH1394" s="193">
        <f t="shared" ref="BH1394:BH1421" si="27">IF(N1394="sníž. přenesená",J1394,0)</f>
        <v>0</v>
      </c>
      <c r="BI1394" s="193">
        <f t="shared" ref="BI1394:BI1421" si="28">IF(N1394="nulová",J1394,0)</f>
        <v>0</v>
      </c>
      <c r="BJ1394" s="19" t="s">
        <v>79</v>
      </c>
      <c r="BK1394" s="193">
        <f t="shared" ref="BK1394:BK1421" si="29">ROUND(I1394*H1394,2)</f>
        <v>0</v>
      </c>
      <c r="BL1394" s="19" t="s">
        <v>281</v>
      </c>
      <c r="BM1394" s="192" t="s">
        <v>1898</v>
      </c>
    </row>
    <row r="1395" spans="1:65" s="2" customFormat="1" ht="16.5" customHeight="1">
      <c r="A1395" s="36"/>
      <c r="B1395" s="37"/>
      <c r="C1395" s="181" t="s">
        <v>1899</v>
      </c>
      <c r="D1395" s="181" t="s">
        <v>382</v>
      </c>
      <c r="E1395" s="182" t="s">
        <v>1900</v>
      </c>
      <c r="F1395" s="183" t="s">
        <v>1901</v>
      </c>
      <c r="G1395" s="184" t="s">
        <v>641</v>
      </c>
      <c r="H1395" s="185">
        <v>2</v>
      </c>
      <c r="I1395" s="186"/>
      <c r="J1395" s="187">
        <f t="shared" si="20"/>
        <v>0</v>
      </c>
      <c r="K1395" s="183" t="s">
        <v>19</v>
      </c>
      <c r="L1395" s="41"/>
      <c r="M1395" s="188" t="s">
        <v>19</v>
      </c>
      <c r="N1395" s="189" t="s">
        <v>43</v>
      </c>
      <c r="O1395" s="66"/>
      <c r="P1395" s="190">
        <f t="shared" si="21"/>
        <v>0</v>
      </c>
      <c r="Q1395" s="190">
        <v>0</v>
      </c>
      <c r="R1395" s="190">
        <f t="shared" si="22"/>
        <v>0</v>
      </c>
      <c r="S1395" s="190">
        <v>0</v>
      </c>
      <c r="T1395" s="191">
        <f t="shared" si="23"/>
        <v>0</v>
      </c>
      <c r="U1395" s="36"/>
      <c r="V1395" s="36"/>
      <c r="W1395" s="36"/>
      <c r="X1395" s="36"/>
      <c r="Y1395" s="36"/>
      <c r="Z1395" s="36"/>
      <c r="AA1395" s="36"/>
      <c r="AB1395" s="36"/>
      <c r="AC1395" s="36"/>
      <c r="AD1395" s="36"/>
      <c r="AE1395" s="36"/>
      <c r="AR1395" s="192" t="s">
        <v>281</v>
      </c>
      <c r="AT1395" s="192" t="s">
        <v>382</v>
      </c>
      <c r="AU1395" s="192" t="s">
        <v>82</v>
      </c>
      <c r="AY1395" s="19" t="s">
        <v>380</v>
      </c>
      <c r="BE1395" s="193">
        <f t="shared" si="24"/>
        <v>0</v>
      </c>
      <c r="BF1395" s="193">
        <f t="shared" si="25"/>
        <v>0</v>
      </c>
      <c r="BG1395" s="193">
        <f t="shared" si="26"/>
        <v>0</v>
      </c>
      <c r="BH1395" s="193">
        <f t="shared" si="27"/>
        <v>0</v>
      </c>
      <c r="BI1395" s="193">
        <f t="shared" si="28"/>
        <v>0</v>
      </c>
      <c r="BJ1395" s="19" t="s">
        <v>79</v>
      </c>
      <c r="BK1395" s="193">
        <f t="shared" si="29"/>
        <v>0</v>
      </c>
      <c r="BL1395" s="19" t="s">
        <v>281</v>
      </c>
      <c r="BM1395" s="192" t="s">
        <v>1902</v>
      </c>
    </row>
    <row r="1396" spans="1:65" s="2" customFormat="1" ht="24.2" customHeight="1">
      <c r="A1396" s="36"/>
      <c r="B1396" s="37"/>
      <c r="C1396" s="181" t="s">
        <v>1903</v>
      </c>
      <c r="D1396" s="181" t="s">
        <v>382</v>
      </c>
      <c r="E1396" s="182" t="s">
        <v>1904</v>
      </c>
      <c r="F1396" s="183" t="s">
        <v>1905</v>
      </c>
      <c r="G1396" s="184" t="s">
        <v>641</v>
      </c>
      <c r="H1396" s="185">
        <v>1</v>
      </c>
      <c r="I1396" s="186"/>
      <c r="J1396" s="187">
        <f t="shared" si="20"/>
        <v>0</v>
      </c>
      <c r="K1396" s="183" t="s">
        <v>19</v>
      </c>
      <c r="L1396" s="41"/>
      <c r="M1396" s="188" t="s">
        <v>19</v>
      </c>
      <c r="N1396" s="189" t="s">
        <v>43</v>
      </c>
      <c r="O1396" s="66"/>
      <c r="P1396" s="190">
        <f t="shared" si="21"/>
        <v>0</v>
      </c>
      <c r="Q1396" s="190">
        <v>0</v>
      </c>
      <c r="R1396" s="190">
        <f t="shared" si="22"/>
        <v>0</v>
      </c>
      <c r="S1396" s="190">
        <v>0</v>
      </c>
      <c r="T1396" s="191">
        <f t="shared" si="23"/>
        <v>0</v>
      </c>
      <c r="U1396" s="36"/>
      <c r="V1396" s="36"/>
      <c r="W1396" s="36"/>
      <c r="X1396" s="36"/>
      <c r="Y1396" s="36"/>
      <c r="Z1396" s="36"/>
      <c r="AA1396" s="36"/>
      <c r="AB1396" s="36"/>
      <c r="AC1396" s="36"/>
      <c r="AD1396" s="36"/>
      <c r="AE1396" s="36"/>
      <c r="AR1396" s="192" t="s">
        <v>281</v>
      </c>
      <c r="AT1396" s="192" t="s">
        <v>382</v>
      </c>
      <c r="AU1396" s="192" t="s">
        <v>82</v>
      </c>
      <c r="AY1396" s="19" t="s">
        <v>380</v>
      </c>
      <c r="BE1396" s="193">
        <f t="shared" si="24"/>
        <v>0</v>
      </c>
      <c r="BF1396" s="193">
        <f t="shared" si="25"/>
        <v>0</v>
      </c>
      <c r="BG1396" s="193">
        <f t="shared" si="26"/>
        <v>0</v>
      </c>
      <c r="BH1396" s="193">
        <f t="shared" si="27"/>
        <v>0</v>
      </c>
      <c r="BI1396" s="193">
        <f t="shared" si="28"/>
        <v>0</v>
      </c>
      <c r="BJ1396" s="19" t="s">
        <v>79</v>
      </c>
      <c r="BK1396" s="193">
        <f t="shared" si="29"/>
        <v>0</v>
      </c>
      <c r="BL1396" s="19" t="s">
        <v>281</v>
      </c>
      <c r="BM1396" s="192" t="s">
        <v>1906</v>
      </c>
    </row>
    <row r="1397" spans="1:65" s="2" customFormat="1" ht="24.2" customHeight="1">
      <c r="A1397" s="36"/>
      <c r="B1397" s="37"/>
      <c r="C1397" s="181" t="s">
        <v>1907</v>
      </c>
      <c r="D1397" s="181" t="s">
        <v>382</v>
      </c>
      <c r="E1397" s="182" t="s">
        <v>1908</v>
      </c>
      <c r="F1397" s="183" t="s">
        <v>1909</v>
      </c>
      <c r="G1397" s="184" t="s">
        <v>641</v>
      </c>
      <c r="H1397" s="185">
        <v>7</v>
      </c>
      <c r="I1397" s="186"/>
      <c r="J1397" s="187">
        <f t="shared" si="20"/>
        <v>0</v>
      </c>
      <c r="K1397" s="183" t="s">
        <v>19</v>
      </c>
      <c r="L1397" s="41"/>
      <c r="M1397" s="188" t="s">
        <v>19</v>
      </c>
      <c r="N1397" s="189" t="s">
        <v>43</v>
      </c>
      <c r="O1397" s="66"/>
      <c r="P1397" s="190">
        <f t="shared" si="21"/>
        <v>0</v>
      </c>
      <c r="Q1397" s="190">
        <v>0</v>
      </c>
      <c r="R1397" s="190">
        <f t="shared" si="22"/>
        <v>0</v>
      </c>
      <c r="S1397" s="190">
        <v>0</v>
      </c>
      <c r="T1397" s="191">
        <f t="shared" si="23"/>
        <v>0</v>
      </c>
      <c r="U1397" s="36"/>
      <c r="V1397" s="36"/>
      <c r="W1397" s="36"/>
      <c r="X1397" s="36"/>
      <c r="Y1397" s="36"/>
      <c r="Z1397" s="36"/>
      <c r="AA1397" s="36"/>
      <c r="AB1397" s="36"/>
      <c r="AC1397" s="36"/>
      <c r="AD1397" s="36"/>
      <c r="AE1397" s="36"/>
      <c r="AR1397" s="192" t="s">
        <v>281</v>
      </c>
      <c r="AT1397" s="192" t="s">
        <v>382</v>
      </c>
      <c r="AU1397" s="192" t="s">
        <v>82</v>
      </c>
      <c r="AY1397" s="19" t="s">
        <v>380</v>
      </c>
      <c r="BE1397" s="193">
        <f t="shared" si="24"/>
        <v>0</v>
      </c>
      <c r="BF1397" s="193">
        <f t="shared" si="25"/>
        <v>0</v>
      </c>
      <c r="BG1397" s="193">
        <f t="shared" si="26"/>
        <v>0</v>
      </c>
      <c r="BH1397" s="193">
        <f t="shared" si="27"/>
        <v>0</v>
      </c>
      <c r="BI1397" s="193">
        <f t="shared" si="28"/>
        <v>0</v>
      </c>
      <c r="BJ1397" s="19" t="s">
        <v>79</v>
      </c>
      <c r="BK1397" s="193">
        <f t="shared" si="29"/>
        <v>0</v>
      </c>
      <c r="BL1397" s="19" t="s">
        <v>281</v>
      </c>
      <c r="BM1397" s="192" t="s">
        <v>1910</v>
      </c>
    </row>
    <row r="1398" spans="1:65" s="2" customFormat="1" ht="24.2" customHeight="1">
      <c r="A1398" s="36"/>
      <c r="B1398" s="37"/>
      <c r="C1398" s="181" t="s">
        <v>1911</v>
      </c>
      <c r="D1398" s="181" t="s">
        <v>382</v>
      </c>
      <c r="E1398" s="182" t="s">
        <v>1912</v>
      </c>
      <c r="F1398" s="183" t="s">
        <v>1913</v>
      </c>
      <c r="G1398" s="184" t="s">
        <v>641</v>
      </c>
      <c r="H1398" s="185">
        <v>5</v>
      </c>
      <c r="I1398" s="186"/>
      <c r="J1398" s="187">
        <f t="shared" si="20"/>
        <v>0</v>
      </c>
      <c r="K1398" s="183" t="s">
        <v>19</v>
      </c>
      <c r="L1398" s="41"/>
      <c r="M1398" s="188" t="s">
        <v>19</v>
      </c>
      <c r="N1398" s="189" t="s">
        <v>43</v>
      </c>
      <c r="O1398" s="66"/>
      <c r="P1398" s="190">
        <f t="shared" si="21"/>
        <v>0</v>
      </c>
      <c r="Q1398" s="190">
        <v>0</v>
      </c>
      <c r="R1398" s="190">
        <f t="shared" si="22"/>
        <v>0</v>
      </c>
      <c r="S1398" s="190">
        <v>0</v>
      </c>
      <c r="T1398" s="191">
        <f t="shared" si="23"/>
        <v>0</v>
      </c>
      <c r="U1398" s="36"/>
      <c r="V1398" s="36"/>
      <c r="W1398" s="36"/>
      <c r="X1398" s="36"/>
      <c r="Y1398" s="36"/>
      <c r="Z1398" s="36"/>
      <c r="AA1398" s="36"/>
      <c r="AB1398" s="36"/>
      <c r="AC1398" s="36"/>
      <c r="AD1398" s="36"/>
      <c r="AE1398" s="36"/>
      <c r="AR1398" s="192" t="s">
        <v>281</v>
      </c>
      <c r="AT1398" s="192" t="s">
        <v>382</v>
      </c>
      <c r="AU1398" s="192" t="s">
        <v>82</v>
      </c>
      <c r="AY1398" s="19" t="s">
        <v>380</v>
      </c>
      <c r="BE1398" s="193">
        <f t="shared" si="24"/>
        <v>0</v>
      </c>
      <c r="BF1398" s="193">
        <f t="shared" si="25"/>
        <v>0</v>
      </c>
      <c r="BG1398" s="193">
        <f t="shared" si="26"/>
        <v>0</v>
      </c>
      <c r="BH1398" s="193">
        <f t="shared" si="27"/>
        <v>0</v>
      </c>
      <c r="BI1398" s="193">
        <f t="shared" si="28"/>
        <v>0</v>
      </c>
      <c r="BJ1398" s="19" t="s">
        <v>79</v>
      </c>
      <c r="BK1398" s="193">
        <f t="shared" si="29"/>
        <v>0</v>
      </c>
      <c r="BL1398" s="19" t="s">
        <v>281</v>
      </c>
      <c r="BM1398" s="192" t="s">
        <v>1914</v>
      </c>
    </row>
    <row r="1399" spans="1:65" s="2" customFormat="1" ht="24.2" customHeight="1">
      <c r="A1399" s="36"/>
      <c r="B1399" s="37"/>
      <c r="C1399" s="181" t="s">
        <v>1915</v>
      </c>
      <c r="D1399" s="181" t="s">
        <v>382</v>
      </c>
      <c r="E1399" s="182" t="s">
        <v>1916</v>
      </c>
      <c r="F1399" s="183" t="s">
        <v>1917</v>
      </c>
      <c r="G1399" s="184" t="s">
        <v>641</v>
      </c>
      <c r="H1399" s="185">
        <v>3</v>
      </c>
      <c r="I1399" s="186"/>
      <c r="J1399" s="187">
        <f t="shared" si="20"/>
        <v>0</v>
      </c>
      <c r="K1399" s="183" t="s">
        <v>19</v>
      </c>
      <c r="L1399" s="41"/>
      <c r="M1399" s="188" t="s">
        <v>19</v>
      </c>
      <c r="N1399" s="189" t="s">
        <v>43</v>
      </c>
      <c r="O1399" s="66"/>
      <c r="P1399" s="190">
        <f t="shared" si="21"/>
        <v>0</v>
      </c>
      <c r="Q1399" s="190">
        <v>0</v>
      </c>
      <c r="R1399" s="190">
        <f t="shared" si="22"/>
        <v>0</v>
      </c>
      <c r="S1399" s="190">
        <v>0</v>
      </c>
      <c r="T1399" s="191">
        <f t="shared" si="23"/>
        <v>0</v>
      </c>
      <c r="U1399" s="36"/>
      <c r="V1399" s="36"/>
      <c r="W1399" s="36"/>
      <c r="X1399" s="36"/>
      <c r="Y1399" s="36"/>
      <c r="Z1399" s="36"/>
      <c r="AA1399" s="36"/>
      <c r="AB1399" s="36"/>
      <c r="AC1399" s="36"/>
      <c r="AD1399" s="36"/>
      <c r="AE1399" s="36"/>
      <c r="AR1399" s="192" t="s">
        <v>281</v>
      </c>
      <c r="AT1399" s="192" t="s">
        <v>382</v>
      </c>
      <c r="AU1399" s="192" t="s">
        <v>82</v>
      </c>
      <c r="AY1399" s="19" t="s">
        <v>380</v>
      </c>
      <c r="BE1399" s="193">
        <f t="shared" si="24"/>
        <v>0</v>
      </c>
      <c r="BF1399" s="193">
        <f t="shared" si="25"/>
        <v>0</v>
      </c>
      <c r="BG1399" s="193">
        <f t="shared" si="26"/>
        <v>0</v>
      </c>
      <c r="BH1399" s="193">
        <f t="shared" si="27"/>
        <v>0</v>
      </c>
      <c r="BI1399" s="193">
        <f t="shared" si="28"/>
        <v>0</v>
      </c>
      <c r="BJ1399" s="19" t="s">
        <v>79</v>
      </c>
      <c r="BK1399" s="193">
        <f t="shared" si="29"/>
        <v>0</v>
      </c>
      <c r="BL1399" s="19" t="s">
        <v>281</v>
      </c>
      <c r="BM1399" s="192" t="s">
        <v>1918</v>
      </c>
    </row>
    <row r="1400" spans="1:65" s="2" customFormat="1" ht="24.2" customHeight="1">
      <c r="A1400" s="36"/>
      <c r="B1400" s="37"/>
      <c r="C1400" s="181" t="s">
        <v>1919</v>
      </c>
      <c r="D1400" s="181" t="s">
        <v>382</v>
      </c>
      <c r="E1400" s="182" t="s">
        <v>1920</v>
      </c>
      <c r="F1400" s="183" t="s">
        <v>1921</v>
      </c>
      <c r="G1400" s="184" t="s">
        <v>641</v>
      </c>
      <c r="H1400" s="185">
        <v>2</v>
      </c>
      <c r="I1400" s="186"/>
      <c r="J1400" s="187">
        <f t="shared" si="20"/>
        <v>0</v>
      </c>
      <c r="K1400" s="183" t="s">
        <v>19</v>
      </c>
      <c r="L1400" s="41"/>
      <c r="M1400" s="188" t="s">
        <v>19</v>
      </c>
      <c r="N1400" s="189" t="s">
        <v>43</v>
      </c>
      <c r="O1400" s="66"/>
      <c r="P1400" s="190">
        <f t="shared" si="21"/>
        <v>0</v>
      </c>
      <c r="Q1400" s="190">
        <v>0</v>
      </c>
      <c r="R1400" s="190">
        <f t="shared" si="22"/>
        <v>0</v>
      </c>
      <c r="S1400" s="190">
        <v>0</v>
      </c>
      <c r="T1400" s="191">
        <f t="shared" si="23"/>
        <v>0</v>
      </c>
      <c r="U1400" s="36"/>
      <c r="V1400" s="36"/>
      <c r="W1400" s="36"/>
      <c r="X1400" s="36"/>
      <c r="Y1400" s="36"/>
      <c r="Z1400" s="36"/>
      <c r="AA1400" s="36"/>
      <c r="AB1400" s="36"/>
      <c r="AC1400" s="36"/>
      <c r="AD1400" s="36"/>
      <c r="AE1400" s="36"/>
      <c r="AR1400" s="192" t="s">
        <v>281</v>
      </c>
      <c r="AT1400" s="192" t="s">
        <v>382</v>
      </c>
      <c r="AU1400" s="192" t="s">
        <v>82</v>
      </c>
      <c r="AY1400" s="19" t="s">
        <v>380</v>
      </c>
      <c r="BE1400" s="193">
        <f t="shared" si="24"/>
        <v>0</v>
      </c>
      <c r="BF1400" s="193">
        <f t="shared" si="25"/>
        <v>0</v>
      </c>
      <c r="BG1400" s="193">
        <f t="shared" si="26"/>
        <v>0</v>
      </c>
      <c r="BH1400" s="193">
        <f t="shared" si="27"/>
        <v>0</v>
      </c>
      <c r="BI1400" s="193">
        <f t="shared" si="28"/>
        <v>0</v>
      </c>
      <c r="BJ1400" s="19" t="s">
        <v>79</v>
      </c>
      <c r="BK1400" s="193">
        <f t="shared" si="29"/>
        <v>0</v>
      </c>
      <c r="BL1400" s="19" t="s">
        <v>281</v>
      </c>
      <c r="BM1400" s="192" t="s">
        <v>1922</v>
      </c>
    </row>
    <row r="1401" spans="1:65" s="2" customFormat="1" ht="24.2" customHeight="1">
      <c r="A1401" s="36"/>
      <c r="B1401" s="37"/>
      <c r="C1401" s="181" t="s">
        <v>1923</v>
      </c>
      <c r="D1401" s="181" t="s">
        <v>382</v>
      </c>
      <c r="E1401" s="182" t="s">
        <v>1924</v>
      </c>
      <c r="F1401" s="183" t="s">
        <v>1925</v>
      </c>
      <c r="G1401" s="184" t="s">
        <v>641</v>
      </c>
      <c r="H1401" s="185">
        <v>8</v>
      </c>
      <c r="I1401" s="186"/>
      <c r="J1401" s="187">
        <f t="shared" si="20"/>
        <v>0</v>
      </c>
      <c r="K1401" s="183" t="s">
        <v>19</v>
      </c>
      <c r="L1401" s="41"/>
      <c r="M1401" s="188" t="s">
        <v>19</v>
      </c>
      <c r="N1401" s="189" t="s">
        <v>43</v>
      </c>
      <c r="O1401" s="66"/>
      <c r="P1401" s="190">
        <f t="shared" si="21"/>
        <v>0</v>
      </c>
      <c r="Q1401" s="190">
        <v>0</v>
      </c>
      <c r="R1401" s="190">
        <f t="shared" si="22"/>
        <v>0</v>
      </c>
      <c r="S1401" s="190">
        <v>0</v>
      </c>
      <c r="T1401" s="191">
        <f t="shared" si="23"/>
        <v>0</v>
      </c>
      <c r="U1401" s="36"/>
      <c r="V1401" s="36"/>
      <c r="W1401" s="36"/>
      <c r="X1401" s="36"/>
      <c r="Y1401" s="36"/>
      <c r="Z1401" s="36"/>
      <c r="AA1401" s="36"/>
      <c r="AB1401" s="36"/>
      <c r="AC1401" s="36"/>
      <c r="AD1401" s="36"/>
      <c r="AE1401" s="36"/>
      <c r="AR1401" s="192" t="s">
        <v>281</v>
      </c>
      <c r="AT1401" s="192" t="s">
        <v>382</v>
      </c>
      <c r="AU1401" s="192" t="s">
        <v>82</v>
      </c>
      <c r="AY1401" s="19" t="s">
        <v>380</v>
      </c>
      <c r="BE1401" s="193">
        <f t="shared" si="24"/>
        <v>0</v>
      </c>
      <c r="BF1401" s="193">
        <f t="shared" si="25"/>
        <v>0</v>
      </c>
      <c r="BG1401" s="193">
        <f t="shared" si="26"/>
        <v>0</v>
      </c>
      <c r="BH1401" s="193">
        <f t="shared" si="27"/>
        <v>0</v>
      </c>
      <c r="BI1401" s="193">
        <f t="shared" si="28"/>
        <v>0</v>
      </c>
      <c r="BJ1401" s="19" t="s">
        <v>79</v>
      </c>
      <c r="BK1401" s="193">
        <f t="shared" si="29"/>
        <v>0</v>
      </c>
      <c r="BL1401" s="19" t="s">
        <v>281</v>
      </c>
      <c r="BM1401" s="192" t="s">
        <v>1926</v>
      </c>
    </row>
    <row r="1402" spans="1:65" s="2" customFormat="1" ht="24.2" customHeight="1">
      <c r="A1402" s="36"/>
      <c r="B1402" s="37"/>
      <c r="C1402" s="181" t="s">
        <v>1927</v>
      </c>
      <c r="D1402" s="181" t="s">
        <v>382</v>
      </c>
      <c r="E1402" s="182" t="s">
        <v>1928</v>
      </c>
      <c r="F1402" s="183" t="s">
        <v>1929</v>
      </c>
      <c r="G1402" s="184" t="s">
        <v>641</v>
      </c>
      <c r="H1402" s="185">
        <v>1</v>
      </c>
      <c r="I1402" s="186"/>
      <c r="J1402" s="187">
        <f t="shared" si="20"/>
        <v>0</v>
      </c>
      <c r="K1402" s="183" t="s">
        <v>19</v>
      </c>
      <c r="L1402" s="41"/>
      <c r="M1402" s="188" t="s">
        <v>19</v>
      </c>
      <c r="N1402" s="189" t="s">
        <v>43</v>
      </c>
      <c r="O1402" s="66"/>
      <c r="P1402" s="190">
        <f t="shared" si="21"/>
        <v>0</v>
      </c>
      <c r="Q1402" s="190">
        <v>0</v>
      </c>
      <c r="R1402" s="190">
        <f t="shared" si="22"/>
        <v>0</v>
      </c>
      <c r="S1402" s="190">
        <v>0</v>
      </c>
      <c r="T1402" s="191">
        <f t="shared" si="23"/>
        <v>0</v>
      </c>
      <c r="U1402" s="36"/>
      <c r="V1402" s="36"/>
      <c r="W1402" s="36"/>
      <c r="X1402" s="36"/>
      <c r="Y1402" s="36"/>
      <c r="Z1402" s="36"/>
      <c r="AA1402" s="36"/>
      <c r="AB1402" s="36"/>
      <c r="AC1402" s="36"/>
      <c r="AD1402" s="36"/>
      <c r="AE1402" s="36"/>
      <c r="AR1402" s="192" t="s">
        <v>281</v>
      </c>
      <c r="AT1402" s="192" t="s">
        <v>382</v>
      </c>
      <c r="AU1402" s="192" t="s">
        <v>82</v>
      </c>
      <c r="AY1402" s="19" t="s">
        <v>380</v>
      </c>
      <c r="BE1402" s="193">
        <f t="shared" si="24"/>
        <v>0</v>
      </c>
      <c r="BF1402" s="193">
        <f t="shared" si="25"/>
        <v>0</v>
      </c>
      <c r="BG1402" s="193">
        <f t="shared" si="26"/>
        <v>0</v>
      </c>
      <c r="BH1402" s="193">
        <f t="shared" si="27"/>
        <v>0</v>
      </c>
      <c r="BI1402" s="193">
        <f t="shared" si="28"/>
        <v>0</v>
      </c>
      <c r="BJ1402" s="19" t="s">
        <v>79</v>
      </c>
      <c r="BK1402" s="193">
        <f t="shared" si="29"/>
        <v>0</v>
      </c>
      <c r="BL1402" s="19" t="s">
        <v>281</v>
      </c>
      <c r="BM1402" s="192" t="s">
        <v>1930</v>
      </c>
    </row>
    <row r="1403" spans="1:65" s="2" customFormat="1" ht="24.2" customHeight="1">
      <c r="A1403" s="36"/>
      <c r="B1403" s="37"/>
      <c r="C1403" s="181" t="s">
        <v>1931</v>
      </c>
      <c r="D1403" s="181" t="s">
        <v>382</v>
      </c>
      <c r="E1403" s="182" t="s">
        <v>1932</v>
      </c>
      <c r="F1403" s="183" t="s">
        <v>1933</v>
      </c>
      <c r="G1403" s="184" t="s">
        <v>641</v>
      </c>
      <c r="H1403" s="185">
        <v>1</v>
      </c>
      <c r="I1403" s="186"/>
      <c r="J1403" s="187">
        <f t="shared" si="20"/>
        <v>0</v>
      </c>
      <c r="K1403" s="183" t="s">
        <v>19</v>
      </c>
      <c r="L1403" s="41"/>
      <c r="M1403" s="188" t="s">
        <v>19</v>
      </c>
      <c r="N1403" s="189" t="s">
        <v>43</v>
      </c>
      <c r="O1403" s="66"/>
      <c r="P1403" s="190">
        <f t="shared" si="21"/>
        <v>0</v>
      </c>
      <c r="Q1403" s="190">
        <v>0</v>
      </c>
      <c r="R1403" s="190">
        <f t="shared" si="22"/>
        <v>0</v>
      </c>
      <c r="S1403" s="190">
        <v>0</v>
      </c>
      <c r="T1403" s="191">
        <f t="shared" si="23"/>
        <v>0</v>
      </c>
      <c r="U1403" s="36"/>
      <c r="V1403" s="36"/>
      <c r="W1403" s="36"/>
      <c r="X1403" s="36"/>
      <c r="Y1403" s="36"/>
      <c r="Z1403" s="36"/>
      <c r="AA1403" s="36"/>
      <c r="AB1403" s="36"/>
      <c r="AC1403" s="36"/>
      <c r="AD1403" s="36"/>
      <c r="AE1403" s="36"/>
      <c r="AR1403" s="192" t="s">
        <v>281</v>
      </c>
      <c r="AT1403" s="192" t="s">
        <v>382</v>
      </c>
      <c r="AU1403" s="192" t="s">
        <v>82</v>
      </c>
      <c r="AY1403" s="19" t="s">
        <v>380</v>
      </c>
      <c r="BE1403" s="193">
        <f t="shared" si="24"/>
        <v>0</v>
      </c>
      <c r="BF1403" s="193">
        <f t="shared" si="25"/>
        <v>0</v>
      </c>
      <c r="BG1403" s="193">
        <f t="shared" si="26"/>
        <v>0</v>
      </c>
      <c r="BH1403" s="193">
        <f t="shared" si="27"/>
        <v>0</v>
      </c>
      <c r="BI1403" s="193">
        <f t="shared" si="28"/>
        <v>0</v>
      </c>
      <c r="BJ1403" s="19" t="s">
        <v>79</v>
      </c>
      <c r="BK1403" s="193">
        <f t="shared" si="29"/>
        <v>0</v>
      </c>
      <c r="BL1403" s="19" t="s">
        <v>281</v>
      </c>
      <c r="BM1403" s="192" t="s">
        <v>1934</v>
      </c>
    </row>
    <row r="1404" spans="1:65" s="2" customFormat="1" ht="24.2" customHeight="1">
      <c r="A1404" s="36"/>
      <c r="B1404" s="37"/>
      <c r="C1404" s="181" t="s">
        <v>1935</v>
      </c>
      <c r="D1404" s="181" t="s">
        <v>382</v>
      </c>
      <c r="E1404" s="182" t="s">
        <v>1936</v>
      </c>
      <c r="F1404" s="183" t="s">
        <v>1937</v>
      </c>
      <c r="G1404" s="184" t="s">
        <v>641</v>
      </c>
      <c r="H1404" s="185">
        <v>1</v>
      </c>
      <c r="I1404" s="186"/>
      <c r="J1404" s="187">
        <f t="shared" si="20"/>
        <v>0</v>
      </c>
      <c r="K1404" s="183" t="s">
        <v>19</v>
      </c>
      <c r="L1404" s="41"/>
      <c r="M1404" s="188" t="s">
        <v>19</v>
      </c>
      <c r="N1404" s="189" t="s">
        <v>43</v>
      </c>
      <c r="O1404" s="66"/>
      <c r="P1404" s="190">
        <f t="shared" si="21"/>
        <v>0</v>
      </c>
      <c r="Q1404" s="190">
        <v>0</v>
      </c>
      <c r="R1404" s="190">
        <f t="shared" si="22"/>
        <v>0</v>
      </c>
      <c r="S1404" s="190">
        <v>0</v>
      </c>
      <c r="T1404" s="191">
        <f t="shared" si="23"/>
        <v>0</v>
      </c>
      <c r="U1404" s="36"/>
      <c r="V1404" s="36"/>
      <c r="W1404" s="36"/>
      <c r="X1404" s="36"/>
      <c r="Y1404" s="36"/>
      <c r="Z1404" s="36"/>
      <c r="AA1404" s="36"/>
      <c r="AB1404" s="36"/>
      <c r="AC1404" s="36"/>
      <c r="AD1404" s="36"/>
      <c r="AE1404" s="36"/>
      <c r="AR1404" s="192" t="s">
        <v>281</v>
      </c>
      <c r="AT1404" s="192" t="s">
        <v>382</v>
      </c>
      <c r="AU1404" s="192" t="s">
        <v>82</v>
      </c>
      <c r="AY1404" s="19" t="s">
        <v>380</v>
      </c>
      <c r="BE1404" s="193">
        <f t="shared" si="24"/>
        <v>0</v>
      </c>
      <c r="BF1404" s="193">
        <f t="shared" si="25"/>
        <v>0</v>
      </c>
      <c r="BG1404" s="193">
        <f t="shared" si="26"/>
        <v>0</v>
      </c>
      <c r="BH1404" s="193">
        <f t="shared" si="27"/>
        <v>0</v>
      </c>
      <c r="BI1404" s="193">
        <f t="shared" si="28"/>
        <v>0</v>
      </c>
      <c r="BJ1404" s="19" t="s">
        <v>79</v>
      </c>
      <c r="BK1404" s="193">
        <f t="shared" si="29"/>
        <v>0</v>
      </c>
      <c r="BL1404" s="19" t="s">
        <v>281</v>
      </c>
      <c r="BM1404" s="192" t="s">
        <v>1938</v>
      </c>
    </row>
    <row r="1405" spans="1:65" s="2" customFormat="1" ht="24.2" customHeight="1">
      <c r="A1405" s="36"/>
      <c r="B1405" s="37"/>
      <c r="C1405" s="181" t="s">
        <v>1939</v>
      </c>
      <c r="D1405" s="181" t="s">
        <v>382</v>
      </c>
      <c r="E1405" s="182" t="s">
        <v>1940</v>
      </c>
      <c r="F1405" s="183" t="s">
        <v>1941</v>
      </c>
      <c r="G1405" s="184" t="s">
        <v>641</v>
      </c>
      <c r="H1405" s="185">
        <v>1</v>
      </c>
      <c r="I1405" s="186"/>
      <c r="J1405" s="187">
        <f t="shared" si="20"/>
        <v>0</v>
      </c>
      <c r="K1405" s="183" t="s">
        <v>19</v>
      </c>
      <c r="L1405" s="41"/>
      <c r="M1405" s="188" t="s">
        <v>19</v>
      </c>
      <c r="N1405" s="189" t="s">
        <v>43</v>
      </c>
      <c r="O1405" s="66"/>
      <c r="P1405" s="190">
        <f t="shared" si="21"/>
        <v>0</v>
      </c>
      <c r="Q1405" s="190">
        <v>0</v>
      </c>
      <c r="R1405" s="190">
        <f t="shared" si="22"/>
        <v>0</v>
      </c>
      <c r="S1405" s="190">
        <v>0</v>
      </c>
      <c r="T1405" s="191">
        <f t="shared" si="23"/>
        <v>0</v>
      </c>
      <c r="U1405" s="36"/>
      <c r="V1405" s="36"/>
      <c r="W1405" s="36"/>
      <c r="X1405" s="36"/>
      <c r="Y1405" s="36"/>
      <c r="Z1405" s="36"/>
      <c r="AA1405" s="36"/>
      <c r="AB1405" s="36"/>
      <c r="AC1405" s="36"/>
      <c r="AD1405" s="36"/>
      <c r="AE1405" s="36"/>
      <c r="AR1405" s="192" t="s">
        <v>281</v>
      </c>
      <c r="AT1405" s="192" t="s">
        <v>382</v>
      </c>
      <c r="AU1405" s="192" t="s">
        <v>82</v>
      </c>
      <c r="AY1405" s="19" t="s">
        <v>380</v>
      </c>
      <c r="BE1405" s="193">
        <f t="shared" si="24"/>
        <v>0</v>
      </c>
      <c r="BF1405" s="193">
        <f t="shared" si="25"/>
        <v>0</v>
      </c>
      <c r="BG1405" s="193">
        <f t="shared" si="26"/>
        <v>0</v>
      </c>
      <c r="BH1405" s="193">
        <f t="shared" si="27"/>
        <v>0</v>
      </c>
      <c r="BI1405" s="193">
        <f t="shared" si="28"/>
        <v>0</v>
      </c>
      <c r="BJ1405" s="19" t="s">
        <v>79</v>
      </c>
      <c r="BK1405" s="193">
        <f t="shared" si="29"/>
        <v>0</v>
      </c>
      <c r="BL1405" s="19" t="s">
        <v>281</v>
      </c>
      <c r="BM1405" s="192" t="s">
        <v>1942</v>
      </c>
    </row>
    <row r="1406" spans="1:65" s="2" customFormat="1" ht="24.2" customHeight="1">
      <c r="A1406" s="36"/>
      <c r="B1406" s="37"/>
      <c r="C1406" s="181" t="s">
        <v>1943</v>
      </c>
      <c r="D1406" s="181" t="s">
        <v>382</v>
      </c>
      <c r="E1406" s="182" t="s">
        <v>1944</v>
      </c>
      <c r="F1406" s="183" t="s">
        <v>1945</v>
      </c>
      <c r="G1406" s="184" t="s">
        <v>641</v>
      </c>
      <c r="H1406" s="185">
        <v>1</v>
      </c>
      <c r="I1406" s="186"/>
      <c r="J1406" s="187">
        <f t="shared" si="20"/>
        <v>0</v>
      </c>
      <c r="K1406" s="183" t="s">
        <v>19</v>
      </c>
      <c r="L1406" s="41"/>
      <c r="M1406" s="188" t="s">
        <v>19</v>
      </c>
      <c r="N1406" s="189" t="s">
        <v>43</v>
      </c>
      <c r="O1406" s="66"/>
      <c r="P1406" s="190">
        <f t="shared" si="21"/>
        <v>0</v>
      </c>
      <c r="Q1406" s="190">
        <v>0</v>
      </c>
      <c r="R1406" s="190">
        <f t="shared" si="22"/>
        <v>0</v>
      </c>
      <c r="S1406" s="190">
        <v>0</v>
      </c>
      <c r="T1406" s="191">
        <f t="shared" si="23"/>
        <v>0</v>
      </c>
      <c r="U1406" s="36"/>
      <c r="V1406" s="36"/>
      <c r="W1406" s="36"/>
      <c r="X1406" s="36"/>
      <c r="Y1406" s="36"/>
      <c r="Z1406" s="36"/>
      <c r="AA1406" s="36"/>
      <c r="AB1406" s="36"/>
      <c r="AC1406" s="36"/>
      <c r="AD1406" s="36"/>
      <c r="AE1406" s="36"/>
      <c r="AR1406" s="192" t="s">
        <v>281</v>
      </c>
      <c r="AT1406" s="192" t="s">
        <v>382</v>
      </c>
      <c r="AU1406" s="192" t="s">
        <v>82</v>
      </c>
      <c r="AY1406" s="19" t="s">
        <v>380</v>
      </c>
      <c r="BE1406" s="193">
        <f t="shared" si="24"/>
        <v>0</v>
      </c>
      <c r="BF1406" s="193">
        <f t="shared" si="25"/>
        <v>0</v>
      </c>
      <c r="BG1406" s="193">
        <f t="shared" si="26"/>
        <v>0</v>
      </c>
      <c r="BH1406" s="193">
        <f t="shared" si="27"/>
        <v>0</v>
      </c>
      <c r="BI1406" s="193">
        <f t="shared" si="28"/>
        <v>0</v>
      </c>
      <c r="BJ1406" s="19" t="s">
        <v>79</v>
      </c>
      <c r="BK1406" s="193">
        <f t="shared" si="29"/>
        <v>0</v>
      </c>
      <c r="BL1406" s="19" t="s">
        <v>281</v>
      </c>
      <c r="BM1406" s="192" t="s">
        <v>1946</v>
      </c>
    </row>
    <row r="1407" spans="1:65" s="2" customFormat="1" ht="24.2" customHeight="1">
      <c r="A1407" s="36"/>
      <c r="B1407" s="37"/>
      <c r="C1407" s="181" t="s">
        <v>1947</v>
      </c>
      <c r="D1407" s="181" t="s">
        <v>382</v>
      </c>
      <c r="E1407" s="182" t="s">
        <v>1948</v>
      </c>
      <c r="F1407" s="183" t="s">
        <v>1949</v>
      </c>
      <c r="G1407" s="184" t="s">
        <v>641</v>
      </c>
      <c r="H1407" s="185">
        <v>2</v>
      </c>
      <c r="I1407" s="186"/>
      <c r="J1407" s="187">
        <f t="shared" si="20"/>
        <v>0</v>
      </c>
      <c r="K1407" s="183" t="s">
        <v>19</v>
      </c>
      <c r="L1407" s="41"/>
      <c r="M1407" s="188" t="s">
        <v>19</v>
      </c>
      <c r="N1407" s="189" t="s">
        <v>43</v>
      </c>
      <c r="O1407" s="66"/>
      <c r="P1407" s="190">
        <f t="shared" si="21"/>
        <v>0</v>
      </c>
      <c r="Q1407" s="190">
        <v>0</v>
      </c>
      <c r="R1407" s="190">
        <f t="shared" si="22"/>
        <v>0</v>
      </c>
      <c r="S1407" s="190">
        <v>0</v>
      </c>
      <c r="T1407" s="191">
        <f t="shared" si="23"/>
        <v>0</v>
      </c>
      <c r="U1407" s="36"/>
      <c r="V1407" s="36"/>
      <c r="W1407" s="36"/>
      <c r="X1407" s="36"/>
      <c r="Y1407" s="36"/>
      <c r="Z1407" s="36"/>
      <c r="AA1407" s="36"/>
      <c r="AB1407" s="36"/>
      <c r="AC1407" s="36"/>
      <c r="AD1407" s="36"/>
      <c r="AE1407" s="36"/>
      <c r="AR1407" s="192" t="s">
        <v>281</v>
      </c>
      <c r="AT1407" s="192" t="s">
        <v>382</v>
      </c>
      <c r="AU1407" s="192" t="s">
        <v>82</v>
      </c>
      <c r="AY1407" s="19" t="s">
        <v>380</v>
      </c>
      <c r="BE1407" s="193">
        <f t="shared" si="24"/>
        <v>0</v>
      </c>
      <c r="BF1407" s="193">
        <f t="shared" si="25"/>
        <v>0</v>
      </c>
      <c r="BG1407" s="193">
        <f t="shared" si="26"/>
        <v>0</v>
      </c>
      <c r="BH1407" s="193">
        <f t="shared" si="27"/>
        <v>0</v>
      </c>
      <c r="BI1407" s="193">
        <f t="shared" si="28"/>
        <v>0</v>
      </c>
      <c r="BJ1407" s="19" t="s">
        <v>79</v>
      </c>
      <c r="BK1407" s="193">
        <f t="shared" si="29"/>
        <v>0</v>
      </c>
      <c r="BL1407" s="19" t="s">
        <v>281</v>
      </c>
      <c r="BM1407" s="192" t="s">
        <v>1950</v>
      </c>
    </row>
    <row r="1408" spans="1:65" s="2" customFormat="1" ht="24.2" customHeight="1">
      <c r="A1408" s="36"/>
      <c r="B1408" s="37"/>
      <c r="C1408" s="181" t="s">
        <v>1951</v>
      </c>
      <c r="D1408" s="181" t="s">
        <v>382</v>
      </c>
      <c r="E1408" s="182" t="s">
        <v>1952</v>
      </c>
      <c r="F1408" s="183" t="s">
        <v>1953</v>
      </c>
      <c r="G1408" s="184" t="s">
        <v>641</v>
      </c>
      <c r="H1408" s="185">
        <v>1</v>
      </c>
      <c r="I1408" s="186"/>
      <c r="J1408" s="187">
        <f t="shared" si="20"/>
        <v>0</v>
      </c>
      <c r="K1408" s="183" t="s">
        <v>19</v>
      </c>
      <c r="L1408" s="41"/>
      <c r="M1408" s="188" t="s">
        <v>19</v>
      </c>
      <c r="N1408" s="189" t="s">
        <v>43</v>
      </c>
      <c r="O1408" s="66"/>
      <c r="P1408" s="190">
        <f t="shared" si="21"/>
        <v>0</v>
      </c>
      <c r="Q1408" s="190">
        <v>0</v>
      </c>
      <c r="R1408" s="190">
        <f t="shared" si="22"/>
        <v>0</v>
      </c>
      <c r="S1408" s="190">
        <v>0</v>
      </c>
      <c r="T1408" s="191">
        <f t="shared" si="23"/>
        <v>0</v>
      </c>
      <c r="U1408" s="36"/>
      <c r="V1408" s="36"/>
      <c r="W1408" s="36"/>
      <c r="X1408" s="36"/>
      <c r="Y1408" s="36"/>
      <c r="Z1408" s="36"/>
      <c r="AA1408" s="36"/>
      <c r="AB1408" s="36"/>
      <c r="AC1408" s="36"/>
      <c r="AD1408" s="36"/>
      <c r="AE1408" s="36"/>
      <c r="AR1408" s="192" t="s">
        <v>281</v>
      </c>
      <c r="AT1408" s="192" t="s">
        <v>382</v>
      </c>
      <c r="AU1408" s="192" t="s">
        <v>82</v>
      </c>
      <c r="AY1408" s="19" t="s">
        <v>380</v>
      </c>
      <c r="BE1408" s="193">
        <f t="shared" si="24"/>
        <v>0</v>
      </c>
      <c r="BF1408" s="193">
        <f t="shared" si="25"/>
        <v>0</v>
      </c>
      <c r="BG1408" s="193">
        <f t="shared" si="26"/>
        <v>0</v>
      </c>
      <c r="BH1408" s="193">
        <f t="shared" si="27"/>
        <v>0</v>
      </c>
      <c r="BI1408" s="193">
        <f t="shared" si="28"/>
        <v>0</v>
      </c>
      <c r="BJ1408" s="19" t="s">
        <v>79</v>
      </c>
      <c r="BK1408" s="193">
        <f t="shared" si="29"/>
        <v>0</v>
      </c>
      <c r="BL1408" s="19" t="s">
        <v>281</v>
      </c>
      <c r="BM1408" s="192" t="s">
        <v>1954</v>
      </c>
    </row>
    <row r="1409" spans="1:65" s="2" customFormat="1" ht="24.2" customHeight="1">
      <c r="A1409" s="36"/>
      <c r="B1409" s="37"/>
      <c r="C1409" s="181" t="s">
        <v>1955</v>
      </c>
      <c r="D1409" s="181" t="s">
        <v>382</v>
      </c>
      <c r="E1409" s="182" t="s">
        <v>1956</v>
      </c>
      <c r="F1409" s="183" t="s">
        <v>1957</v>
      </c>
      <c r="G1409" s="184" t="s">
        <v>641</v>
      </c>
      <c r="H1409" s="185">
        <v>4</v>
      </c>
      <c r="I1409" s="186"/>
      <c r="J1409" s="187">
        <f t="shared" si="20"/>
        <v>0</v>
      </c>
      <c r="K1409" s="183" t="s">
        <v>19</v>
      </c>
      <c r="L1409" s="41"/>
      <c r="M1409" s="188" t="s">
        <v>19</v>
      </c>
      <c r="N1409" s="189" t="s">
        <v>43</v>
      </c>
      <c r="O1409" s="66"/>
      <c r="P1409" s="190">
        <f t="shared" si="21"/>
        <v>0</v>
      </c>
      <c r="Q1409" s="190">
        <v>0</v>
      </c>
      <c r="R1409" s="190">
        <f t="shared" si="22"/>
        <v>0</v>
      </c>
      <c r="S1409" s="190">
        <v>0</v>
      </c>
      <c r="T1409" s="191">
        <f t="shared" si="23"/>
        <v>0</v>
      </c>
      <c r="U1409" s="36"/>
      <c r="V1409" s="36"/>
      <c r="W1409" s="36"/>
      <c r="X1409" s="36"/>
      <c r="Y1409" s="36"/>
      <c r="Z1409" s="36"/>
      <c r="AA1409" s="36"/>
      <c r="AB1409" s="36"/>
      <c r="AC1409" s="36"/>
      <c r="AD1409" s="36"/>
      <c r="AE1409" s="36"/>
      <c r="AR1409" s="192" t="s">
        <v>281</v>
      </c>
      <c r="AT1409" s="192" t="s">
        <v>382</v>
      </c>
      <c r="AU1409" s="192" t="s">
        <v>82</v>
      </c>
      <c r="AY1409" s="19" t="s">
        <v>380</v>
      </c>
      <c r="BE1409" s="193">
        <f t="shared" si="24"/>
        <v>0</v>
      </c>
      <c r="BF1409" s="193">
        <f t="shared" si="25"/>
        <v>0</v>
      </c>
      <c r="BG1409" s="193">
        <f t="shared" si="26"/>
        <v>0</v>
      </c>
      <c r="BH1409" s="193">
        <f t="shared" si="27"/>
        <v>0</v>
      </c>
      <c r="BI1409" s="193">
        <f t="shared" si="28"/>
        <v>0</v>
      </c>
      <c r="BJ1409" s="19" t="s">
        <v>79</v>
      </c>
      <c r="BK1409" s="193">
        <f t="shared" si="29"/>
        <v>0</v>
      </c>
      <c r="BL1409" s="19" t="s">
        <v>281</v>
      </c>
      <c r="BM1409" s="192" t="s">
        <v>1958</v>
      </c>
    </row>
    <row r="1410" spans="1:65" s="2" customFormat="1" ht="24.2" customHeight="1">
      <c r="A1410" s="36"/>
      <c r="B1410" s="37"/>
      <c r="C1410" s="181" t="s">
        <v>1959</v>
      </c>
      <c r="D1410" s="181" t="s">
        <v>382</v>
      </c>
      <c r="E1410" s="182" t="s">
        <v>1960</v>
      </c>
      <c r="F1410" s="183" t="s">
        <v>1961</v>
      </c>
      <c r="G1410" s="184" t="s">
        <v>641</v>
      </c>
      <c r="H1410" s="185">
        <v>1</v>
      </c>
      <c r="I1410" s="186"/>
      <c r="J1410" s="187">
        <f t="shared" si="20"/>
        <v>0</v>
      </c>
      <c r="K1410" s="183" t="s">
        <v>19</v>
      </c>
      <c r="L1410" s="41"/>
      <c r="M1410" s="188" t="s">
        <v>19</v>
      </c>
      <c r="N1410" s="189" t="s">
        <v>43</v>
      </c>
      <c r="O1410" s="66"/>
      <c r="P1410" s="190">
        <f t="shared" si="21"/>
        <v>0</v>
      </c>
      <c r="Q1410" s="190">
        <v>0</v>
      </c>
      <c r="R1410" s="190">
        <f t="shared" si="22"/>
        <v>0</v>
      </c>
      <c r="S1410" s="190">
        <v>0</v>
      </c>
      <c r="T1410" s="191">
        <f t="shared" si="23"/>
        <v>0</v>
      </c>
      <c r="U1410" s="36"/>
      <c r="V1410" s="36"/>
      <c r="W1410" s="36"/>
      <c r="X1410" s="36"/>
      <c r="Y1410" s="36"/>
      <c r="Z1410" s="36"/>
      <c r="AA1410" s="36"/>
      <c r="AB1410" s="36"/>
      <c r="AC1410" s="36"/>
      <c r="AD1410" s="36"/>
      <c r="AE1410" s="36"/>
      <c r="AR1410" s="192" t="s">
        <v>281</v>
      </c>
      <c r="AT1410" s="192" t="s">
        <v>382</v>
      </c>
      <c r="AU1410" s="192" t="s">
        <v>82</v>
      </c>
      <c r="AY1410" s="19" t="s">
        <v>380</v>
      </c>
      <c r="BE1410" s="193">
        <f t="shared" si="24"/>
        <v>0</v>
      </c>
      <c r="BF1410" s="193">
        <f t="shared" si="25"/>
        <v>0</v>
      </c>
      <c r="BG1410" s="193">
        <f t="shared" si="26"/>
        <v>0</v>
      </c>
      <c r="BH1410" s="193">
        <f t="shared" si="27"/>
        <v>0</v>
      </c>
      <c r="BI1410" s="193">
        <f t="shared" si="28"/>
        <v>0</v>
      </c>
      <c r="BJ1410" s="19" t="s">
        <v>79</v>
      </c>
      <c r="BK1410" s="193">
        <f t="shared" si="29"/>
        <v>0</v>
      </c>
      <c r="BL1410" s="19" t="s">
        <v>281</v>
      </c>
      <c r="BM1410" s="192" t="s">
        <v>1962</v>
      </c>
    </row>
    <row r="1411" spans="1:65" s="2" customFormat="1" ht="24.2" customHeight="1">
      <c r="A1411" s="36"/>
      <c r="B1411" s="37"/>
      <c r="C1411" s="181" t="s">
        <v>1963</v>
      </c>
      <c r="D1411" s="181" t="s">
        <v>382</v>
      </c>
      <c r="E1411" s="182" t="s">
        <v>1964</v>
      </c>
      <c r="F1411" s="183" t="s">
        <v>1965</v>
      </c>
      <c r="G1411" s="184" t="s">
        <v>641</v>
      </c>
      <c r="H1411" s="185">
        <v>2</v>
      </c>
      <c r="I1411" s="186"/>
      <c r="J1411" s="187">
        <f t="shared" si="20"/>
        <v>0</v>
      </c>
      <c r="K1411" s="183" t="s">
        <v>19</v>
      </c>
      <c r="L1411" s="41"/>
      <c r="M1411" s="188" t="s">
        <v>19</v>
      </c>
      <c r="N1411" s="189" t="s">
        <v>43</v>
      </c>
      <c r="O1411" s="66"/>
      <c r="P1411" s="190">
        <f t="shared" si="21"/>
        <v>0</v>
      </c>
      <c r="Q1411" s="190">
        <v>0</v>
      </c>
      <c r="R1411" s="190">
        <f t="shared" si="22"/>
        <v>0</v>
      </c>
      <c r="S1411" s="190">
        <v>0</v>
      </c>
      <c r="T1411" s="191">
        <f t="shared" si="23"/>
        <v>0</v>
      </c>
      <c r="U1411" s="36"/>
      <c r="V1411" s="36"/>
      <c r="W1411" s="36"/>
      <c r="X1411" s="36"/>
      <c r="Y1411" s="36"/>
      <c r="Z1411" s="36"/>
      <c r="AA1411" s="36"/>
      <c r="AB1411" s="36"/>
      <c r="AC1411" s="36"/>
      <c r="AD1411" s="36"/>
      <c r="AE1411" s="36"/>
      <c r="AR1411" s="192" t="s">
        <v>281</v>
      </c>
      <c r="AT1411" s="192" t="s">
        <v>382</v>
      </c>
      <c r="AU1411" s="192" t="s">
        <v>82</v>
      </c>
      <c r="AY1411" s="19" t="s">
        <v>380</v>
      </c>
      <c r="BE1411" s="193">
        <f t="shared" si="24"/>
        <v>0</v>
      </c>
      <c r="BF1411" s="193">
        <f t="shared" si="25"/>
        <v>0</v>
      </c>
      <c r="BG1411" s="193">
        <f t="shared" si="26"/>
        <v>0</v>
      </c>
      <c r="BH1411" s="193">
        <f t="shared" si="27"/>
        <v>0</v>
      </c>
      <c r="BI1411" s="193">
        <f t="shared" si="28"/>
        <v>0</v>
      </c>
      <c r="BJ1411" s="19" t="s">
        <v>79</v>
      </c>
      <c r="BK1411" s="193">
        <f t="shared" si="29"/>
        <v>0</v>
      </c>
      <c r="BL1411" s="19" t="s">
        <v>281</v>
      </c>
      <c r="BM1411" s="192" t="s">
        <v>1966</v>
      </c>
    </row>
    <row r="1412" spans="1:65" s="2" customFormat="1" ht="24.2" customHeight="1">
      <c r="A1412" s="36"/>
      <c r="B1412" s="37"/>
      <c r="C1412" s="181" t="s">
        <v>1967</v>
      </c>
      <c r="D1412" s="181" t="s">
        <v>382</v>
      </c>
      <c r="E1412" s="182" t="s">
        <v>1968</v>
      </c>
      <c r="F1412" s="183" t="s">
        <v>1969</v>
      </c>
      <c r="G1412" s="184" t="s">
        <v>641</v>
      </c>
      <c r="H1412" s="185">
        <v>2</v>
      </c>
      <c r="I1412" s="186"/>
      <c r="J1412" s="187">
        <f t="shared" si="20"/>
        <v>0</v>
      </c>
      <c r="K1412" s="183" t="s">
        <v>19</v>
      </c>
      <c r="L1412" s="41"/>
      <c r="M1412" s="188" t="s">
        <v>19</v>
      </c>
      <c r="N1412" s="189" t="s">
        <v>43</v>
      </c>
      <c r="O1412" s="66"/>
      <c r="P1412" s="190">
        <f t="shared" si="21"/>
        <v>0</v>
      </c>
      <c r="Q1412" s="190">
        <v>0</v>
      </c>
      <c r="R1412" s="190">
        <f t="shared" si="22"/>
        <v>0</v>
      </c>
      <c r="S1412" s="190">
        <v>0</v>
      </c>
      <c r="T1412" s="191">
        <f t="shared" si="23"/>
        <v>0</v>
      </c>
      <c r="U1412" s="36"/>
      <c r="V1412" s="36"/>
      <c r="W1412" s="36"/>
      <c r="X1412" s="36"/>
      <c r="Y1412" s="36"/>
      <c r="Z1412" s="36"/>
      <c r="AA1412" s="36"/>
      <c r="AB1412" s="36"/>
      <c r="AC1412" s="36"/>
      <c r="AD1412" s="36"/>
      <c r="AE1412" s="36"/>
      <c r="AR1412" s="192" t="s">
        <v>281</v>
      </c>
      <c r="AT1412" s="192" t="s">
        <v>382</v>
      </c>
      <c r="AU1412" s="192" t="s">
        <v>82</v>
      </c>
      <c r="AY1412" s="19" t="s">
        <v>380</v>
      </c>
      <c r="BE1412" s="193">
        <f t="shared" si="24"/>
        <v>0</v>
      </c>
      <c r="BF1412" s="193">
        <f t="shared" si="25"/>
        <v>0</v>
      </c>
      <c r="BG1412" s="193">
        <f t="shared" si="26"/>
        <v>0</v>
      </c>
      <c r="BH1412" s="193">
        <f t="shared" si="27"/>
        <v>0</v>
      </c>
      <c r="BI1412" s="193">
        <f t="shared" si="28"/>
        <v>0</v>
      </c>
      <c r="BJ1412" s="19" t="s">
        <v>79</v>
      </c>
      <c r="BK1412" s="193">
        <f t="shared" si="29"/>
        <v>0</v>
      </c>
      <c r="BL1412" s="19" t="s">
        <v>281</v>
      </c>
      <c r="BM1412" s="192" t="s">
        <v>1970</v>
      </c>
    </row>
    <row r="1413" spans="1:65" s="2" customFormat="1" ht="24.2" customHeight="1">
      <c r="A1413" s="36"/>
      <c r="B1413" s="37"/>
      <c r="C1413" s="181" t="s">
        <v>1971</v>
      </c>
      <c r="D1413" s="181" t="s">
        <v>382</v>
      </c>
      <c r="E1413" s="182" t="s">
        <v>1972</v>
      </c>
      <c r="F1413" s="183" t="s">
        <v>1973</v>
      </c>
      <c r="G1413" s="184" t="s">
        <v>641</v>
      </c>
      <c r="H1413" s="185">
        <v>1</v>
      </c>
      <c r="I1413" s="186"/>
      <c r="J1413" s="187">
        <f t="shared" si="20"/>
        <v>0</v>
      </c>
      <c r="K1413" s="183" t="s">
        <v>19</v>
      </c>
      <c r="L1413" s="41"/>
      <c r="M1413" s="188" t="s">
        <v>19</v>
      </c>
      <c r="N1413" s="189" t="s">
        <v>43</v>
      </c>
      <c r="O1413" s="66"/>
      <c r="P1413" s="190">
        <f t="shared" si="21"/>
        <v>0</v>
      </c>
      <c r="Q1413" s="190">
        <v>0</v>
      </c>
      <c r="R1413" s="190">
        <f t="shared" si="22"/>
        <v>0</v>
      </c>
      <c r="S1413" s="190">
        <v>0</v>
      </c>
      <c r="T1413" s="191">
        <f t="shared" si="23"/>
        <v>0</v>
      </c>
      <c r="U1413" s="36"/>
      <c r="V1413" s="36"/>
      <c r="W1413" s="36"/>
      <c r="X1413" s="36"/>
      <c r="Y1413" s="36"/>
      <c r="Z1413" s="36"/>
      <c r="AA1413" s="36"/>
      <c r="AB1413" s="36"/>
      <c r="AC1413" s="36"/>
      <c r="AD1413" s="36"/>
      <c r="AE1413" s="36"/>
      <c r="AR1413" s="192" t="s">
        <v>281</v>
      </c>
      <c r="AT1413" s="192" t="s">
        <v>382</v>
      </c>
      <c r="AU1413" s="192" t="s">
        <v>82</v>
      </c>
      <c r="AY1413" s="19" t="s">
        <v>380</v>
      </c>
      <c r="BE1413" s="193">
        <f t="shared" si="24"/>
        <v>0</v>
      </c>
      <c r="BF1413" s="193">
        <f t="shared" si="25"/>
        <v>0</v>
      </c>
      <c r="BG1413" s="193">
        <f t="shared" si="26"/>
        <v>0</v>
      </c>
      <c r="BH1413" s="193">
        <f t="shared" si="27"/>
        <v>0</v>
      </c>
      <c r="BI1413" s="193">
        <f t="shared" si="28"/>
        <v>0</v>
      </c>
      <c r="BJ1413" s="19" t="s">
        <v>79</v>
      </c>
      <c r="BK1413" s="193">
        <f t="shared" si="29"/>
        <v>0</v>
      </c>
      <c r="BL1413" s="19" t="s">
        <v>281</v>
      </c>
      <c r="BM1413" s="192" t="s">
        <v>1974</v>
      </c>
    </row>
    <row r="1414" spans="1:65" s="2" customFormat="1" ht="24.2" customHeight="1">
      <c r="A1414" s="36"/>
      <c r="B1414" s="37"/>
      <c r="C1414" s="181" t="s">
        <v>1975</v>
      </c>
      <c r="D1414" s="181" t="s">
        <v>382</v>
      </c>
      <c r="E1414" s="182" t="s">
        <v>1976</v>
      </c>
      <c r="F1414" s="183" t="s">
        <v>1977</v>
      </c>
      <c r="G1414" s="184" t="s">
        <v>641</v>
      </c>
      <c r="H1414" s="185">
        <v>2</v>
      </c>
      <c r="I1414" s="186"/>
      <c r="J1414" s="187">
        <f t="shared" si="20"/>
        <v>0</v>
      </c>
      <c r="K1414" s="183" t="s">
        <v>19</v>
      </c>
      <c r="L1414" s="41"/>
      <c r="M1414" s="188" t="s">
        <v>19</v>
      </c>
      <c r="N1414" s="189" t="s">
        <v>43</v>
      </c>
      <c r="O1414" s="66"/>
      <c r="P1414" s="190">
        <f t="shared" si="21"/>
        <v>0</v>
      </c>
      <c r="Q1414" s="190">
        <v>0</v>
      </c>
      <c r="R1414" s="190">
        <f t="shared" si="22"/>
        <v>0</v>
      </c>
      <c r="S1414" s="190">
        <v>0</v>
      </c>
      <c r="T1414" s="191">
        <f t="shared" si="23"/>
        <v>0</v>
      </c>
      <c r="U1414" s="36"/>
      <c r="V1414" s="36"/>
      <c r="W1414" s="36"/>
      <c r="X1414" s="36"/>
      <c r="Y1414" s="36"/>
      <c r="Z1414" s="36"/>
      <c r="AA1414" s="36"/>
      <c r="AB1414" s="36"/>
      <c r="AC1414" s="36"/>
      <c r="AD1414" s="36"/>
      <c r="AE1414" s="36"/>
      <c r="AR1414" s="192" t="s">
        <v>281</v>
      </c>
      <c r="AT1414" s="192" t="s">
        <v>382</v>
      </c>
      <c r="AU1414" s="192" t="s">
        <v>82</v>
      </c>
      <c r="AY1414" s="19" t="s">
        <v>380</v>
      </c>
      <c r="BE1414" s="193">
        <f t="shared" si="24"/>
        <v>0</v>
      </c>
      <c r="BF1414" s="193">
        <f t="shared" si="25"/>
        <v>0</v>
      </c>
      <c r="BG1414" s="193">
        <f t="shared" si="26"/>
        <v>0</v>
      </c>
      <c r="BH1414" s="193">
        <f t="shared" si="27"/>
        <v>0</v>
      </c>
      <c r="BI1414" s="193">
        <f t="shared" si="28"/>
        <v>0</v>
      </c>
      <c r="BJ1414" s="19" t="s">
        <v>79</v>
      </c>
      <c r="BK1414" s="193">
        <f t="shared" si="29"/>
        <v>0</v>
      </c>
      <c r="BL1414" s="19" t="s">
        <v>281</v>
      </c>
      <c r="BM1414" s="192" t="s">
        <v>1978</v>
      </c>
    </row>
    <row r="1415" spans="1:65" s="2" customFormat="1" ht="24.2" customHeight="1">
      <c r="A1415" s="36"/>
      <c r="B1415" s="37"/>
      <c r="C1415" s="181" t="s">
        <v>1979</v>
      </c>
      <c r="D1415" s="181" t="s">
        <v>382</v>
      </c>
      <c r="E1415" s="182" t="s">
        <v>1980</v>
      </c>
      <c r="F1415" s="183" t="s">
        <v>1981</v>
      </c>
      <c r="G1415" s="184" t="s">
        <v>641</v>
      </c>
      <c r="H1415" s="185">
        <v>2</v>
      </c>
      <c r="I1415" s="186"/>
      <c r="J1415" s="187">
        <f t="shared" si="20"/>
        <v>0</v>
      </c>
      <c r="K1415" s="183" t="s">
        <v>19</v>
      </c>
      <c r="L1415" s="41"/>
      <c r="M1415" s="188" t="s">
        <v>19</v>
      </c>
      <c r="N1415" s="189" t="s">
        <v>43</v>
      </c>
      <c r="O1415" s="66"/>
      <c r="P1415" s="190">
        <f t="shared" si="21"/>
        <v>0</v>
      </c>
      <c r="Q1415" s="190">
        <v>0</v>
      </c>
      <c r="R1415" s="190">
        <f t="shared" si="22"/>
        <v>0</v>
      </c>
      <c r="S1415" s="190">
        <v>0</v>
      </c>
      <c r="T1415" s="191">
        <f t="shared" si="23"/>
        <v>0</v>
      </c>
      <c r="U1415" s="36"/>
      <c r="V1415" s="36"/>
      <c r="W1415" s="36"/>
      <c r="X1415" s="36"/>
      <c r="Y1415" s="36"/>
      <c r="Z1415" s="36"/>
      <c r="AA1415" s="36"/>
      <c r="AB1415" s="36"/>
      <c r="AC1415" s="36"/>
      <c r="AD1415" s="36"/>
      <c r="AE1415" s="36"/>
      <c r="AR1415" s="192" t="s">
        <v>281</v>
      </c>
      <c r="AT1415" s="192" t="s">
        <v>382</v>
      </c>
      <c r="AU1415" s="192" t="s">
        <v>82</v>
      </c>
      <c r="AY1415" s="19" t="s">
        <v>380</v>
      </c>
      <c r="BE1415" s="193">
        <f t="shared" si="24"/>
        <v>0</v>
      </c>
      <c r="BF1415" s="193">
        <f t="shared" si="25"/>
        <v>0</v>
      </c>
      <c r="BG1415" s="193">
        <f t="shared" si="26"/>
        <v>0</v>
      </c>
      <c r="BH1415" s="193">
        <f t="shared" si="27"/>
        <v>0</v>
      </c>
      <c r="BI1415" s="193">
        <f t="shared" si="28"/>
        <v>0</v>
      </c>
      <c r="BJ1415" s="19" t="s">
        <v>79</v>
      </c>
      <c r="BK1415" s="193">
        <f t="shared" si="29"/>
        <v>0</v>
      </c>
      <c r="BL1415" s="19" t="s">
        <v>281</v>
      </c>
      <c r="BM1415" s="192" t="s">
        <v>1982</v>
      </c>
    </row>
    <row r="1416" spans="1:65" s="2" customFormat="1" ht="24.2" customHeight="1">
      <c r="A1416" s="36"/>
      <c r="B1416" s="37"/>
      <c r="C1416" s="181" t="s">
        <v>1983</v>
      </c>
      <c r="D1416" s="181" t="s">
        <v>382</v>
      </c>
      <c r="E1416" s="182" t="s">
        <v>1984</v>
      </c>
      <c r="F1416" s="183" t="s">
        <v>1985</v>
      </c>
      <c r="G1416" s="184" t="s">
        <v>641</v>
      </c>
      <c r="H1416" s="185">
        <v>1</v>
      </c>
      <c r="I1416" s="186"/>
      <c r="J1416" s="187">
        <f t="shared" si="20"/>
        <v>0</v>
      </c>
      <c r="K1416" s="183" t="s">
        <v>19</v>
      </c>
      <c r="L1416" s="41"/>
      <c r="M1416" s="188" t="s">
        <v>19</v>
      </c>
      <c r="N1416" s="189" t="s">
        <v>43</v>
      </c>
      <c r="O1416" s="66"/>
      <c r="P1416" s="190">
        <f t="shared" si="21"/>
        <v>0</v>
      </c>
      <c r="Q1416" s="190">
        <v>0</v>
      </c>
      <c r="R1416" s="190">
        <f t="shared" si="22"/>
        <v>0</v>
      </c>
      <c r="S1416" s="190">
        <v>0</v>
      </c>
      <c r="T1416" s="191">
        <f t="shared" si="23"/>
        <v>0</v>
      </c>
      <c r="U1416" s="36"/>
      <c r="V1416" s="36"/>
      <c r="W1416" s="36"/>
      <c r="X1416" s="36"/>
      <c r="Y1416" s="36"/>
      <c r="Z1416" s="36"/>
      <c r="AA1416" s="36"/>
      <c r="AB1416" s="36"/>
      <c r="AC1416" s="36"/>
      <c r="AD1416" s="36"/>
      <c r="AE1416" s="36"/>
      <c r="AR1416" s="192" t="s">
        <v>281</v>
      </c>
      <c r="AT1416" s="192" t="s">
        <v>382</v>
      </c>
      <c r="AU1416" s="192" t="s">
        <v>82</v>
      </c>
      <c r="AY1416" s="19" t="s">
        <v>380</v>
      </c>
      <c r="BE1416" s="193">
        <f t="shared" si="24"/>
        <v>0</v>
      </c>
      <c r="BF1416" s="193">
        <f t="shared" si="25"/>
        <v>0</v>
      </c>
      <c r="BG1416" s="193">
        <f t="shared" si="26"/>
        <v>0</v>
      </c>
      <c r="BH1416" s="193">
        <f t="shared" si="27"/>
        <v>0</v>
      </c>
      <c r="BI1416" s="193">
        <f t="shared" si="28"/>
        <v>0</v>
      </c>
      <c r="BJ1416" s="19" t="s">
        <v>79</v>
      </c>
      <c r="BK1416" s="193">
        <f t="shared" si="29"/>
        <v>0</v>
      </c>
      <c r="BL1416" s="19" t="s">
        <v>281</v>
      </c>
      <c r="BM1416" s="192" t="s">
        <v>1986</v>
      </c>
    </row>
    <row r="1417" spans="1:65" s="2" customFormat="1" ht="24.2" customHeight="1">
      <c r="A1417" s="36"/>
      <c r="B1417" s="37"/>
      <c r="C1417" s="181" t="s">
        <v>1987</v>
      </c>
      <c r="D1417" s="181" t="s">
        <v>382</v>
      </c>
      <c r="E1417" s="182" t="s">
        <v>1988</v>
      </c>
      <c r="F1417" s="183" t="s">
        <v>1989</v>
      </c>
      <c r="G1417" s="184" t="s">
        <v>641</v>
      </c>
      <c r="H1417" s="185">
        <v>1</v>
      </c>
      <c r="I1417" s="186"/>
      <c r="J1417" s="187">
        <f t="shared" si="20"/>
        <v>0</v>
      </c>
      <c r="K1417" s="183" t="s">
        <v>19</v>
      </c>
      <c r="L1417" s="41"/>
      <c r="M1417" s="188" t="s">
        <v>19</v>
      </c>
      <c r="N1417" s="189" t="s">
        <v>43</v>
      </c>
      <c r="O1417" s="66"/>
      <c r="P1417" s="190">
        <f t="shared" si="21"/>
        <v>0</v>
      </c>
      <c r="Q1417" s="190">
        <v>0</v>
      </c>
      <c r="R1417" s="190">
        <f t="shared" si="22"/>
        <v>0</v>
      </c>
      <c r="S1417" s="190">
        <v>0</v>
      </c>
      <c r="T1417" s="191">
        <f t="shared" si="23"/>
        <v>0</v>
      </c>
      <c r="U1417" s="36"/>
      <c r="V1417" s="36"/>
      <c r="W1417" s="36"/>
      <c r="X1417" s="36"/>
      <c r="Y1417" s="36"/>
      <c r="Z1417" s="36"/>
      <c r="AA1417" s="36"/>
      <c r="AB1417" s="36"/>
      <c r="AC1417" s="36"/>
      <c r="AD1417" s="36"/>
      <c r="AE1417" s="36"/>
      <c r="AR1417" s="192" t="s">
        <v>281</v>
      </c>
      <c r="AT1417" s="192" t="s">
        <v>382</v>
      </c>
      <c r="AU1417" s="192" t="s">
        <v>82</v>
      </c>
      <c r="AY1417" s="19" t="s">
        <v>380</v>
      </c>
      <c r="BE1417" s="193">
        <f t="shared" si="24"/>
        <v>0</v>
      </c>
      <c r="BF1417" s="193">
        <f t="shared" si="25"/>
        <v>0</v>
      </c>
      <c r="BG1417" s="193">
        <f t="shared" si="26"/>
        <v>0</v>
      </c>
      <c r="BH1417" s="193">
        <f t="shared" si="27"/>
        <v>0</v>
      </c>
      <c r="BI1417" s="193">
        <f t="shared" si="28"/>
        <v>0</v>
      </c>
      <c r="BJ1417" s="19" t="s">
        <v>79</v>
      </c>
      <c r="BK1417" s="193">
        <f t="shared" si="29"/>
        <v>0</v>
      </c>
      <c r="BL1417" s="19" t="s">
        <v>281</v>
      </c>
      <c r="BM1417" s="192" t="s">
        <v>1990</v>
      </c>
    </row>
    <row r="1418" spans="1:65" s="2" customFormat="1" ht="24.2" customHeight="1">
      <c r="A1418" s="36"/>
      <c r="B1418" s="37"/>
      <c r="C1418" s="181" t="s">
        <v>1991</v>
      </c>
      <c r="D1418" s="181" t="s">
        <v>382</v>
      </c>
      <c r="E1418" s="182" t="s">
        <v>1992</v>
      </c>
      <c r="F1418" s="183" t="s">
        <v>1993</v>
      </c>
      <c r="G1418" s="184" t="s">
        <v>641</v>
      </c>
      <c r="H1418" s="185">
        <v>3</v>
      </c>
      <c r="I1418" s="186"/>
      <c r="J1418" s="187">
        <f t="shared" si="20"/>
        <v>0</v>
      </c>
      <c r="K1418" s="183" t="s">
        <v>19</v>
      </c>
      <c r="L1418" s="41"/>
      <c r="M1418" s="188" t="s">
        <v>19</v>
      </c>
      <c r="N1418" s="189" t="s">
        <v>43</v>
      </c>
      <c r="O1418" s="66"/>
      <c r="P1418" s="190">
        <f t="shared" si="21"/>
        <v>0</v>
      </c>
      <c r="Q1418" s="190">
        <v>0</v>
      </c>
      <c r="R1418" s="190">
        <f t="shared" si="22"/>
        <v>0</v>
      </c>
      <c r="S1418" s="190">
        <v>0</v>
      </c>
      <c r="T1418" s="191">
        <f t="shared" si="23"/>
        <v>0</v>
      </c>
      <c r="U1418" s="36"/>
      <c r="V1418" s="36"/>
      <c r="W1418" s="36"/>
      <c r="X1418" s="36"/>
      <c r="Y1418" s="36"/>
      <c r="Z1418" s="36"/>
      <c r="AA1418" s="36"/>
      <c r="AB1418" s="36"/>
      <c r="AC1418" s="36"/>
      <c r="AD1418" s="36"/>
      <c r="AE1418" s="36"/>
      <c r="AR1418" s="192" t="s">
        <v>281</v>
      </c>
      <c r="AT1418" s="192" t="s">
        <v>382</v>
      </c>
      <c r="AU1418" s="192" t="s">
        <v>82</v>
      </c>
      <c r="AY1418" s="19" t="s">
        <v>380</v>
      </c>
      <c r="BE1418" s="193">
        <f t="shared" si="24"/>
        <v>0</v>
      </c>
      <c r="BF1418" s="193">
        <f t="shared" si="25"/>
        <v>0</v>
      </c>
      <c r="BG1418" s="193">
        <f t="shared" si="26"/>
        <v>0</v>
      </c>
      <c r="BH1418" s="193">
        <f t="shared" si="27"/>
        <v>0</v>
      </c>
      <c r="BI1418" s="193">
        <f t="shared" si="28"/>
        <v>0</v>
      </c>
      <c r="BJ1418" s="19" t="s">
        <v>79</v>
      </c>
      <c r="BK1418" s="193">
        <f t="shared" si="29"/>
        <v>0</v>
      </c>
      <c r="BL1418" s="19" t="s">
        <v>281</v>
      </c>
      <c r="BM1418" s="192" t="s">
        <v>1994</v>
      </c>
    </row>
    <row r="1419" spans="1:65" s="2" customFormat="1" ht="24.2" customHeight="1">
      <c r="A1419" s="36"/>
      <c r="B1419" s="37"/>
      <c r="C1419" s="181" t="s">
        <v>1995</v>
      </c>
      <c r="D1419" s="181" t="s">
        <v>382</v>
      </c>
      <c r="E1419" s="182" t="s">
        <v>1996</v>
      </c>
      <c r="F1419" s="183" t="s">
        <v>1997</v>
      </c>
      <c r="G1419" s="184" t="s">
        <v>641</v>
      </c>
      <c r="H1419" s="185">
        <v>2</v>
      </c>
      <c r="I1419" s="186"/>
      <c r="J1419" s="187">
        <f t="shared" si="20"/>
        <v>0</v>
      </c>
      <c r="K1419" s="183" t="s">
        <v>19</v>
      </c>
      <c r="L1419" s="41"/>
      <c r="M1419" s="188" t="s">
        <v>19</v>
      </c>
      <c r="N1419" s="189" t="s">
        <v>43</v>
      </c>
      <c r="O1419" s="66"/>
      <c r="P1419" s="190">
        <f t="shared" si="21"/>
        <v>0</v>
      </c>
      <c r="Q1419" s="190">
        <v>0</v>
      </c>
      <c r="R1419" s="190">
        <f t="shared" si="22"/>
        <v>0</v>
      </c>
      <c r="S1419" s="190">
        <v>0</v>
      </c>
      <c r="T1419" s="191">
        <f t="shared" si="23"/>
        <v>0</v>
      </c>
      <c r="U1419" s="36"/>
      <c r="V1419" s="36"/>
      <c r="W1419" s="36"/>
      <c r="X1419" s="36"/>
      <c r="Y1419" s="36"/>
      <c r="Z1419" s="36"/>
      <c r="AA1419" s="36"/>
      <c r="AB1419" s="36"/>
      <c r="AC1419" s="36"/>
      <c r="AD1419" s="36"/>
      <c r="AE1419" s="36"/>
      <c r="AR1419" s="192" t="s">
        <v>281</v>
      </c>
      <c r="AT1419" s="192" t="s">
        <v>382</v>
      </c>
      <c r="AU1419" s="192" t="s">
        <v>82</v>
      </c>
      <c r="AY1419" s="19" t="s">
        <v>380</v>
      </c>
      <c r="BE1419" s="193">
        <f t="shared" si="24"/>
        <v>0</v>
      </c>
      <c r="BF1419" s="193">
        <f t="shared" si="25"/>
        <v>0</v>
      </c>
      <c r="BG1419" s="193">
        <f t="shared" si="26"/>
        <v>0</v>
      </c>
      <c r="BH1419" s="193">
        <f t="shared" si="27"/>
        <v>0</v>
      </c>
      <c r="BI1419" s="193">
        <f t="shared" si="28"/>
        <v>0</v>
      </c>
      <c r="BJ1419" s="19" t="s">
        <v>79</v>
      </c>
      <c r="BK1419" s="193">
        <f t="shared" si="29"/>
        <v>0</v>
      </c>
      <c r="BL1419" s="19" t="s">
        <v>281</v>
      </c>
      <c r="BM1419" s="192" t="s">
        <v>1998</v>
      </c>
    </row>
    <row r="1420" spans="1:65" s="2" customFormat="1" ht="24.2" customHeight="1">
      <c r="A1420" s="36"/>
      <c r="B1420" s="37"/>
      <c r="C1420" s="181" t="s">
        <v>1999</v>
      </c>
      <c r="D1420" s="181" t="s">
        <v>382</v>
      </c>
      <c r="E1420" s="182" t="s">
        <v>2000</v>
      </c>
      <c r="F1420" s="183" t="s">
        <v>2001</v>
      </c>
      <c r="G1420" s="184" t="s">
        <v>641</v>
      </c>
      <c r="H1420" s="185">
        <v>2</v>
      </c>
      <c r="I1420" s="186"/>
      <c r="J1420" s="187">
        <f t="shared" si="20"/>
        <v>0</v>
      </c>
      <c r="K1420" s="183" t="s">
        <v>19</v>
      </c>
      <c r="L1420" s="41"/>
      <c r="M1420" s="188" t="s">
        <v>19</v>
      </c>
      <c r="N1420" s="189" t="s">
        <v>43</v>
      </c>
      <c r="O1420" s="66"/>
      <c r="P1420" s="190">
        <f t="shared" si="21"/>
        <v>0</v>
      </c>
      <c r="Q1420" s="190">
        <v>0</v>
      </c>
      <c r="R1420" s="190">
        <f t="shared" si="22"/>
        <v>0</v>
      </c>
      <c r="S1420" s="190">
        <v>0</v>
      </c>
      <c r="T1420" s="191">
        <f t="shared" si="23"/>
        <v>0</v>
      </c>
      <c r="U1420" s="36"/>
      <c r="V1420" s="36"/>
      <c r="W1420" s="36"/>
      <c r="X1420" s="36"/>
      <c r="Y1420" s="36"/>
      <c r="Z1420" s="36"/>
      <c r="AA1420" s="36"/>
      <c r="AB1420" s="36"/>
      <c r="AC1420" s="36"/>
      <c r="AD1420" s="36"/>
      <c r="AE1420" s="36"/>
      <c r="AR1420" s="192" t="s">
        <v>281</v>
      </c>
      <c r="AT1420" s="192" t="s">
        <v>382</v>
      </c>
      <c r="AU1420" s="192" t="s">
        <v>82</v>
      </c>
      <c r="AY1420" s="19" t="s">
        <v>380</v>
      </c>
      <c r="BE1420" s="193">
        <f t="shared" si="24"/>
        <v>0</v>
      </c>
      <c r="BF1420" s="193">
        <f t="shared" si="25"/>
        <v>0</v>
      </c>
      <c r="BG1420" s="193">
        <f t="shared" si="26"/>
        <v>0</v>
      </c>
      <c r="BH1420" s="193">
        <f t="shared" si="27"/>
        <v>0</v>
      </c>
      <c r="BI1420" s="193">
        <f t="shared" si="28"/>
        <v>0</v>
      </c>
      <c r="BJ1420" s="19" t="s">
        <v>79</v>
      </c>
      <c r="BK1420" s="193">
        <f t="shared" si="29"/>
        <v>0</v>
      </c>
      <c r="BL1420" s="19" t="s">
        <v>281</v>
      </c>
      <c r="BM1420" s="192" t="s">
        <v>2002</v>
      </c>
    </row>
    <row r="1421" spans="1:65" s="2" customFormat="1" ht="16.5" customHeight="1">
      <c r="A1421" s="36"/>
      <c r="B1421" s="37"/>
      <c r="C1421" s="181" t="s">
        <v>2003</v>
      </c>
      <c r="D1421" s="181" t="s">
        <v>382</v>
      </c>
      <c r="E1421" s="182" t="s">
        <v>2004</v>
      </c>
      <c r="F1421" s="183" t="s">
        <v>2005</v>
      </c>
      <c r="G1421" s="184" t="s">
        <v>2006</v>
      </c>
      <c r="H1421" s="185">
        <v>1</v>
      </c>
      <c r="I1421" s="186"/>
      <c r="J1421" s="187">
        <f t="shared" si="20"/>
        <v>0</v>
      </c>
      <c r="K1421" s="183" t="s">
        <v>19</v>
      </c>
      <c r="L1421" s="41"/>
      <c r="M1421" s="188" t="s">
        <v>19</v>
      </c>
      <c r="N1421" s="189" t="s">
        <v>43</v>
      </c>
      <c r="O1421" s="66"/>
      <c r="P1421" s="190">
        <f t="shared" si="21"/>
        <v>0</v>
      </c>
      <c r="Q1421" s="190">
        <v>0</v>
      </c>
      <c r="R1421" s="190">
        <f t="shared" si="22"/>
        <v>0</v>
      </c>
      <c r="S1421" s="190">
        <v>0</v>
      </c>
      <c r="T1421" s="191">
        <f t="shared" si="23"/>
        <v>0</v>
      </c>
      <c r="U1421" s="36"/>
      <c r="V1421" s="36"/>
      <c r="W1421" s="36"/>
      <c r="X1421" s="36"/>
      <c r="Y1421" s="36"/>
      <c r="Z1421" s="36"/>
      <c r="AA1421" s="36"/>
      <c r="AB1421" s="36"/>
      <c r="AC1421" s="36"/>
      <c r="AD1421" s="36"/>
      <c r="AE1421" s="36"/>
      <c r="AR1421" s="192" t="s">
        <v>281</v>
      </c>
      <c r="AT1421" s="192" t="s">
        <v>382</v>
      </c>
      <c r="AU1421" s="192" t="s">
        <v>82</v>
      </c>
      <c r="AY1421" s="19" t="s">
        <v>380</v>
      </c>
      <c r="BE1421" s="193">
        <f t="shared" si="24"/>
        <v>0</v>
      </c>
      <c r="BF1421" s="193">
        <f t="shared" si="25"/>
        <v>0</v>
      </c>
      <c r="BG1421" s="193">
        <f t="shared" si="26"/>
        <v>0</v>
      </c>
      <c r="BH1421" s="193">
        <f t="shared" si="27"/>
        <v>0</v>
      </c>
      <c r="BI1421" s="193">
        <f t="shared" si="28"/>
        <v>0</v>
      </c>
      <c r="BJ1421" s="19" t="s">
        <v>79</v>
      </c>
      <c r="BK1421" s="193">
        <f t="shared" si="29"/>
        <v>0</v>
      </c>
      <c r="BL1421" s="19" t="s">
        <v>281</v>
      </c>
      <c r="BM1421" s="192" t="s">
        <v>2007</v>
      </c>
    </row>
    <row r="1422" spans="1:65" s="12" customFormat="1" ht="22.9" customHeight="1">
      <c r="B1422" s="165"/>
      <c r="C1422" s="166"/>
      <c r="D1422" s="167" t="s">
        <v>71</v>
      </c>
      <c r="E1422" s="179" t="s">
        <v>2008</v>
      </c>
      <c r="F1422" s="179" t="s">
        <v>2009</v>
      </c>
      <c r="G1422" s="166"/>
      <c r="H1422" s="166"/>
      <c r="I1422" s="169"/>
      <c r="J1422" s="180">
        <f>BK1422</f>
        <v>0</v>
      </c>
      <c r="K1422" s="166"/>
      <c r="L1422" s="171"/>
      <c r="M1422" s="172"/>
      <c r="N1422" s="173"/>
      <c r="O1422" s="173"/>
      <c r="P1422" s="174">
        <f>SUM(P1423:P1425)</f>
        <v>0</v>
      </c>
      <c r="Q1422" s="173"/>
      <c r="R1422" s="174">
        <f>SUM(R1423:R1425)</f>
        <v>0</v>
      </c>
      <c r="S1422" s="173"/>
      <c r="T1422" s="175">
        <f>SUM(T1423:T1425)</f>
        <v>0</v>
      </c>
      <c r="AR1422" s="176" t="s">
        <v>82</v>
      </c>
      <c r="AT1422" s="177" t="s">
        <v>71</v>
      </c>
      <c r="AU1422" s="177" t="s">
        <v>79</v>
      </c>
      <c r="AY1422" s="176" t="s">
        <v>380</v>
      </c>
      <c r="BK1422" s="178">
        <f>SUM(BK1423:BK1425)</f>
        <v>0</v>
      </c>
    </row>
    <row r="1423" spans="1:65" s="2" customFormat="1" ht="24.2" customHeight="1">
      <c r="A1423" s="36"/>
      <c r="B1423" s="37"/>
      <c r="C1423" s="181" t="s">
        <v>2010</v>
      </c>
      <c r="D1423" s="181" t="s">
        <v>382</v>
      </c>
      <c r="E1423" s="182" t="s">
        <v>2011</v>
      </c>
      <c r="F1423" s="183" t="s">
        <v>2012</v>
      </c>
      <c r="G1423" s="184" t="s">
        <v>641</v>
      </c>
      <c r="H1423" s="185">
        <v>4</v>
      </c>
      <c r="I1423" s="186"/>
      <c r="J1423" s="187">
        <f>ROUND(I1423*H1423,2)</f>
        <v>0</v>
      </c>
      <c r="K1423" s="183" t="s">
        <v>19</v>
      </c>
      <c r="L1423" s="41"/>
      <c r="M1423" s="188" t="s">
        <v>19</v>
      </c>
      <c r="N1423" s="189" t="s">
        <v>43</v>
      </c>
      <c r="O1423" s="66"/>
      <c r="P1423" s="190">
        <f>O1423*H1423</f>
        <v>0</v>
      </c>
      <c r="Q1423" s="190">
        <v>0</v>
      </c>
      <c r="R1423" s="190">
        <f>Q1423*H1423</f>
        <v>0</v>
      </c>
      <c r="S1423" s="190">
        <v>0</v>
      </c>
      <c r="T1423" s="191">
        <f>S1423*H1423</f>
        <v>0</v>
      </c>
      <c r="U1423" s="36"/>
      <c r="V1423" s="36"/>
      <c r="W1423" s="36"/>
      <c r="X1423" s="36"/>
      <c r="Y1423" s="36"/>
      <c r="Z1423" s="36"/>
      <c r="AA1423" s="36"/>
      <c r="AB1423" s="36"/>
      <c r="AC1423" s="36"/>
      <c r="AD1423" s="36"/>
      <c r="AE1423" s="36"/>
      <c r="AR1423" s="192" t="s">
        <v>281</v>
      </c>
      <c r="AT1423" s="192" t="s">
        <v>382</v>
      </c>
      <c r="AU1423" s="192" t="s">
        <v>82</v>
      </c>
      <c r="AY1423" s="19" t="s">
        <v>380</v>
      </c>
      <c r="BE1423" s="193">
        <f>IF(N1423="základní",J1423,0)</f>
        <v>0</v>
      </c>
      <c r="BF1423" s="193">
        <f>IF(N1423="snížená",J1423,0)</f>
        <v>0</v>
      </c>
      <c r="BG1423" s="193">
        <f>IF(N1423="zákl. přenesená",J1423,0)</f>
        <v>0</v>
      </c>
      <c r="BH1423" s="193">
        <f>IF(N1423="sníž. přenesená",J1423,0)</f>
        <v>0</v>
      </c>
      <c r="BI1423" s="193">
        <f>IF(N1423="nulová",J1423,0)</f>
        <v>0</v>
      </c>
      <c r="BJ1423" s="19" t="s">
        <v>79</v>
      </c>
      <c r="BK1423" s="193">
        <f>ROUND(I1423*H1423,2)</f>
        <v>0</v>
      </c>
      <c r="BL1423" s="19" t="s">
        <v>281</v>
      </c>
      <c r="BM1423" s="192" t="s">
        <v>2013</v>
      </c>
    </row>
    <row r="1424" spans="1:65" s="2" customFormat="1" ht="24.2" customHeight="1">
      <c r="A1424" s="36"/>
      <c r="B1424" s="37"/>
      <c r="C1424" s="181" t="s">
        <v>2014</v>
      </c>
      <c r="D1424" s="181" t="s">
        <v>382</v>
      </c>
      <c r="E1424" s="182" t="s">
        <v>2015</v>
      </c>
      <c r="F1424" s="183" t="s">
        <v>2016</v>
      </c>
      <c r="G1424" s="184" t="s">
        <v>641</v>
      </c>
      <c r="H1424" s="185">
        <v>6</v>
      </c>
      <c r="I1424" s="186"/>
      <c r="J1424" s="187">
        <f>ROUND(I1424*H1424,2)</f>
        <v>0</v>
      </c>
      <c r="K1424" s="183" t="s">
        <v>19</v>
      </c>
      <c r="L1424" s="41"/>
      <c r="M1424" s="188" t="s">
        <v>19</v>
      </c>
      <c r="N1424" s="189" t="s">
        <v>43</v>
      </c>
      <c r="O1424" s="66"/>
      <c r="P1424" s="190">
        <f>O1424*H1424</f>
        <v>0</v>
      </c>
      <c r="Q1424" s="190">
        <v>0</v>
      </c>
      <c r="R1424" s="190">
        <f>Q1424*H1424</f>
        <v>0</v>
      </c>
      <c r="S1424" s="190">
        <v>0</v>
      </c>
      <c r="T1424" s="191">
        <f>S1424*H1424</f>
        <v>0</v>
      </c>
      <c r="U1424" s="36"/>
      <c r="V1424" s="36"/>
      <c r="W1424" s="36"/>
      <c r="X1424" s="36"/>
      <c r="Y1424" s="36"/>
      <c r="Z1424" s="36"/>
      <c r="AA1424" s="36"/>
      <c r="AB1424" s="36"/>
      <c r="AC1424" s="36"/>
      <c r="AD1424" s="36"/>
      <c r="AE1424" s="36"/>
      <c r="AR1424" s="192" t="s">
        <v>281</v>
      </c>
      <c r="AT1424" s="192" t="s">
        <v>382</v>
      </c>
      <c r="AU1424" s="192" t="s">
        <v>82</v>
      </c>
      <c r="AY1424" s="19" t="s">
        <v>380</v>
      </c>
      <c r="BE1424" s="193">
        <f>IF(N1424="základní",J1424,0)</f>
        <v>0</v>
      </c>
      <c r="BF1424" s="193">
        <f>IF(N1424="snížená",J1424,0)</f>
        <v>0</v>
      </c>
      <c r="BG1424" s="193">
        <f>IF(N1424="zákl. přenesená",J1424,0)</f>
        <v>0</v>
      </c>
      <c r="BH1424" s="193">
        <f>IF(N1424="sníž. přenesená",J1424,0)</f>
        <v>0</v>
      </c>
      <c r="BI1424" s="193">
        <f>IF(N1424="nulová",J1424,0)</f>
        <v>0</v>
      </c>
      <c r="BJ1424" s="19" t="s">
        <v>79</v>
      </c>
      <c r="BK1424" s="193">
        <f>ROUND(I1424*H1424,2)</f>
        <v>0</v>
      </c>
      <c r="BL1424" s="19" t="s">
        <v>281</v>
      </c>
      <c r="BM1424" s="192" t="s">
        <v>2017</v>
      </c>
    </row>
    <row r="1425" spans="1:65" s="2" customFormat="1" ht="24.2" customHeight="1">
      <c r="A1425" s="36"/>
      <c r="B1425" s="37"/>
      <c r="C1425" s="181" t="s">
        <v>2018</v>
      </c>
      <c r="D1425" s="181" t="s">
        <v>382</v>
      </c>
      <c r="E1425" s="182" t="s">
        <v>2019</v>
      </c>
      <c r="F1425" s="183" t="s">
        <v>2020</v>
      </c>
      <c r="G1425" s="184" t="s">
        <v>641</v>
      </c>
      <c r="H1425" s="185">
        <v>6</v>
      </c>
      <c r="I1425" s="186"/>
      <c r="J1425" s="187">
        <f>ROUND(I1425*H1425,2)</f>
        <v>0</v>
      </c>
      <c r="K1425" s="183" t="s">
        <v>19</v>
      </c>
      <c r="L1425" s="41"/>
      <c r="M1425" s="188" t="s">
        <v>19</v>
      </c>
      <c r="N1425" s="189" t="s">
        <v>43</v>
      </c>
      <c r="O1425" s="66"/>
      <c r="P1425" s="190">
        <f>O1425*H1425</f>
        <v>0</v>
      </c>
      <c r="Q1425" s="190">
        <v>0</v>
      </c>
      <c r="R1425" s="190">
        <f>Q1425*H1425</f>
        <v>0</v>
      </c>
      <c r="S1425" s="190">
        <v>0</v>
      </c>
      <c r="T1425" s="191">
        <f>S1425*H1425</f>
        <v>0</v>
      </c>
      <c r="U1425" s="36"/>
      <c r="V1425" s="36"/>
      <c r="W1425" s="36"/>
      <c r="X1425" s="36"/>
      <c r="Y1425" s="36"/>
      <c r="Z1425" s="36"/>
      <c r="AA1425" s="36"/>
      <c r="AB1425" s="36"/>
      <c r="AC1425" s="36"/>
      <c r="AD1425" s="36"/>
      <c r="AE1425" s="36"/>
      <c r="AR1425" s="192" t="s">
        <v>281</v>
      </c>
      <c r="AT1425" s="192" t="s">
        <v>382</v>
      </c>
      <c r="AU1425" s="192" t="s">
        <v>82</v>
      </c>
      <c r="AY1425" s="19" t="s">
        <v>380</v>
      </c>
      <c r="BE1425" s="193">
        <f>IF(N1425="základní",J1425,0)</f>
        <v>0</v>
      </c>
      <c r="BF1425" s="193">
        <f>IF(N1425="snížená",J1425,0)</f>
        <v>0</v>
      </c>
      <c r="BG1425" s="193">
        <f>IF(N1425="zákl. přenesená",J1425,0)</f>
        <v>0</v>
      </c>
      <c r="BH1425" s="193">
        <f>IF(N1425="sníž. přenesená",J1425,0)</f>
        <v>0</v>
      </c>
      <c r="BI1425" s="193">
        <f>IF(N1425="nulová",J1425,0)</f>
        <v>0</v>
      </c>
      <c r="BJ1425" s="19" t="s">
        <v>79</v>
      </c>
      <c r="BK1425" s="193">
        <f>ROUND(I1425*H1425,2)</f>
        <v>0</v>
      </c>
      <c r="BL1425" s="19" t="s">
        <v>281</v>
      </c>
      <c r="BM1425" s="192" t="s">
        <v>2021</v>
      </c>
    </row>
    <row r="1426" spans="1:65" s="12" customFormat="1" ht="22.9" customHeight="1">
      <c r="B1426" s="165"/>
      <c r="C1426" s="166"/>
      <c r="D1426" s="167" t="s">
        <v>71</v>
      </c>
      <c r="E1426" s="179" t="s">
        <v>2022</v>
      </c>
      <c r="F1426" s="179" t="s">
        <v>2023</v>
      </c>
      <c r="G1426" s="166"/>
      <c r="H1426" s="166"/>
      <c r="I1426" s="169"/>
      <c r="J1426" s="180">
        <f>BK1426</f>
        <v>0</v>
      </c>
      <c r="K1426" s="166"/>
      <c r="L1426" s="171"/>
      <c r="M1426" s="172"/>
      <c r="N1426" s="173"/>
      <c r="O1426" s="173"/>
      <c r="P1426" s="174">
        <f>SUM(P1427:P1439)</f>
        <v>0</v>
      </c>
      <c r="Q1426" s="173"/>
      <c r="R1426" s="174">
        <f>SUM(R1427:R1439)</f>
        <v>0</v>
      </c>
      <c r="S1426" s="173"/>
      <c r="T1426" s="175">
        <f>SUM(T1427:T1439)</f>
        <v>0</v>
      </c>
      <c r="AR1426" s="176" t="s">
        <v>82</v>
      </c>
      <c r="AT1426" s="177" t="s">
        <v>71</v>
      </c>
      <c r="AU1426" s="177" t="s">
        <v>79</v>
      </c>
      <c r="AY1426" s="176" t="s">
        <v>380</v>
      </c>
      <c r="BK1426" s="178">
        <f>SUM(BK1427:BK1439)</f>
        <v>0</v>
      </c>
    </row>
    <row r="1427" spans="1:65" s="2" customFormat="1" ht="24.2" customHeight="1">
      <c r="A1427" s="36"/>
      <c r="B1427" s="37"/>
      <c r="C1427" s="181" t="s">
        <v>2024</v>
      </c>
      <c r="D1427" s="181" t="s">
        <v>382</v>
      </c>
      <c r="E1427" s="182" t="s">
        <v>2025</v>
      </c>
      <c r="F1427" s="183" t="s">
        <v>2026</v>
      </c>
      <c r="G1427" s="184" t="s">
        <v>641</v>
      </c>
      <c r="H1427" s="185">
        <v>1</v>
      </c>
      <c r="I1427" s="186"/>
      <c r="J1427" s="187">
        <f t="shared" ref="J1427:J1439" si="30">ROUND(I1427*H1427,2)</f>
        <v>0</v>
      </c>
      <c r="K1427" s="183" t="s">
        <v>19</v>
      </c>
      <c r="L1427" s="41"/>
      <c r="M1427" s="188" t="s">
        <v>19</v>
      </c>
      <c r="N1427" s="189" t="s">
        <v>43</v>
      </c>
      <c r="O1427" s="66"/>
      <c r="P1427" s="190">
        <f t="shared" ref="P1427:P1439" si="31">O1427*H1427</f>
        <v>0</v>
      </c>
      <c r="Q1427" s="190">
        <v>0</v>
      </c>
      <c r="R1427" s="190">
        <f t="shared" ref="R1427:R1439" si="32">Q1427*H1427</f>
        <v>0</v>
      </c>
      <c r="S1427" s="190">
        <v>0</v>
      </c>
      <c r="T1427" s="191">
        <f t="shared" ref="T1427:T1439" si="33">S1427*H1427</f>
        <v>0</v>
      </c>
      <c r="U1427" s="36"/>
      <c r="V1427" s="36"/>
      <c r="W1427" s="36"/>
      <c r="X1427" s="36"/>
      <c r="Y1427" s="36"/>
      <c r="Z1427" s="36"/>
      <c r="AA1427" s="36"/>
      <c r="AB1427" s="36"/>
      <c r="AC1427" s="36"/>
      <c r="AD1427" s="36"/>
      <c r="AE1427" s="36"/>
      <c r="AR1427" s="192" t="s">
        <v>281</v>
      </c>
      <c r="AT1427" s="192" t="s">
        <v>382</v>
      </c>
      <c r="AU1427" s="192" t="s">
        <v>82</v>
      </c>
      <c r="AY1427" s="19" t="s">
        <v>380</v>
      </c>
      <c r="BE1427" s="193">
        <f t="shared" ref="BE1427:BE1439" si="34">IF(N1427="základní",J1427,0)</f>
        <v>0</v>
      </c>
      <c r="BF1427" s="193">
        <f t="shared" ref="BF1427:BF1439" si="35">IF(N1427="snížená",J1427,0)</f>
        <v>0</v>
      </c>
      <c r="BG1427" s="193">
        <f t="shared" ref="BG1427:BG1439" si="36">IF(N1427="zákl. přenesená",J1427,0)</f>
        <v>0</v>
      </c>
      <c r="BH1427" s="193">
        <f t="shared" ref="BH1427:BH1439" si="37">IF(N1427="sníž. přenesená",J1427,0)</f>
        <v>0</v>
      </c>
      <c r="BI1427" s="193">
        <f t="shared" ref="BI1427:BI1439" si="38">IF(N1427="nulová",J1427,0)</f>
        <v>0</v>
      </c>
      <c r="BJ1427" s="19" t="s">
        <v>79</v>
      </c>
      <c r="BK1427" s="193">
        <f t="shared" ref="BK1427:BK1439" si="39">ROUND(I1427*H1427,2)</f>
        <v>0</v>
      </c>
      <c r="BL1427" s="19" t="s">
        <v>281</v>
      </c>
      <c r="BM1427" s="192" t="s">
        <v>2027</v>
      </c>
    </row>
    <row r="1428" spans="1:65" s="2" customFormat="1" ht="24.2" customHeight="1">
      <c r="A1428" s="36"/>
      <c r="B1428" s="37"/>
      <c r="C1428" s="181" t="s">
        <v>2028</v>
      </c>
      <c r="D1428" s="181" t="s">
        <v>382</v>
      </c>
      <c r="E1428" s="182" t="s">
        <v>2029</v>
      </c>
      <c r="F1428" s="183" t="s">
        <v>2030</v>
      </c>
      <c r="G1428" s="184" t="s">
        <v>641</v>
      </c>
      <c r="H1428" s="185">
        <v>1</v>
      </c>
      <c r="I1428" s="186"/>
      <c r="J1428" s="187">
        <f t="shared" si="30"/>
        <v>0</v>
      </c>
      <c r="K1428" s="183" t="s">
        <v>19</v>
      </c>
      <c r="L1428" s="41"/>
      <c r="M1428" s="188" t="s">
        <v>19</v>
      </c>
      <c r="N1428" s="189" t="s">
        <v>43</v>
      </c>
      <c r="O1428" s="66"/>
      <c r="P1428" s="190">
        <f t="shared" si="31"/>
        <v>0</v>
      </c>
      <c r="Q1428" s="190">
        <v>0</v>
      </c>
      <c r="R1428" s="190">
        <f t="shared" si="32"/>
        <v>0</v>
      </c>
      <c r="S1428" s="190">
        <v>0</v>
      </c>
      <c r="T1428" s="191">
        <f t="shared" si="33"/>
        <v>0</v>
      </c>
      <c r="U1428" s="36"/>
      <c r="V1428" s="36"/>
      <c r="W1428" s="36"/>
      <c r="X1428" s="36"/>
      <c r="Y1428" s="36"/>
      <c r="Z1428" s="36"/>
      <c r="AA1428" s="36"/>
      <c r="AB1428" s="36"/>
      <c r="AC1428" s="36"/>
      <c r="AD1428" s="36"/>
      <c r="AE1428" s="36"/>
      <c r="AR1428" s="192" t="s">
        <v>281</v>
      </c>
      <c r="AT1428" s="192" t="s">
        <v>382</v>
      </c>
      <c r="AU1428" s="192" t="s">
        <v>82</v>
      </c>
      <c r="AY1428" s="19" t="s">
        <v>380</v>
      </c>
      <c r="BE1428" s="193">
        <f t="shared" si="34"/>
        <v>0</v>
      </c>
      <c r="BF1428" s="193">
        <f t="shared" si="35"/>
        <v>0</v>
      </c>
      <c r="BG1428" s="193">
        <f t="shared" si="36"/>
        <v>0</v>
      </c>
      <c r="BH1428" s="193">
        <f t="shared" si="37"/>
        <v>0</v>
      </c>
      <c r="BI1428" s="193">
        <f t="shared" si="38"/>
        <v>0</v>
      </c>
      <c r="BJ1428" s="19" t="s">
        <v>79</v>
      </c>
      <c r="BK1428" s="193">
        <f t="shared" si="39"/>
        <v>0</v>
      </c>
      <c r="BL1428" s="19" t="s">
        <v>281</v>
      </c>
      <c r="BM1428" s="192" t="s">
        <v>2031</v>
      </c>
    </row>
    <row r="1429" spans="1:65" s="2" customFormat="1" ht="24.2" customHeight="1">
      <c r="A1429" s="36"/>
      <c r="B1429" s="37"/>
      <c r="C1429" s="181" t="s">
        <v>2032</v>
      </c>
      <c r="D1429" s="181" t="s">
        <v>382</v>
      </c>
      <c r="E1429" s="182" t="s">
        <v>2033</v>
      </c>
      <c r="F1429" s="183" t="s">
        <v>2034</v>
      </c>
      <c r="G1429" s="184" t="s">
        <v>641</v>
      </c>
      <c r="H1429" s="185">
        <v>1</v>
      </c>
      <c r="I1429" s="186"/>
      <c r="J1429" s="187">
        <f t="shared" si="30"/>
        <v>0</v>
      </c>
      <c r="K1429" s="183" t="s">
        <v>19</v>
      </c>
      <c r="L1429" s="41"/>
      <c r="M1429" s="188" t="s">
        <v>19</v>
      </c>
      <c r="N1429" s="189" t="s">
        <v>43</v>
      </c>
      <c r="O1429" s="66"/>
      <c r="P1429" s="190">
        <f t="shared" si="31"/>
        <v>0</v>
      </c>
      <c r="Q1429" s="190">
        <v>0</v>
      </c>
      <c r="R1429" s="190">
        <f t="shared" si="32"/>
        <v>0</v>
      </c>
      <c r="S1429" s="190">
        <v>0</v>
      </c>
      <c r="T1429" s="191">
        <f t="shared" si="33"/>
        <v>0</v>
      </c>
      <c r="U1429" s="36"/>
      <c r="V1429" s="36"/>
      <c r="W1429" s="36"/>
      <c r="X1429" s="36"/>
      <c r="Y1429" s="36"/>
      <c r="Z1429" s="36"/>
      <c r="AA1429" s="36"/>
      <c r="AB1429" s="36"/>
      <c r="AC1429" s="36"/>
      <c r="AD1429" s="36"/>
      <c r="AE1429" s="36"/>
      <c r="AR1429" s="192" t="s">
        <v>281</v>
      </c>
      <c r="AT1429" s="192" t="s">
        <v>382</v>
      </c>
      <c r="AU1429" s="192" t="s">
        <v>82</v>
      </c>
      <c r="AY1429" s="19" t="s">
        <v>380</v>
      </c>
      <c r="BE1429" s="193">
        <f t="shared" si="34"/>
        <v>0</v>
      </c>
      <c r="BF1429" s="193">
        <f t="shared" si="35"/>
        <v>0</v>
      </c>
      <c r="BG1429" s="193">
        <f t="shared" si="36"/>
        <v>0</v>
      </c>
      <c r="BH1429" s="193">
        <f t="shared" si="37"/>
        <v>0</v>
      </c>
      <c r="BI1429" s="193">
        <f t="shared" si="38"/>
        <v>0</v>
      </c>
      <c r="BJ1429" s="19" t="s">
        <v>79</v>
      </c>
      <c r="BK1429" s="193">
        <f t="shared" si="39"/>
        <v>0</v>
      </c>
      <c r="BL1429" s="19" t="s">
        <v>281</v>
      </c>
      <c r="BM1429" s="192" t="s">
        <v>2035</v>
      </c>
    </row>
    <row r="1430" spans="1:65" s="2" customFormat="1" ht="24.2" customHeight="1">
      <c r="A1430" s="36"/>
      <c r="B1430" s="37"/>
      <c r="C1430" s="181" t="s">
        <v>2036</v>
      </c>
      <c r="D1430" s="181" t="s">
        <v>382</v>
      </c>
      <c r="E1430" s="182" t="s">
        <v>2037</v>
      </c>
      <c r="F1430" s="183" t="s">
        <v>2038</v>
      </c>
      <c r="G1430" s="184" t="s">
        <v>641</v>
      </c>
      <c r="H1430" s="185">
        <v>1</v>
      </c>
      <c r="I1430" s="186"/>
      <c r="J1430" s="187">
        <f t="shared" si="30"/>
        <v>0</v>
      </c>
      <c r="K1430" s="183" t="s">
        <v>19</v>
      </c>
      <c r="L1430" s="41"/>
      <c r="M1430" s="188" t="s">
        <v>19</v>
      </c>
      <c r="N1430" s="189" t="s">
        <v>43</v>
      </c>
      <c r="O1430" s="66"/>
      <c r="P1430" s="190">
        <f t="shared" si="31"/>
        <v>0</v>
      </c>
      <c r="Q1430" s="190">
        <v>0</v>
      </c>
      <c r="R1430" s="190">
        <f t="shared" si="32"/>
        <v>0</v>
      </c>
      <c r="S1430" s="190">
        <v>0</v>
      </c>
      <c r="T1430" s="191">
        <f t="shared" si="33"/>
        <v>0</v>
      </c>
      <c r="U1430" s="36"/>
      <c r="V1430" s="36"/>
      <c r="W1430" s="36"/>
      <c r="X1430" s="36"/>
      <c r="Y1430" s="36"/>
      <c r="Z1430" s="36"/>
      <c r="AA1430" s="36"/>
      <c r="AB1430" s="36"/>
      <c r="AC1430" s="36"/>
      <c r="AD1430" s="36"/>
      <c r="AE1430" s="36"/>
      <c r="AR1430" s="192" t="s">
        <v>281</v>
      </c>
      <c r="AT1430" s="192" t="s">
        <v>382</v>
      </c>
      <c r="AU1430" s="192" t="s">
        <v>82</v>
      </c>
      <c r="AY1430" s="19" t="s">
        <v>380</v>
      </c>
      <c r="BE1430" s="193">
        <f t="shared" si="34"/>
        <v>0</v>
      </c>
      <c r="BF1430" s="193">
        <f t="shared" si="35"/>
        <v>0</v>
      </c>
      <c r="BG1430" s="193">
        <f t="shared" si="36"/>
        <v>0</v>
      </c>
      <c r="BH1430" s="193">
        <f t="shared" si="37"/>
        <v>0</v>
      </c>
      <c r="BI1430" s="193">
        <f t="shared" si="38"/>
        <v>0</v>
      </c>
      <c r="BJ1430" s="19" t="s">
        <v>79</v>
      </c>
      <c r="BK1430" s="193">
        <f t="shared" si="39"/>
        <v>0</v>
      </c>
      <c r="BL1430" s="19" t="s">
        <v>281</v>
      </c>
      <c r="BM1430" s="192" t="s">
        <v>2039</v>
      </c>
    </row>
    <row r="1431" spans="1:65" s="2" customFormat="1" ht="33" customHeight="1">
      <c r="A1431" s="36"/>
      <c r="B1431" s="37"/>
      <c r="C1431" s="181" t="s">
        <v>2040</v>
      </c>
      <c r="D1431" s="181" t="s">
        <v>382</v>
      </c>
      <c r="E1431" s="182" t="s">
        <v>2041</v>
      </c>
      <c r="F1431" s="183" t="s">
        <v>2042</v>
      </c>
      <c r="G1431" s="184" t="s">
        <v>641</v>
      </c>
      <c r="H1431" s="185">
        <v>3</v>
      </c>
      <c r="I1431" s="186"/>
      <c r="J1431" s="187">
        <f t="shared" si="30"/>
        <v>0</v>
      </c>
      <c r="K1431" s="183" t="s">
        <v>19</v>
      </c>
      <c r="L1431" s="41"/>
      <c r="M1431" s="188" t="s">
        <v>19</v>
      </c>
      <c r="N1431" s="189" t="s">
        <v>43</v>
      </c>
      <c r="O1431" s="66"/>
      <c r="P1431" s="190">
        <f t="shared" si="31"/>
        <v>0</v>
      </c>
      <c r="Q1431" s="190">
        <v>0</v>
      </c>
      <c r="R1431" s="190">
        <f t="shared" si="32"/>
        <v>0</v>
      </c>
      <c r="S1431" s="190">
        <v>0</v>
      </c>
      <c r="T1431" s="191">
        <f t="shared" si="33"/>
        <v>0</v>
      </c>
      <c r="U1431" s="36"/>
      <c r="V1431" s="36"/>
      <c r="W1431" s="36"/>
      <c r="X1431" s="36"/>
      <c r="Y1431" s="36"/>
      <c r="Z1431" s="36"/>
      <c r="AA1431" s="36"/>
      <c r="AB1431" s="36"/>
      <c r="AC1431" s="36"/>
      <c r="AD1431" s="36"/>
      <c r="AE1431" s="36"/>
      <c r="AR1431" s="192" t="s">
        <v>281</v>
      </c>
      <c r="AT1431" s="192" t="s">
        <v>382</v>
      </c>
      <c r="AU1431" s="192" t="s">
        <v>82</v>
      </c>
      <c r="AY1431" s="19" t="s">
        <v>380</v>
      </c>
      <c r="BE1431" s="193">
        <f t="shared" si="34"/>
        <v>0</v>
      </c>
      <c r="BF1431" s="193">
        <f t="shared" si="35"/>
        <v>0</v>
      </c>
      <c r="BG1431" s="193">
        <f t="shared" si="36"/>
        <v>0</v>
      </c>
      <c r="BH1431" s="193">
        <f t="shared" si="37"/>
        <v>0</v>
      </c>
      <c r="BI1431" s="193">
        <f t="shared" si="38"/>
        <v>0</v>
      </c>
      <c r="BJ1431" s="19" t="s">
        <v>79</v>
      </c>
      <c r="BK1431" s="193">
        <f t="shared" si="39"/>
        <v>0</v>
      </c>
      <c r="BL1431" s="19" t="s">
        <v>281</v>
      </c>
      <c r="BM1431" s="192" t="s">
        <v>2043</v>
      </c>
    </row>
    <row r="1432" spans="1:65" s="2" customFormat="1" ht="33" customHeight="1">
      <c r="A1432" s="36"/>
      <c r="B1432" s="37"/>
      <c r="C1432" s="181" t="s">
        <v>2044</v>
      </c>
      <c r="D1432" s="181" t="s">
        <v>382</v>
      </c>
      <c r="E1432" s="182" t="s">
        <v>2045</v>
      </c>
      <c r="F1432" s="183" t="s">
        <v>2046</v>
      </c>
      <c r="G1432" s="184" t="s">
        <v>641</v>
      </c>
      <c r="H1432" s="185">
        <v>3</v>
      </c>
      <c r="I1432" s="186"/>
      <c r="J1432" s="187">
        <f t="shared" si="30"/>
        <v>0</v>
      </c>
      <c r="K1432" s="183" t="s">
        <v>19</v>
      </c>
      <c r="L1432" s="41"/>
      <c r="M1432" s="188" t="s">
        <v>19</v>
      </c>
      <c r="N1432" s="189" t="s">
        <v>43</v>
      </c>
      <c r="O1432" s="66"/>
      <c r="P1432" s="190">
        <f t="shared" si="31"/>
        <v>0</v>
      </c>
      <c r="Q1432" s="190">
        <v>0</v>
      </c>
      <c r="R1432" s="190">
        <f t="shared" si="32"/>
        <v>0</v>
      </c>
      <c r="S1432" s="190">
        <v>0</v>
      </c>
      <c r="T1432" s="191">
        <f t="shared" si="33"/>
        <v>0</v>
      </c>
      <c r="U1432" s="36"/>
      <c r="V1432" s="36"/>
      <c r="W1432" s="36"/>
      <c r="X1432" s="36"/>
      <c r="Y1432" s="36"/>
      <c r="Z1432" s="36"/>
      <c r="AA1432" s="36"/>
      <c r="AB1432" s="36"/>
      <c r="AC1432" s="36"/>
      <c r="AD1432" s="36"/>
      <c r="AE1432" s="36"/>
      <c r="AR1432" s="192" t="s">
        <v>281</v>
      </c>
      <c r="AT1432" s="192" t="s">
        <v>382</v>
      </c>
      <c r="AU1432" s="192" t="s">
        <v>82</v>
      </c>
      <c r="AY1432" s="19" t="s">
        <v>380</v>
      </c>
      <c r="BE1432" s="193">
        <f t="shared" si="34"/>
        <v>0</v>
      </c>
      <c r="BF1432" s="193">
        <f t="shared" si="35"/>
        <v>0</v>
      </c>
      <c r="BG1432" s="193">
        <f t="shared" si="36"/>
        <v>0</v>
      </c>
      <c r="BH1432" s="193">
        <f t="shared" si="37"/>
        <v>0</v>
      </c>
      <c r="BI1432" s="193">
        <f t="shared" si="38"/>
        <v>0</v>
      </c>
      <c r="BJ1432" s="19" t="s">
        <v>79</v>
      </c>
      <c r="BK1432" s="193">
        <f t="shared" si="39"/>
        <v>0</v>
      </c>
      <c r="BL1432" s="19" t="s">
        <v>281</v>
      </c>
      <c r="BM1432" s="192" t="s">
        <v>2047</v>
      </c>
    </row>
    <row r="1433" spans="1:65" s="2" customFormat="1" ht="24.2" customHeight="1">
      <c r="A1433" s="36"/>
      <c r="B1433" s="37"/>
      <c r="C1433" s="181" t="s">
        <v>2048</v>
      </c>
      <c r="D1433" s="181" t="s">
        <v>382</v>
      </c>
      <c r="E1433" s="182" t="s">
        <v>2049</v>
      </c>
      <c r="F1433" s="183" t="s">
        <v>2050</v>
      </c>
      <c r="G1433" s="184" t="s">
        <v>641</v>
      </c>
      <c r="H1433" s="185">
        <v>2</v>
      </c>
      <c r="I1433" s="186"/>
      <c r="J1433" s="187">
        <f t="shared" si="30"/>
        <v>0</v>
      </c>
      <c r="K1433" s="183" t="s">
        <v>19</v>
      </c>
      <c r="L1433" s="41"/>
      <c r="M1433" s="188" t="s">
        <v>19</v>
      </c>
      <c r="N1433" s="189" t="s">
        <v>43</v>
      </c>
      <c r="O1433" s="66"/>
      <c r="P1433" s="190">
        <f t="shared" si="31"/>
        <v>0</v>
      </c>
      <c r="Q1433" s="190">
        <v>0</v>
      </c>
      <c r="R1433" s="190">
        <f t="shared" si="32"/>
        <v>0</v>
      </c>
      <c r="S1433" s="190">
        <v>0</v>
      </c>
      <c r="T1433" s="191">
        <f t="shared" si="33"/>
        <v>0</v>
      </c>
      <c r="U1433" s="36"/>
      <c r="V1433" s="36"/>
      <c r="W1433" s="36"/>
      <c r="X1433" s="36"/>
      <c r="Y1433" s="36"/>
      <c r="Z1433" s="36"/>
      <c r="AA1433" s="36"/>
      <c r="AB1433" s="36"/>
      <c r="AC1433" s="36"/>
      <c r="AD1433" s="36"/>
      <c r="AE1433" s="36"/>
      <c r="AR1433" s="192" t="s">
        <v>281</v>
      </c>
      <c r="AT1433" s="192" t="s">
        <v>382</v>
      </c>
      <c r="AU1433" s="192" t="s">
        <v>82</v>
      </c>
      <c r="AY1433" s="19" t="s">
        <v>380</v>
      </c>
      <c r="BE1433" s="193">
        <f t="shared" si="34"/>
        <v>0</v>
      </c>
      <c r="BF1433" s="193">
        <f t="shared" si="35"/>
        <v>0</v>
      </c>
      <c r="BG1433" s="193">
        <f t="shared" si="36"/>
        <v>0</v>
      </c>
      <c r="BH1433" s="193">
        <f t="shared" si="37"/>
        <v>0</v>
      </c>
      <c r="BI1433" s="193">
        <f t="shared" si="38"/>
        <v>0</v>
      </c>
      <c r="BJ1433" s="19" t="s">
        <v>79</v>
      </c>
      <c r="BK1433" s="193">
        <f t="shared" si="39"/>
        <v>0</v>
      </c>
      <c r="BL1433" s="19" t="s">
        <v>281</v>
      </c>
      <c r="BM1433" s="192" t="s">
        <v>2051</v>
      </c>
    </row>
    <row r="1434" spans="1:65" s="2" customFormat="1" ht="21.75" customHeight="1">
      <c r="A1434" s="36"/>
      <c r="B1434" s="37"/>
      <c r="C1434" s="181" t="s">
        <v>2052</v>
      </c>
      <c r="D1434" s="181" t="s">
        <v>382</v>
      </c>
      <c r="E1434" s="182" t="s">
        <v>2053</v>
      </c>
      <c r="F1434" s="183" t="s">
        <v>2054</v>
      </c>
      <c r="G1434" s="184" t="s">
        <v>641</v>
      </c>
      <c r="H1434" s="185">
        <v>1</v>
      </c>
      <c r="I1434" s="186"/>
      <c r="J1434" s="187">
        <f t="shared" si="30"/>
        <v>0</v>
      </c>
      <c r="K1434" s="183" t="s">
        <v>19</v>
      </c>
      <c r="L1434" s="41"/>
      <c r="M1434" s="188" t="s">
        <v>19</v>
      </c>
      <c r="N1434" s="189" t="s">
        <v>43</v>
      </c>
      <c r="O1434" s="66"/>
      <c r="P1434" s="190">
        <f t="shared" si="31"/>
        <v>0</v>
      </c>
      <c r="Q1434" s="190">
        <v>0</v>
      </c>
      <c r="R1434" s="190">
        <f t="shared" si="32"/>
        <v>0</v>
      </c>
      <c r="S1434" s="190">
        <v>0</v>
      </c>
      <c r="T1434" s="191">
        <f t="shared" si="33"/>
        <v>0</v>
      </c>
      <c r="U1434" s="36"/>
      <c r="V1434" s="36"/>
      <c r="W1434" s="36"/>
      <c r="X1434" s="36"/>
      <c r="Y1434" s="36"/>
      <c r="Z1434" s="36"/>
      <c r="AA1434" s="36"/>
      <c r="AB1434" s="36"/>
      <c r="AC1434" s="36"/>
      <c r="AD1434" s="36"/>
      <c r="AE1434" s="36"/>
      <c r="AR1434" s="192" t="s">
        <v>281</v>
      </c>
      <c r="AT1434" s="192" t="s">
        <v>382</v>
      </c>
      <c r="AU1434" s="192" t="s">
        <v>82</v>
      </c>
      <c r="AY1434" s="19" t="s">
        <v>380</v>
      </c>
      <c r="BE1434" s="193">
        <f t="shared" si="34"/>
        <v>0</v>
      </c>
      <c r="BF1434" s="193">
        <f t="shared" si="35"/>
        <v>0</v>
      </c>
      <c r="BG1434" s="193">
        <f t="shared" si="36"/>
        <v>0</v>
      </c>
      <c r="BH1434" s="193">
        <f t="shared" si="37"/>
        <v>0</v>
      </c>
      <c r="BI1434" s="193">
        <f t="shared" si="38"/>
        <v>0</v>
      </c>
      <c r="BJ1434" s="19" t="s">
        <v>79</v>
      </c>
      <c r="BK1434" s="193">
        <f t="shared" si="39"/>
        <v>0</v>
      </c>
      <c r="BL1434" s="19" t="s">
        <v>281</v>
      </c>
      <c r="BM1434" s="192" t="s">
        <v>2055</v>
      </c>
    </row>
    <row r="1435" spans="1:65" s="2" customFormat="1" ht="21.75" customHeight="1">
      <c r="A1435" s="36"/>
      <c r="B1435" s="37"/>
      <c r="C1435" s="181" t="s">
        <v>2056</v>
      </c>
      <c r="D1435" s="181" t="s">
        <v>382</v>
      </c>
      <c r="E1435" s="182" t="s">
        <v>2057</v>
      </c>
      <c r="F1435" s="183" t="s">
        <v>2058</v>
      </c>
      <c r="G1435" s="184" t="s">
        <v>641</v>
      </c>
      <c r="H1435" s="185">
        <v>1</v>
      </c>
      <c r="I1435" s="186"/>
      <c r="J1435" s="187">
        <f t="shared" si="30"/>
        <v>0</v>
      </c>
      <c r="K1435" s="183" t="s">
        <v>19</v>
      </c>
      <c r="L1435" s="41"/>
      <c r="M1435" s="188" t="s">
        <v>19</v>
      </c>
      <c r="N1435" s="189" t="s">
        <v>43</v>
      </c>
      <c r="O1435" s="66"/>
      <c r="P1435" s="190">
        <f t="shared" si="31"/>
        <v>0</v>
      </c>
      <c r="Q1435" s="190">
        <v>0</v>
      </c>
      <c r="R1435" s="190">
        <f t="shared" si="32"/>
        <v>0</v>
      </c>
      <c r="S1435" s="190">
        <v>0</v>
      </c>
      <c r="T1435" s="191">
        <f t="shared" si="33"/>
        <v>0</v>
      </c>
      <c r="U1435" s="36"/>
      <c r="V1435" s="36"/>
      <c r="W1435" s="36"/>
      <c r="X1435" s="36"/>
      <c r="Y1435" s="36"/>
      <c r="Z1435" s="36"/>
      <c r="AA1435" s="36"/>
      <c r="AB1435" s="36"/>
      <c r="AC1435" s="36"/>
      <c r="AD1435" s="36"/>
      <c r="AE1435" s="36"/>
      <c r="AR1435" s="192" t="s">
        <v>281</v>
      </c>
      <c r="AT1435" s="192" t="s">
        <v>382</v>
      </c>
      <c r="AU1435" s="192" t="s">
        <v>82</v>
      </c>
      <c r="AY1435" s="19" t="s">
        <v>380</v>
      </c>
      <c r="BE1435" s="193">
        <f t="shared" si="34"/>
        <v>0</v>
      </c>
      <c r="BF1435" s="193">
        <f t="shared" si="35"/>
        <v>0</v>
      </c>
      <c r="BG1435" s="193">
        <f t="shared" si="36"/>
        <v>0</v>
      </c>
      <c r="BH1435" s="193">
        <f t="shared" si="37"/>
        <v>0</v>
      </c>
      <c r="BI1435" s="193">
        <f t="shared" si="38"/>
        <v>0</v>
      </c>
      <c r="BJ1435" s="19" t="s">
        <v>79</v>
      </c>
      <c r="BK1435" s="193">
        <f t="shared" si="39"/>
        <v>0</v>
      </c>
      <c r="BL1435" s="19" t="s">
        <v>281</v>
      </c>
      <c r="BM1435" s="192" t="s">
        <v>2059</v>
      </c>
    </row>
    <row r="1436" spans="1:65" s="2" customFormat="1" ht="24.2" customHeight="1">
      <c r="A1436" s="36"/>
      <c r="B1436" s="37"/>
      <c r="C1436" s="181" t="s">
        <v>2060</v>
      </c>
      <c r="D1436" s="181" t="s">
        <v>382</v>
      </c>
      <c r="E1436" s="182" t="s">
        <v>2061</v>
      </c>
      <c r="F1436" s="183" t="s">
        <v>2062</v>
      </c>
      <c r="G1436" s="184" t="s">
        <v>398</v>
      </c>
      <c r="H1436" s="185">
        <v>470</v>
      </c>
      <c r="I1436" s="186"/>
      <c r="J1436" s="187">
        <f t="shared" si="30"/>
        <v>0</v>
      </c>
      <c r="K1436" s="183" t="s">
        <v>19</v>
      </c>
      <c r="L1436" s="41"/>
      <c r="M1436" s="188" t="s">
        <v>19</v>
      </c>
      <c r="N1436" s="189" t="s">
        <v>43</v>
      </c>
      <c r="O1436" s="66"/>
      <c r="P1436" s="190">
        <f t="shared" si="31"/>
        <v>0</v>
      </c>
      <c r="Q1436" s="190">
        <v>0</v>
      </c>
      <c r="R1436" s="190">
        <f t="shared" si="32"/>
        <v>0</v>
      </c>
      <c r="S1436" s="190">
        <v>0</v>
      </c>
      <c r="T1436" s="191">
        <f t="shared" si="33"/>
        <v>0</v>
      </c>
      <c r="U1436" s="36"/>
      <c r="V1436" s="36"/>
      <c r="W1436" s="36"/>
      <c r="X1436" s="36"/>
      <c r="Y1436" s="36"/>
      <c r="Z1436" s="36"/>
      <c r="AA1436" s="36"/>
      <c r="AB1436" s="36"/>
      <c r="AC1436" s="36"/>
      <c r="AD1436" s="36"/>
      <c r="AE1436" s="36"/>
      <c r="AR1436" s="192" t="s">
        <v>281</v>
      </c>
      <c r="AT1436" s="192" t="s">
        <v>382</v>
      </c>
      <c r="AU1436" s="192" t="s">
        <v>82</v>
      </c>
      <c r="AY1436" s="19" t="s">
        <v>380</v>
      </c>
      <c r="BE1436" s="193">
        <f t="shared" si="34"/>
        <v>0</v>
      </c>
      <c r="BF1436" s="193">
        <f t="shared" si="35"/>
        <v>0</v>
      </c>
      <c r="BG1436" s="193">
        <f t="shared" si="36"/>
        <v>0</v>
      </c>
      <c r="BH1436" s="193">
        <f t="shared" si="37"/>
        <v>0</v>
      </c>
      <c r="BI1436" s="193">
        <f t="shared" si="38"/>
        <v>0</v>
      </c>
      <c r="BJ1436" s="19" t="s">
        <v>79</v>
      </c>
      <c r="BK1436" s="193">
        <f t="shared" si="39"/>
        <v>0</v>
      </c>
      <c r="BL1436" s="19" t="s">
        <v>281</v>
      </c>
      <c r="BM1436" s="192" t="s">
        <v>2063</v>
      </c>
    </row>
    <row r="1437" spans="1:65" s="2" customFormat="1" ht="33" customHeight="1">
      <c r="A1437" s="36"/>
      <c r="B1437" s="37"/>
      <c r="C1437" s="181" t="s">
        <v>2064</v>
      </c>
      <c r="D1437" s="181" t="s">
        <v>382</v>
      </c>
      <c r="E1437" s="182" t="s">
        <v>2065</v>
      </c>
      <c r="F1437" s="183" t="s">
        <v>2066</v>
      </c>
      <c r="G1437" s="184" t="s">
        <v>641</v>
      </c>
      <c r="H1437" s="185">
        <v>2</v>
      </c>
      <c r="I1437" s="186"/>
      <c r="J1437" s="187">
        <f t="shared" si="30"/>
        <v>0</v>
      </c>
      <c r="K1437" s="183" t="s">
        <v>19</v>
      </c>
      <c r="L1437" s="41"/>
      <c r="M1437" s="188" t="s">
        <v>19</v>
      </c>
      <c r="N1437" s="189" t="s">
        <v>43</v>
      </c>
      <c r="O1437" s="66"/>
      <c r="P1437" s="190">
        <f t="shared" si="31"/>
        <v>0</v>
      </c>
      <c r="Q1437" s="190">
        <v>0</v>
      </c>
      <c r="R1437" s="190">
        <f t="shared" si="32"/>
        <v>0</v>
      </c>
      <c r="S1437" s="190">
        <v>0</v>
      </c>
      <c r="T1437" s="191">
        <f t="shared" si="33"/>
        <v>0</v>
      </c>
      <c r="U1437" s="36"/>
      <c r="V1437" s="36"/>
      <c r="W1437" s="36"/>
      <c r="X1437" s="36"/>
      <c r="Y1437" s="36"/>
      <c r="Z1437" s="36"/>
      <c r="AA1437" s="36"/>
      <c r="AB1437" s="36"/>
      <c r="AC1437" s="36"/>
      <c r="AD1437" s="36"/>
      <c r="AE1437" s="36"/>
      <c r="AR1437" s="192" t="s">
        <v>281</v>
      </c>
      <c r="AT1437" s="192" t="s">
        <v>382</v>
      </c>
      <c r="AU1437" s="192" t="s">
        <v>82</v>
      </c>
      <c r="AY1437" s="19" t="s">
        <v>380</v>
      </c>
      <c r="BE1437" s="193">
        <f t="shared" si="34"/>
        <v>0</v>
      </c>
      <c r="BF1437" s="193">
        <f t="shared" si="35"/>
        <v>0</v>
      </c>
      <c r="BG1437" s="193">
        <f t="shared" si="36"/>
        <v>0</v>
      </c>
      <c r="BH1437" s="193">
        <f t="shared" si="37"/>
        <v>0</v>
      </c>
      <c r="BI1437" s="193">
        <f t="shared" si="38"/>
        <v>0</v>
      </c>
      <c r="BJ1437" s="19" t="s">
        <v>79</v>
      </c>
      <c r="BK1437" s="193">
        <f t="shared" si="39"/>
        <v>0</v>
      </c>
      <c r="BL1437" s="19" t="s">
        <v>281</v>
      </c>
      <c r="BM1437" s="192" t="s">
        <v>2067</v>
      </c>
    </row>
    <row r="1438" spans="1:65" s="2" customFormat="1" ht="24.2" customHeight="1">
      <c r="A1438" s="36"/>
      <c r="B1438" s="37"/>
      <c r="C1438" s="181" t="s">
        <v>2068</v>
      </c>
      <c r="D1438" s="181" t="s">
        <v>382</v>
      </c>
      <c r="E1438" s="182" t="s">
        <v>2069</v>
      </c>
      <c r="F1438" s="183" t="s">
        <v>2070</v>
      </c>
      <c r="G1438" s="184" t="s">
        <v>641</v>
      </c>
      <c r="H1438" s="185">
        <v>1</v>
      </c>
      <c r="I1438" s="186"/>
      <c r="J1438" s="187">
        <f t="shared" si="30"/>
        <v>0</v>
      </c>
      <c r="K1438" s="183" t="s">
        <v>19</v>
      </c>
      <c r="L1438" s="41"/>
      <c r="M1438" s="188" t="s">
        <v>19</v>
      </c>
      <c r="N1438" s="189" t="s">
        <v>43</v>
      </c>
      <c r="O1438" s="66"/>
      <c r="P1438" s="190">
        <f t="shared" si="31"/>
        <v>0</v>
      </c>
      <c r="Q1438" s="190">
        <v>0</v>
      </c>
      <c r="R1438" s="190">
        <f t="shared" si="32"/>
        <v>0</v>
      </c>
      <c r="S1438" s="190">
        <v>0</v>
      </c>
      <c r="T1438" s="191">
        <f t="shared" si="33"/>
        <v>0</v>
      </c>
      <c r="U1438" s="36"/>
      <c r="V1438" s="36"/>
      <c r="W1438" s="36"/>
      <c r="X1438" s="36"/>
      <c r="Y1438" s="36"/>
      <c r="Z1438" s="36"/>
      <c r="AA1438" s="36"/>
      <c r="AB1438" s="36"/>
      <c r="AC1438" s="36"/>
      <c r="AD1438" s="36"/>
      <c r="AE1438" s="36"/>
      <c r="AR1438" s="192" t="s">
        <v>281</v>
      </c>
      <c r="AT1438" s="192" t="s">
        <v>382</v>
      </c>
      <c r="AU1438" s="192" t="s">
        <v>82</v>
      </c>
      <c r="AY1438" s="19" t="s">
        <v>380</v>
      </c>
      <c r="BE1438" s="193">
        <f t="shared" si="34"/>
        <v>0</v>
      </c>
      <c r="BF1438" s="193">
        <f t="shared" si="35"/>
        <v>0</v>
      </c>
      <c r="BG1438" s="193">
        <f t="shared" si="36"/>
        <v>0</v>
      </c>
      <c r="BH1438" s="193">
        <f t="shared" si="37"/>
        <v>0</v>
      </c>
      <c r="BI1438" s="193">
        <f t="shared" si="38"/>
        <v>0</v>
      </c>
      <c r="BJ1438" s="19" t="s">
        <v>79</v>
      </c>
      <c r="BK1438" s="193">
        <f t="shared" si="39"/>
        <v>0</v>
      </c>
      <c r="BL1438" s="19" t="s">
        <v>281</v>
      </c>
      <c r="BM1438" s="192" t="s">
        <v>2071</v>
      </c>
    </row>
    <row r="1439" spans="1:65" s="2" customFormat="1" ht="24.2" customHeight="1">
      <c r="A1439" s="36"/>
      <c r="B1439" s="37"/>
      <c r="C1439" s="181" t="s">
        <v>2072</v>
      </c>
      <c r="D1439" s="181" t="s">
        <v>382</v>
      </c>
      <c r="E1439" s="182" t="s">
        <v>2073</v>
      </c>
      <c r="F1439" s="183" t="s">
        <v>2074</v>
      </c>
      <c r="G1439" s="184" t="s">
        <v>641</v>
      </c>
      <c r="H1439" s="185">
        <v>1</v>
      </c>
      <c r="I1439" s="186"/>
      <c r="J1439" s="187">
        <f t="shared" si="30"/>
        <v>0</v>
      </c>
      <c r="K1439" s="183" t="s">
        <v>19</v>
      </c>
      <c r="L1439" s="41"/>
      <c r="M1439" s="188" t="s">
        <v>19</v>
      </c>
      <c r="N1439" s="189" t="s">
        <v>43</v>
      </c>
      <c r="O1439" s="66"/>
      <c r="P1439" s="190">
        <f t="shared" si="31"/>
        <v>0</v>
      </c>
      <c r="Q1439" s="190">
        <v>0</v>
      </c>
      <c r="R1439" s="190">
        <f t="shared" si="32"/>
        <v>0</v>
      </c>
      <c r="S1439" s="190">
        <v>0</v>
      </c>
      <c r="T1439" s="191">
        <f t="shared" si="33"/>
        <v>0</v>
      </c>
      <c r="U1439" s="36"/>
      <c r="V1439" s="36"/>
      <c r="W1439" s="36"/>
      <c r="X1439" s="36"/>
      <c r="Y1439" s="36"/>
      <c r="Z1439" s="36"/>
      <c r="AA1439" s="36"/>
      <c r="AB1439" s="36"/>
      <c r="AC1439" s="36"/>
      <c r="AD1439" s="36"/>
      <c r="AE1439" s="36"/>
      <c r="AR1439" s="192" t="s">
        <v>281</v>
      </c>
      <c r="AT1439" s="192" t="s">
        <v>382</v>
      </c>
      <c r="AU1439" s="192" t="s">
        <v>82</v>
      </c>
      <c r="AY1439" s="19" t="s">
        <v>380</v>
      </c>
      <c r="BE1439" s="193">
        <f t="shared" si="34"/>
        <v>0</v>
      </c>
      <c r="BF1439" s="193">
        <f t="shared" si="35"/>
        <v>0</v>
      </c>
      <c r="BG1439" s="193">
        <f t="shared" si="36"/>
        <v>0</v>
      </c>
      <c r="BH1439" s="193">
        <f t="shared" si="37"/>
        <v>0</v>
      </c>
      <c r="BI1439" s="193">
        <f t="shared" si="38"/>
        <v>0</v>
      </c>
      <c r="BJ1439" s="19" t="s">
        <v>79</v>
      </c>
      <c r="BK1439" s="193">
        <f t="shared" si="39"/>
        <v>0</v>
      </c>
      <c r="BL1439" s="19" t="s">
        <v>281</v>
      </c>
      <c r="BM1439" s="192" t="s">
        <v>2075</v>
      </c>
    </row>
    <row r="1440" spans="1:65" s="12" customFormat="1" ht="22.9" customHeight="1">
      <c r="B1440" s="165"/>
      <c r="C1440" s="166"/>
      <c r="D1440" s="167" t="s">
        <v>71</v>
      </c>
      <c r="E1440" s="179" t="s">
        <v>2076</v>
      </c>
      <c r="F1440" s="179" t="s">
        <v>2077</v>
      </c>
      <c r="G1440" s="166"/>
      <c r="H1440" s="166"/>
      <c r="I1440" s="169"/>
      <c r="J1440" s="180">
        <f>BK1440</f>
        <v>0</v>
      </c>
      <c r="K1440" s="166"/>
      <c r="L1440" s="171"/>
      <c r="M1440" s="172"/>
      <c r="N1440" s="173"/>
      <c r="O1440" s="173"/>
      <c r="P1440" s="174">
        <f>SUM(P1441:P1469)</f>
        <v>0</v>
      </c>
      <c r="Q1440" s="173"/>
      <c r="R1440" s="174">
        <f>SUM(R1441:R1469)</f>
        <v>3.5159000000000002</v>
      </c>
      <c r="S1440" s="173"/>
      <c r="T1440" s="175">
        <f>SUM(T1441:T1469)</f>
        <v>0</v>
      </c>
      <c r="AR1440" s="176" t="s">
        <v>82</v>
      </c>
      <c r="AT1440" s="177" t="s">
        <v>71</v>
      </c>
      <c r="AU1440" s="177" t="s">
        <v>79</v>
      </c>
      <c r="AY1440" s="176" t="s">
        <v>380</v>
      </c>
      <c r="BK1440" s="178">
        <f>SUM(BK1441:BK1469)</f>
        <v>0</v>
      </c>
    </row>
    <row r="1441" spans="1:65" s="2" customFormat="1" ht="24.2" customHeight="1">
      <c r="A1441" s="36"/>
      <c r="B1441" s="37"/>
      <c r="C1441" s="181" t="s">
        <v>2078</v>
      </c>
      <c r="D1441" s="181" t="s">
        <v>382</v>
      </c>
      <c r="E1441" s="182" t="s">
        <v>2079</v>
      </c>
      <c r="F1441" s="183" t="s">
        <v>2080</v>
      </c>
      <c r="G1441" s="184" t="s">
        <v>641</v>
      </c>
      <c r="H1441" s="185">
        <v>36</v>
      </c>
      <c r="I1441" s="186"/>
      <c r="J1441" s="187">
        <f>ROUND(I1441*H1441,2)</f>
        <v>0</v>
      </c>
      <c r="K1441" s="183" t="s">
        <v>19</v>
      </c>
      <c r="L1441" s="41"/>
      <c r="M1441" s="188" t="s">
        <v>19</v>
      </c>
      <c r="N1441" s="189" t="s">
        <v>43</v>
      </c>
      <c r="O1441" s="66"/>
      <c r="P1441" s="190">
        <f>O1441*H1441</f>
        <v>0</v>
      </c>
      <c r="Q1441" s="190">
        <v>1.4500000000000001E-2</v>
      </c>
      <c r="R1441" s="190">
        <f>Q1441*H1441</f>
        <v>0.52200000000000002</v>
      </c>
      <c r="S1441" s="190">
        <v>0</v>
      </c>
      <c r="T1441" s="191">
        <f>S1441*H1441</f>
        <v>0</v>
      </c>
      <c r="U1441" s="36"/>
      <c r="V1441" s="36"/>
      <c r="W1441" s="36"/>
      <c r="X1441" s="36"/>
      <c r="Y1441" s="36"/>
      <c r="Z1441" s="36"/>
      <c r="AA1441" s="36"/>
      <c r="AB1441" s="36"/>
      <c r="AC1441" s="36"/>
      <c r="AD1441" s="36"/>
      <c r="AE1441" s="36"/>
      <c r="AR1441" s="192" t="s">
        <v>281</v>
      </c>
      <c r="AT1441" s="192" t="s">
        <v>382</v>
      </c>
      <c r="AU1441" s="192" t="s">
        <v>82</v>
      </c>
      <c r="AY1441" s="19" t="s">
        <v>380</v>
      </c>
      <c r="BE1441" s="193">
        <f>IF(N1441="základní",J1441,0)</f>
        <v>0</v>
      </c>
      <c r="BF1441" s="193">
        <f>IF(N1441="snížená",J1441,0)</f>
        <v>0</v>
      </c>
      <c r="BG1441" s="193">
        <f>IF(N1441="zákl. přenesená",J1441,0)</f>
        <v>0</v>
      </c>
      <c r="BH1441" s="193">
        <f>IF(N1441="sníž. přenesená",J1441,0)</f>
        <v>0</v>
      </c>
      <c r="BI1441" s="193">
        <f>IF(N1441="nulová",J1441,0)</f>
        <v>0</v>
      </c>
      <c r="BJ1441" s="19" t="s">
        <v>79</v>
      </c>
      <c r="BK1441" s="193">
        <f>ROUND(I1441*H1441,2)</f>
        <v>0</v>
      </c>
      <c r="BL1441" s="19" t="s">
        <v>281</v>
      </c>
      <c r="BM1441" s="192" t="s">
        <v>2081</v>
      </c>
    </row>
    <row r="1442" spans="1:65" s="13" customFormat="1" ht="11.25">
      <c r="B1442" s="194"/>
      <c r="C1442" s="195"/>
      <c r="D1442" s="196" t="s">
        <v>388</v>
      </c>
      <c r="E1442" s="197" t="s">
        <v>19</v>
      </c>
      <c r="F1442" s="198" t="s">
        <v>2082</v>
      </c>
      <c r="G1442" s="195"/>
      <c r="H1442" s="197" t="s">
        <v>19</v>
      </c>
      <c r="I1442" s="199"/>
      <c r="J1442" s="195"/>
      <c r="K1442" s="195"/>
      <c r="L1442" s="200"/>
      <c r="M1442" s="201"/>
      <c r="N1442" s="202"/>
      <c r="O1442" s="202"/>
      <c r="P1442" s="202"/>
      <c r="Q1442" s="202"/>
      <c r="R1442" s="202"/>
      <c r="S1442" s="202"/>
      <c r="T1442" s="203"/>
      <c r="AT1442" s="204" t="s">
        <v>388</v>
      </c>
      <c r="AU1442" s="204" t="s">
        <v>82</v>
      </c>
      <c r="AV1442" s="13" t="s">
        <v>79</v>
      </c>
      <c r="AW1442" s="13" t="s">
        <v>33</v>
      </c>
      <c r="AX1442" s="13" t="s">
        <v>72</v>
      </c>
      <c r="AY1442" s="204" t="s">
        <v>380</v>
      </c>
    </row>
    <row r="1443" spans="1:65" s="14" customFormat="1" ht="11.25">
      <c r="B1443" s="205"/>
      <c r="C1443" s="206"/>
      <c r="D1443" s="196" t="s">
        <v>388</v>
      </c>
      <c r="E1443" s="207" t="s">
        <v>19</v>
      </c>
      <c r="F1443" s="208" t="s">
        <v>579</v>
      </c>
      <c r="G1443" s="206"/>
      <c r="H1443" s="209">
        <v>36</v>
      </c>
      <c r="I1443" s="210"/>
      <c r="J1443" s="206"/>
      <c r="K1443" s="206"/>
      <c r="L1443" s="211"/>
      <c r="M1443" s="212"/>
      <c r="N1443" s="213"/>
      <c r="O1443" s="213"/>
      <c r="P1443" s="213"/>
      <c r="Q1443" s="213"/>
      <c r="R1443" s="213"/>
      <c r="S1443" s="213"/>
      <c r="T1443" s="214"/>
      <c r="AT1443" s="215" t="s">
        <v>388</v>
      </c>
      <c r="AU1443" s="215" t="s">
        <v>82</v>
      </c>
      <c r="AV1443" s="14" t="s">
        <v>82</v>
      </c>
      <c r="AW1443" s="14" t="s">
        <v>33</v>
      </c>
      <c r="AX1443" s="14" t="s">
        <v>79</v>
      </c>
      <c r="AY1443" s="215" t="s">
        <v>380</v>
      </c>
    </row>
    <row r="1444" spans="1:65" s="2" customFormat="1" ht="24.2" customHeight="1">
      <c r="A1444" s="36"/>
      <c r="B1444" s="37"/>
      <c r="C1444" s="181" t="s">
        <v>2083</v>
      </c>
      <c r="D1444" s="181" t="s">
        <v>382</v>
      </c>
      <c r="E1444" s="182" t="s">
        <v>2084</v>
      </c>
      <c r="F1444" s="183" t="s">
        <v>2085</v>
      </c>
      <c r="G1444" s="184" t="s">
        <v>641</v>
      </c>
      <c r="H1444" s="185">
        <v>2</v>
      </c>
      <c r="I1444" s="186"/>
      <c r="J1444" s="187">
        <f>ROUND(I1444*H1444,2)</f>
        <v>0</v>
      </c>
      <c r="K1444" s="183" t="s">
        <v>19</v>
      </c>
      <c r="L1444" s="41"/>
      <c r="M1444" s="188" t="s">
        <v>19</v>
      </c>
      <c r="N1444" s="189" t="s">
        <v>43</v>
      </c>
      <c r="O1444" s="66"/>
      <c r="P1444" s="190">
        <f>O1444*H1444</f>
        <v>0</v>
      </c>
      <c r="Q1444" s="190">
        <v>5.6099999999999997E-2</v>
      </c>
      <c r="R1444" s="190">
        <f>Q1444*H1444</f>
        <v>0.11219999999999999</v>
      </c>
      <c r="S1444" s="190">
        <v>0</v>
      </c>
      <c r="T1444" s="191">
        <f>S1444*H1444</f>
        <v>0</v>
      </c>
      <c r="U1444" s="36"/>
      <c r="V1444" s="36"/>
      <c r="W1444" s="36"/>
      <c r="X1444" s="36"/>
      <c r="Y1444" s="36"/>
      <c r="Z1444" s="36"/>
      <c r="AA1444" s="36"/>
      <c r="AB1444" s="36"/>
      <c r="AC1444" s="36"/>
      <c r="AD1444" s="36"/>
      <c r="AE1444" s="36"/>
      <c r="AR1444" s="192" t="s">
        <v>281</v>
      </c>
      <c r="AT1444" s="192" t="s">
        <v>382</v>
      </c>
      <c r="AU1444" s="192" t="s">
        <v>82</v>
      </c>
      <c r="AY1444" s="19" t="s">
        <v>380</v>
      </c>
      <c r="BE1444" s="193">
        <f>IF(N1444="základní",J1444,0)</f>
        <v>0</v>
      </c>
      <c r="BF1444" s="193">
        <f>IF(N1444="snížená",J1444,0)</f>
        <v>0</v>
      </c>
      <c r="BG1444" s="193">
        <f>IF(N1444="zákl. přenesená",J1444,0)</f>
        <v>0</v>
      </c>
      <c r="BH1444" s="193">
        <f>IF(N1444="sníž. přenesená",J1444,0)</f>
        <v>0</v>
      </c>
      <c r="BI1444" s="193">
        <f>IF(N1444="nulová",J1444,0)</f>
        <v>0</v>
      </c>
      <c r="BJ1444" s="19" t="s">
        <v>79</v>
      </c>
      <c r="BK1444" s="193">
        <f>ROUND(I1444*H1444,2)</f>
        <v>0</v>
      </c>
      <c r="BL1444" s="19" t="s">
        <v>281</v>
      </c>
      <c r="BM1444" s="192" t="s">
        <v>2086</v>
      </c>
    </row>
    <row r="1445" spans="1:65" s="13" customFormat="1" ht="11.25">
      <c r="B1445" s="194"/>
      <c r="C1445" s="195"/>
      <c r="D1445" s="196" t="s">
        <v>388</v>
      </c>
      <c r="E1445" s="197" t="s">
        <v>19</v>
      </c>
      <c r="F1445" s="198" t="s">
        <v>2082</v>
      </c>
      <c r="G1445" s="195"/>
      <c r="H1445" s="197" t="s">
        <v>19</v>
      </c>
      <c r="I1445" s="199"/>
      <c r="J1445" s="195"/>
      <c r="K1445" s="195"/>
      <c r="L1445" s="200"/>
      <c r="M1445" s="201"/>
      <c r="N1445" s="202"/>
      <c r="O1445" s="202"/>
      <c r="P1445" s="202"/>
      <c r="Q1445" s="202"/>
      <c r="R1445" s="202"/>
      <c r="S1445" s="202"/>
      <c r="T1445" s="203"/>
      <c r="AT1445" s="204" t="s">
        <v>388</v>
      </c>
      <c r="AU1445" s="204" t="s">
        <v>82</v>
      </c>
      <c r="AV1445" s="13" t="s">
        <v>79</v>
      </c>
      <c r="AW1445" s="13" t="s">
        <v>33</v>
      </c>
      <c r="AX1445" s="13" t="s">
        <v>72</v>
      </c>
      <c r="AY1445" s="204" t="s">
        <v>380</v>
      </c>
    </row>
    <row r="1446" spans="1:65" s="14" customFormat="1" ht="11.25">
      <c r="B1446" s="205"/>
      <c r="C1446" s="206"/>
      <c r="D1446" s="196" t="s">
        <v>388</v>
      </c>
      <c r="E1446" s="207" t="s">
        <v>19</v>
      </c>
      <c r="F1446" s="208" t="s">
        <v>82</v>
      </c>
      <c r="G1446" s="206"/>
      <c r="H1446" s="209">
        <v>2</v>
      </c>
      <c r="I1446" s="210"/>
      <c r="J1446" s="206"/>
      <c r="K1446" s="206"/>
      <c r="L1446" s="211"/>
      <c r="M1446" s="212"/>
      <c r="N1446" s="213"/>
      <c r="O1446" s="213"/>
      <c r="P1446" s="213"/>
      <c r="Q1446" s="213"/>
      <c r="R1446" s="213"/>
      <c r="S1446" s="213"/>
      <c r="T1446" s="214"/>
      <c r="AT1446" s="215" t="s">
        <v>388</v>
      </c>
      <c r="AU1446" s="215" t="s">
        <v>82</v>
      </c>
      <c r="AV1446" s="14" t="s">
        <v>82</v>
      </c>
      <c r="AW1446" s="14" t="s">
        <v>33</v>
      </c>
      <c r="AX1446" s="14" t="s">
        <v>79</v>
      </c>
      <c r="AY1446" s="215" t="s">
        <v>380</v>
      </c>
    </row>
    <row r="1447" spans="1:65" s="2" customFormat="1" ht="24.2" customHeight="1">
      <c r="A1447" s="36"/>
      <c r="B1447" s="37"/>
      <c r="C1447" s="181" t="s">
        <v>2087</v>
      </c>
      <c r="D1447" s="181" t="s">
        <v>382</v>
      </c>
      <c r="E1447" s="182" t="s">
        <v>2088</v>
      </c>
      <c r="F1447" s="183" t="s">
        <v>2089</v>
      </c>
      <c r="G1447" s="184" t="s">
        <v>641</v>
      </c>
      <c r="H1447" s="185">
        <v>4</v>
      </c>
      <c r="I1447" s="186"/>
      <c r="J1447" s="187">
        <f>ROUND(I1447*H1447,2)</f>
        <v>0</v>
      </c>
      <c r="K1447" s="183" t="s">
        <v>19</v>
      </c>
      <c r="L1447" s="41"/>
      <c r="M1447" s="188" t="s">
        <v>19</v>
      </c>
      <c r="N1447" s="189" t="s">
        <v>43</v>
      </c>
      <c r="O1447" s="66"/>
      <c r="P1447" s="190">
        <f>O1447*H1447</f>
        <v>0</v>
      </c>
      <c r="Q1447" s="190">
        <v>3.0700000000000002E-2</v>
      </c>
      <c r="R1447" s="190">
        <f>Q1447*H1447</f>
        <v>0.12280000000000001</v>
      </c>
      <c r="S1447" s="190">
        <v>0</v>
      </c>
      <c r="T1447" s="191">
        <f>S1447*H1447</f>
        <v>0</v>
      </c>
      <c r="U1447" s="36"/>
      <c r="V1447" s="36"/>
      <c r="W1447" s="36"/>
      <c r="X1447" s="36"/>
      <c r="Y1447" s="36"/>
      <c r="Z1447" s="36"/>
      <c r="AA1447" s="36"/>
      <c r="AB1447" s="36"/>
      <c r="AC1447" s="36"/>
      <c r="AD1447" s="36"/>
      <c r="AE1447" s="36"/>
      <c r="AR1447" s="192" t="s">
        <v>281</v>
      </c>
      <c r="AT1447" s="192" t="s">
        <v>382</v>
      </c>
      <c r="AU1447" s="192" t="s">
        <v>82</v>
      </c>
      <c r="AY1447" s="19" t="s">
        <v>380</v>
      </c>
      <c r="BE1447" s="193">
        <f>IF(N1447="základní",J1447,0)</f>
        <v>0</v>
      </c>
      <c r="BF1447" s="193">
        <f>IF(N1447="snížená",J1447,0)</f>
        <v>0</v>
      </c>
      <c r="BG1447" s="193">
        <f>IF(N1447="zákl. přenesená",J1447,0)</f>
        <v>0</v>
      </c>
      <c r="BH1447" s="193">
        <f>IF(N1447="sníž. přenesená",J1447,0)</f>
        <v>0</v>
      </c>
      <c r="BI1447" s="193">
        <f>IF(N1447="nulová",J1447,0)</f>
        <v>0</v>
      </c>
      <c r="BJ1447" s="19" t="s">
        <v>79</v>
      </c>
      <c r="BK1447" s="193">
        <f>ROUND(I1447*H1447,2)</f>
        <v>0</v>
      </c>
      <c r="BL1447" s="19" t="s">
        <v>281</v>
      </c>
      <c r="BM1447" s="192" t="s">
        <v>2090</v>
      </c>
    </row>
    <row r="1448" spans="1:65" s="13" customFormat="1" ht="11.25">
      <c r="B1448" s="194"/>
      <c r="C1448" s="195"/>
      <c r="D1448" s="196" t="s">
        <v>388</v>
      </c>
      <c r="E1448" s="197" t="s">
        <v>19</v>
      </c>
      <c r="F1448" s="198" t="s">
        <v>2082</v>
      </c>
      <c r="G1448" s="195"/>
      <c r="H1448" s="197" t="s">
        <v>19</v>
      </c>
      <c r="I1448" s="199"/>
      <c r="J1448" s="195"/>
      <c r="K1448" s="195"/>
      <c r="L1448" s="200"/>
      <c r="M1448" s="201"/>
      <c r="N1448" s="202"/>
      <c r="O1448" s="202"/>
      <c r="P1448" s="202"/>
      <c r="Q1448" s="202"/>
      <c r="R1448" s="202"/>
      <c r="S1448" s="202"/>
      <c r="T1448" s="203"/>
      <c r="AT1448" s="204" t="s">
        <v>388</v>
      </c>
      <c r="AU1448" s="204" t="s">
        <v>82</v>
      </c>
      <c r="AV1448" s="13" t="s">
        <v>79</v>
      </c>
      <c r="AW1448" s="13" t="s">
        <v>33</v>
      </c>
      <c r="AX1448" s="13" t="s">
        <v>72</v>
      </c>
      <c r="AY1448" s="204" t="s">
        <v>380</v>
      </c>
    </row>
    <row r="1449" spans="1:65" s="14" customFormat="1" ht="11.25">
      <c r="B1449" s="205"/>
      <c r="C1449" s="206"/>
      <c r="D1449" s="196" t="s">
        <v>388</v>
      </c>
      <c r="E1449" s="207" t="s">
        <v>19</v>
      </c>
      <c r="F1449" s="208" t="s">
        <v>386</v>
      </c>
      <c r="G1449" s="206"/>
      <c r="H1449" s="209">
        <v>4</v>
      </c>
      <c r="I1449" s="210"/>
      <c r="J1449" s="206"/>
      <c r="K1449" s="206"/>
      <c r="L1449" s="211"/>
      <c r="M1449" s="212"/>
      <c r="N1449" s="213"/>
      <c r="O1449" s="213"/>
      <c r="P1449" s="213"/>
      <c r="Q1449" s="213"/>
      <c r="R1449" s="213"/>
      <c r="S1449" s="213"/>
      <c r="T1449" s="214"/>
      <c r="AT1449" s="215" t="s">
        <v>388</v>
      </c>
      <c r="AU1449" s="215" t="s">
        <v>82</v>
      </c>
      <c r="AV1449" s="14" t="s">
        <v>82</v>
      </c>
      <c r="AW1449" s="14" t="s">
        <v>33</v>
      </c>
      <c r="AX1449" s="14" t="s">
        <v>79</v>
      </c>
      <c r="AY1449" s="215" t="s">
        <v>380</v>
      </c>
    </row>
    <row r="1450" spans="1:65" s="2" customFormat="1" ht="21.75" customHeight="1">
      <c r="A1450" s="36"/>
      <c r="B1450" s="37"/>
      <c r="C1450" s="181" t="s">
        <v>2091</v>
      </c>
      <c r="D1450" s="181" t="s">
        <v>382</v>
      </c>
      <c r="E1450" s="182" t="s">
        <v>2092</v>
      </c>
      <c r="F1450" s="183" t="s">
        <v>2093</v>
      </c>
      <c r="G1450" s="184" t="s">
        <v>641</v>
      </c>
      <c r="H1450" s="185">
        <v>1</v>
      </c>
      <c r="I1450" s="186"/>
      <c r="J1450" s="187">
        <f>ROUND(I1450*H1450,2)</f>
        <v>0</v>
      </c>
      <c r="K1450" s="183" t="s">
        <v>19</v>
      </c>
      <c r="L1450" s="41"/>
      <c r="M1450" s="188" t="s">
        <v>19</v>
      </c>
      <c r="N1450" s="189" t="s">
        <v>43</v>
      </c>
      <c r="O1450" s="66"/>
      <c r="P1450" s="190">
        <f>O1450*H1450</f>
        <v>0</v>
      </c>
      <c r="Q1450" s="190">
        <v>7.1199999999999999E-2</v>
      </c>
      <c r="R1450" s="190">
        <f>Q1450*H1450</f>
        <v>7.1199999999999999E-2</v>
      </c>
      <c r="S1450" s="190">
        <v>0</v>
      </c>
      <c r="T1450" s="191">
        <f>S1450*H1450</f>
        <v>0</v>
      </c>
      <c r="U1450" s="36"/>
      <c r="V1450" s="36"/>
      <c r="W1450" s="36"/>
      <c r="X1450" s="36"/>
      <c r="Y1450" s="36"/>
      <c r="Z1450" s="36"/>
      <c r="AA1450" s="36"/>
      <c r="AB1450" s="36"/>
      <c r="AC1450" s="36"/>
      <c r="AD1450" s="36"/>
      <c r="AE1450" s="36"/>
      <c r="AR1450" s="192" t="s">
        <v>281</v>
      </c>
      <c r="AT1450" s="192" t="s">
        <v>382</v>
      </c>
      <c r="AU1450" s="192" t="s">
        <v>82</v>
      </c>
      <c r="AY1450" s="19" t="s">
        <v>380</v>
      </c>
      <c r="BE1450" s="193">
        <f>IF(N1450="základní",J1450,0)</f>
        <v>0</v>
      </c>
      <c r="BF1450" s="193">
        <f>IF(N1450="snížená",J1450,0)</f>
        <v>0</v>
      </c>
      <c r="BG1450" s="193">
        <f>IF(N1450="zákl. přenesená",J1450,0)</f>
        <v>0</v>
      </c>
      <c r="BH1450" s="193">
        <f>IF(N1450="sníž. přenesená",J1450,0)</f>
        <v>0</v>
      </c>
      <c r="BI1450" s="193">
        <f>IF(N1450="nulová",J1450,0)</f>
        <v>0</v>
      </c>
      <c r="BJ1450" s="19" t="s">
        <v>79</v>
      </c>
      <c r="BK1450" s="193">
        <f>ROUND(I1450*H1450,2)</f>
        <v>0</v>
      </c>
      <c r="BL1450" s="19" t="s">
        <v>281</v>
      </c>
      <c r="BM1450" s="192" t="s">
        <v>2094</v>
      </c>
    </row>
    <row r="1451" spans="1:65" s="13" customFormat="1" ht="11.25">
      <c r="B1451" s="194"/>
      <c r="C1451" s="195"/>
      <c r="D1451" s="196" t="s">
        <v>388</v>
      </c>
      <c r="E1451" s="197" t="s">
        <v>19</v>
      </c>
      <c r="F1451" s="198" t="s">
        <v>2082</v>
      </c>
      <c r="G1451" s="195"/>
      <c r="H1451" s="197" t="s">
        <v>19</v>
      </c>
      <c r="I1451" s="199"/>
      <c r="J1451" s="195"/>
      <c r="K1451" s="195"/>
      <c r="L1451" s="200"/>
      <c r="M1451" s="201"/>
      <c r="N1451" s="202"/>
      <c r="O1451" s="202"/>
      <c r="P1451" s="202"/>
      <c r="Q1451" s="202"/>
      <c r="R1451" s="202"/>
      <c r="S1451" s="202"/>
      <c r="T1451" s="203"/>
      <c r="AT1451" s="204" t="s">
        <v>388</v>
      </c>
      <c r="AU1451" s="204" t="s">
        <v>82</v>
      </c>
      <c r="AV1451" s="13" t="s">
        <v>79</v>
      </c>
      <c r="AW1451" s="13" t="s">
        <v>33</v>
      </c>
      <c r="AX1451" s="13" t="s">
        <v>72</v>
      </c>
      <c r="AY1451" s="204" t="s">
        <v>380</v>
      </c>
    </row>
    <row r="1452" spans="1:65" s="14" customFormat="1" ht="11.25">
      <c r="B1452" s="205"/>
      <c r="C1452" s="206"/>
      <c r="D1452" s="196" t="s">
        <v>388</v>
      </c>
      <c r="E1452" s="207" t="s">
        <v>19</v>
      </c>
      <c r="F1452" s="208" t="s">
        <v>79</v>
      </c>
      <c r="G1452" s="206"/>
      <c r="H1452" s="209">
        <v>1</v>
      </c>
      <c r="I1452" s="210"/>
      <c r="J1452" s="206"/>
      <c r="K1452" s="206"/>
      <c r="L1452" s="211"/>
      <c r="M1452" s="212"/>
      <c r="N1452" s="213"/>
      <c r="O1452" s="213"/>
      <c r="P1452" s="213"/>
      <c r="Q1452" s="213"/>
      <c r="R1452" s="213"/>
      <c r="S1452" s="213"/>
      <c r="T1452" s="214"/>
      <c r="AT1452" s="215" t="s">
        <v>388</v>
      </c>
      <c r="AU1452" s="215" t="s">
        <v>82</v>
      </c>
      <c r="AV1452" s="14" t="s">
        <v>82</v>
      </c>
      <c r="AW1452" s="14" t="s">
        <v>33</v>
      </c>
      <c r="AX1452" s="14" t="s">
        <v>79</v>
      </c>
      <c r="AY1452" s="215" t="s">
        <v>380</v>
      </c>
    </row>
    <row r="1453" spans="1:65" s="2" customFormat="1" ht="21.75" customHeight="1">
      <c r="A1453" s="36"/>
      <c r="B1453" s="37"/>
      <c r="C1453" s="181" t="s">
        <v>2095</v>
      </c>
      <c r="D1453" s="181" t="s">
        <v>382</v>
      </c>
      <c r="E1453" s="182" t="s">
        <v>2096</v>
      </c>
      <c r="F1453" s="183" t="s">
        <v>2097</v>
      </c>
      <c r="G1453" s="184" t="s">
        <v>641</v>
      </c>
      <c r="H1453" s="185">
        <v>1</v>
      </c>
      <c r="I1453" s="186"/>
      <c r="J1453" s="187">
        <f>ROUND(I1453*H1453,2)</f>
        <v>0</v>
      </c>
      <c r="K1453" s="183" t="s">
        <v>19</v>
      </c>
      <c r="L1453" s="41"/>
      <c r="M1453" s="188" t="s">
        <v>19</v>
      </c>
      <c r="N1453" s="189" t="s">
        <v>43</v>
      </c>
      <c r="O1453" s="66"/>
      <c r="P1453" s="190">
        <f>O1453*H1453</f>
        <v>0</v>
      </c>
      <c r="Q1453" s="190">
        <v>5.9700000000000003E-2</v>
      </c>
      <c r="R1453" s="190">
        <f>Q1453*H1453</f>
        <v>5.9700000000000003E-2</v>
      </c>
      <c r="S1453" s="190">
        <v>0</v>
      </c>
      <c r="T1453" s="191">
        <f>S1453*H1453</f>
        <v>0</v>
      </c>
      <c r="U1453" s="36"/>
      <c r="V1453" s="36"/>
      <c r="W1453" s="36"/>
      <c r="X1453" s="36"/>
      <c r="Y1453" s="36"/>
      <c r="Z1453" s="36"/>
      <c r="AA1453" s="36"/>
      <c r="AB1453" s="36"/>
      <c r="AC1453" s="36"/>
      <c r="AD1453" s="36"/>
      <c r="AE1453" s="36"/>
      <c r="AR1453" s="192" t="s">
        <v>281</v>
      </c>
      <c r="AT1453" s="192" t="s">
        <v>382</v>
      </c>
      <c r="AU1453" s="192" t="s">
        <v>82</v>
      </c>
      <c r="AY1453" s="19" t="s">
        <v>380</v>
      </c>
      <c r="BE1453" s="193">
        <f>IF(N1453="základní",J1453,0)</f>
        <v>0</v>
      </c>
      <c r="BF1453" s="193">
        <f>IF(N1453="snížená",J1453,0)</f>
        <v>0</v>
      </c>
      <c r="BG1453" s="193">
        <f>IF(N1453="zákl. přenesená",J1453,0)</f>
        <v>0</v>
      </c>
      <c r="BH1453" s="193">
        <f>IF(N1453="sníž. přenesená",J1453,0)</f>
        <v>0</v>
      </c>
      <c r="BI1453" s="193">
        <f>IF(N1453="nulová",J1453,0)</f>
        <v>0</v>
      </c>
      <c r="BJ1453" s="19" t="s">
        <v>79</v>
      </c>
      <c r="BK1453" s="193">
        <f>ROUND(I1453*H1453,2)</f>
        <v>0</v>
      </c>
      <c r="BL1453" s="19" t="s">
        <v>281</v>
      </c>
      <c r="BM1453" s="192" t="s">
        <v>2098</v>
      </c>
    </row>
    <row r="1454" spans="1:65" s="13" customFormat="1" ht="11.25">
      <c r="B1454" s="194"/>
      <c r="C1454" s="195"/>
      <c r="D1454" s="196" t="s">
        <v>388</v>
      </c>
      <c r="E1454" s="197" t="s">
        <v>19</v>
      </c>
      <c r="F1454" s="198" t="s">
        <v>2082</v>
      </c>
      <c r="G1454" s="195"/>
      <c r="H1454" s="197" t="s">
        <v>19</v>
      </c>
      <c r="I1454" s="199"/>
      <c r="J1454" s="195"/>
      <c r="K1454" s="195"/>
      <c r="L1454" s="200"/>
      <c r="M1454" s="201"/>
      <c r="N1454" s="202"/>
      <c r="O1454" s="202"/>
      <c r="P1454" s="202"/>
      <c r="Q1454" s="202"/>
      <c r="R1454" s="202"/>
      <c r="S1454" s="202"/>
      <c r="T1454" s="203"/>
      <c r="AT1454" s="204" t="s">
        <v>388</v>
      </c>
      <c r="AU1454" s="204" t="s">
        <v>82</v>
      </c>
      <c r="AV1454" s="13" t="s">
        <v>79</v>
      </c>
      <c r="AW1454" s="13" t="s">
        <v>33</v>
      </c>
      <c r="AX1454" s="13" t="s">
        <v>72</v>
      </c>
      <c r="AY1454" s="204" t="s">
        <v>380</v>
      </c>
    </row>
    <row r="1455" spans="1:65" s="14" customFormat="1" ht="11.25">
      <c r="B1455" s="205"/>
      <c r="C1455" s="206"/>
      <c r="D1455" s="196" t="s">
        <v>388</v>
      </c>
      <c r="E1455" s="207" t="s">
        <v>19</v>
      </c>
      <c r="F1455" s="208" t="s">
        <v>79</v>
      </c>
      <c r="G1455" s="206"/>
      <c r="H1455" s="209">
        <v>1</v>
      </c>
      <c r="I1455" s="210"/>
      <c r="J1455" s="206"/>
      <c r="K1455" s="206"/>
      <c r="L1455" s="211"/>
      <c r="M1455" s="212"/>
      <c r="N1455" s="213"/>
      <c r="O1455" s="213"/>
      <c r="P1455" s="213"/>
      <c r="Q1455" s="213"/>
      <c r="R1455" s="213"/>
      <c r="S1455" s="213"/>
      <c r="T1455" s="214"/>
      <c r="AT1455" s="215" t="s">
        <v>388</v>
      </c>
      <c r="AU1455" s="215" t="s">
        <v>82</v>
      </c>
      <c r="AV1455" s="14" t="s">
        <v>82</v>
      </c>
      <c r="AW1455" s="14" t="s">
        <v>33</v>
      </c>
      <c r="AX1455" s="14" t="s">
        <v>79</v>
      </c>
      <c r="AY1455" s="215" t="s">
        <v>380</v>
      </c>
    </row>
    <row r="1456" spans="1:65" s="2" customFormat="1" ht="21.75" customHeight="1">
      <c r="A1456" s="36"/>
      <c r="B1456" s="37"/>
      <c r="C1456" s="181" t="s">
        <v>2099</v>
      </c>
      <c r="D1456" s="181" t="s">
        <v>382</v>
      </c>
      <c r="E1456" s="182" t="s">
        <v>2100</v>
      </c>
      <c r="F1456" s="183" t="s">
        <v>2101</v>
      </c>
      <c r="G1456" s="184" t="s">
        <v>398</v>
      </c>
      <c r="H1456" s="185">
        <v>16.399999999999999</v>
      </c>
      <c r="I1456" s="186"/>
      <c r="J1456" s="187">
        <f>ROUND(I1456*H1456,2)</f>
        <v>0</v>
      </c>
      <c r="K1456" s="183" t="s">
        <v>19</v>
      </c>
      <c r="L1456" s="41"/>
      <c r="M1456" s="188" t="s">
        <v>19</v>
      </c>
      <c r="N1456" s="189" t="s">
        <v>43</v>
      </c>
      <c r="O1456" s="66"/>
      <c r="P1456" s="190">
        <f>O1456*H1456</f>
        <v>0</v>
      </c>
      <c r="Q1456" s="190">
        <v>0.01</v>
      </c>
      <c r="R1456" s="190">
        <f>Q1456*H1456</f>
        <v>0.16399999999999998</v>
      </c>
      <c r="S1456" s="190">
        <v>0</v>
      </c>
      <c r="T1456" s="191">
        <f>S1456*H1456</f>
        <v>0</v>
      </c>
      <c r="U1456" s="36"/>
      <c r="V1456" s="36"/>
      <c r="W1456" s="36"/>
      <c r="X1456" s="36"/>
      <c r="Y1456" s="36"/>
      <c r="Z1456" s="36"/>
      <c r="AA1456" s="36"/>
      <c r="AB1456" s="36"/>
      <c r="AC1456" s="36"/>
      <c r="AD1456" s="36"/>
      <c r="AE1456" s="36"/>
      <c r="AR1456" s="192" t="s">
        <v>281</v>
      </c>
      <c r="AT1456" s="192" t="s">
        <v>382</v>
      </c>
      <c r="AU1456" s="192" t="s">
        <v>82</v>
      </c>
      <c r="AY1456" s="19" t="s">
        <v>380</v>
      </c>
      <c r="BE1456" s="193">
        <f>IF(N1456="základní",J1456,0)</f>
        <v>0</v>
      </c>
      <c r="BF1456" s="193">
        <f>IF(N1456="snížená",J1456,0)</f>
        <v>0</v>
      </c>
      <c r="BG1456" s="193">
        <f>IF(N1456="zákl. přenesená",J1456,0)</f>
        <v>0</v>
      </c>
      <c r="BH1456" s="193">
        <f>IF(N1456="sníž. přenesená",J1456,0)</f>
        <v>0</v>
      </c>
      <c r="BI1456" s="193">
        <f>IF(N1456="nulová",J1456,0)</f>
        <v>0</v>
      </c>
      <c r="BJ1456" s="19" t="s">
        <v>79</v>
      </c>
      <c r="BK1456" s="193">
        <f>ROUND(I1456*H1456,2)</f>
        <v>0</v>
      </c>
      <c r="BL1456" s="19" t="s">
        <v>281</v>
      </c>
      <c r="BM1456" s="192" t="s">
        <v>2102</v>
      </c>
    </row>
    <row r="1457" spans="1:65" s="13" customFormat="1" ht="11.25">
      <c r="B1457" s="194"/>
      <c r="C1457" s="195"/>
      <c r="D1457" s="196" t="s">
        <v>388</v>
      </c>
      <c r="E1457" s="197" t="s">
        <v>19</v>
      </c>
      <c r="F1457" s="198" t="s">
        <v>1058</v>
      </c>
      <c r="G1457" s="195"/>
      <c r="H1457" s="197" t="s">
        <v>19</v>
      </c>
      <c r="I1457" s="199"/>
      <c r="J1457" s="195"/>
      <c r="K1457" s="195"/>
      <c r="L1457" s="200"/>
      <c r="M1457" s="201"/>
      <c r="N1457" s="202"/>
      <c r="O1457" s="202"/>
      <c r="P1457" s="202"/>
      <c r="Q1457" s="202"/>
      <c r="R1457" s="202"/>
      <c r="S1457" s="202"/>
      <c r="T1457" s="203"/>
      <c r="AT1457" s="204" t="s">
        <v>388</v>
      </c>
      <c r="AU1457" s="204" t="s">
        <v>82</v>
      </c>
      <c r="AV1457" s="13" t="s">
        <v>79</v>
      </c>
      <c r="AW1457" s="13" t="s">
        <v>33</v>
      </c>
      <c r="AX1457" s="13" t="s">
        <v>72</v>
      </c>
      <c r="AY1457" s="204" t="s">
        <v>380</v>
      </c>
    </row>
    <row r="1458" spans="1:65" s="13" customFormat="1" ht="11.25">
      <c r="B1458" s="194"/>
      <c r="C1458" s="195"/>
      <c r="D1458" s="196" t="s">
        <v>388</v>
      </c>
      <c r="E1458" s="197" t="s">
        <v>19</v>
      </c>
      <c r="F1458" s="198" t="s">
        <v>2103</v>
      </c>
      <c r="G1458" s="195"/>
      <c r="H1458" s="197" t="s">
        <v>19</v>
      </c>
      <c r="I1458" s="199"/>
      <c r="J1458" s="195"/>
      <c r="K1458" s="195"/>
      <c r="L1458" s="200"/>
      <c r="M1458" s="201"/>
      <c r="N1458" s="202"/>
      <c r="O1458" s="202"/>
      <c r="P1458" s="202"/>
      <c r="Q1458" s="202"/>
      <c r="R1458" s="202"/>
      <c r="S1458" s="202"/>
      <c r="T1458" s="203"/>
      <c r="AT1458" s="204" t="s">
        <v>388</v>
      </c>
      <c r="AU1458" s="204" t="s">
        <v>82</v>
      </c>
      <c r="AV1458" s="13" t="s">
        <v>79</v>
      </c>
      <c r="AW1458" s="13" t="s">
        <v>33</v>
      </c>
      <c r="AX1458" s="13" t="s">
        <v>72</v>
      </c>
      <c r="AY1458" s="204" t="s">
        <v>380</v>
      </c>
    </row>
    <row r="1459" spans="1:65" s="14" customFormat="1" ht="11.25">
      <c r="B1459" s="205"/>
      <c r="C1459" s="206"/>
      <c r="D1459" s="196" t="s">
        <v>388</v>
      </c>
      <c r="E1459" s="207" t="s">
        <v>19</v>
      </c>
      <c r="F1459" s="208" t="s">
        <v>269</v>
      </c>
      <c r="G1459" s="206"/>
      <c r="H1459" s="209">
        <v>16.399999999999999</v>
      </c>
      <c r="I1459" s="210"/>
      <c r="J1459" s="206"/>
      <c r="K1459" s="206"/>
      <c r="L1459" s="211"/>
      <c r="M1459" s="212"/>
      <c r="N1459" s="213"/>
      <c r="O1459" s="213"/>
      <c r="P1459" s="213"/>
      <c r="Q1459" s="213"/>
      <c r="R1459" s="213"/>
      <c r="S1459" s="213"/>
      <c r="T1459" s="214"/>
      <c r="AT1459" s="215" t="s">
        <v>388</v>
      </c>
      <c r="AU1459" s="215" t="s">
        <v>82</v>
      </c>
      <c r="AV1459" s="14" t="s">
        <v>82</v>
      </c>
      <c r="AW1459" s="14" t="s">
        <v>33</v>
      </c>
      <c r="AX1459" s="14" t="s">
        <v>72</v>
      </c>
      <c r="AY1459" s="215" t="s">
        <v>380</v>
      </c>
    </row>
    <row r="1460" spans="1:65" s="16" customFormat="1" ht="11.25">
      <c r="B1460" s="237"/>
      <c r="C1460" s="238"/>
      <c r="D1460" s="196" t="s">
        <v>388</v>
      </c>
      <c r="E1460" s="239" t="s">
        <v>268</v>
      </c>
      <c r="F1460" s="240" t="s">
        <v>572</v>
      </c>
      <c r="G1460" s="238"/>
      <c r="H1460" s="241">
        <v>16.399999999999999</v>
      </c>
      <c r="I1460" s="242"/>
      <c r="J1460" s="238"/>
      <c r="K1460" s="238"/>
      <c r="L1460" s="243"/>
      <c r="M1460" s="244"/>
      <c r="N1460" s="245"/>
      <c r="O1460" s="245"/>
      <c r="P1460" s="245"/>
      <c r="Q1460" s="245"/>
      <c r="R1460" s="245"/>
      <c r="S1460" s="245"/>
      <c r="T1460" s="246"/>
      <c r="AT1460" s="247" t="s">
        <v>388</v>
      </c>
      <c r="AU1460" s="247" t="s">
        <v>82</v>
      </c>
      <c r="AV1460" s="16" t="s">
        <v>99</v>
      </c>
      <c r="AW1460" s="16" t="s">
        <v>33</v>
      </c>
      <c r="AX1460" s="16" t="s">
        <v>72</v>
      </c>
      <c r="AY1460" s="247" t="s">
        <v>380</v>
      </c>
    </row>
    <row r="1461" spans="1:65" s="15" customFormat="1" ht="11.25">
      <c r="B1461" s="216"/>
      <c r="C1461" s="217"/>
      <c r="D1461" s="196" t="s">
        <v>388</v>
      </c>
      <c r="E1461" s="218" t="s">
        <v>19</v>
      </c>
      <c r="F1461" s="219" t="s">
        <v>419</v>
      </c>
      <c r="G1461" s="217"/>
      <c r="H1461" s="220">
        <v>16.399999999999999</v>
      </c>
      <c r="I1461" s="221"/>
      <c r="J1461" s="217"/>
      <c r="K1461" s="217"/>
      <c r="L1461" s="222"/>
      <c r="M1461" s="223"/>
      <c r="N1461" s="224"/>
      <c r="O1461" s="224"/>
      <c r="P1461" s="224"/>
      <c r="Q1461" s="224"/>
      <c r="R1461" s="224"/>
      <c r="S1461" s="224"/>
      <c r="T1461" s="225"/>
      <c r="AT1461" s="226" t="s">
        <v>388</v>
      </c>
      <c r="AU1461" s="226" t="s">
        <v>82</v>
      </c>
      <c r="AV1461" s="15" t="s">
        <v>386</v>
      </c>
      <c r="AW1461" s="15" t="s">
        <v>33</v>
      </c>
      <c r="AX1461" s="15" t="s">
        <v>79</v>
      </c>
      <c r="AY1461" s="226" t="s">
        <v>380</v>
      </c>
    </row>
    <row r="1462" spans="1:65" s="2" customFormat="1" ht="24.2" customHeight="1">
      <c r="A1462" s="36"/>
      <c r="B1462" s="37"/>
      <c r="C1462" s="181" t="s">
        <v>2104</v>
      </c>
      <c r="D1462" s="181" t="s">
        <v>382</v>
      </c>
      <c r="E1462" s="182" t="s">
        <v>2105</v>
      </c>
      <c r="F1462" s="183" t="s">
        <v>2106</v>
      </c>
      <c r="G1462" s="184" t="s">
        <v>437</v>
      </c>
      <c r="H1462" s="185">
        <v>0.96399999999999997</v>
      </c>
      <c r="I1462" s="186"/>
      <c r="J1462" s="187">
        <f>ROUND(I1462*H1462,2)</f>
        <v>0</v>
      </c>
      <c r="K1462" s="183" t="s">
        <v>19</v>
      </c>
      <c r="L1462" s="41"/>
      <c r="M1462" s="188" t="s">
        <v>19</v>
      </c>
      <c r="N1462" s="189" t="s">
        <v>43</v>
      </c>
      <c r="O1462" s="66"/>
      <c r="P1462" s="190">
        <f>O1462*H1462</f>
        <v>0</v>
      </c>
      <c r="Q1462" s="190">
        <v>1</v>
      </c>
      <c r="R1462" s="190">
        <f>Q1462*H1462</f>
        <v>0.96399999999999997</v>
      </c>
      <c r="S1462" s="190">
        <v>0</v>
      </c>
      <c r="T1462" s="191">
        <f>S1462*H1462</f>
        <v>0</v>
      </c>
      <c r="U1462" s="36"/>
      <c r="V1462" s="36"/>
      <c r="W1462" s="36"/>
      <c r="X1462" s="36"/>
      <c r="Y1462" s="36"/>
      <c r="Z1462" s="36"/>
      <c r="AA1462" s="36"/>
      <c r="AB1462" s="36"/>
      <c r="AC1462" s="36"/>
      <c r="AD1462" s="36"/>
      <c r="AE1462" s="36"/>
      <c r="AR1462" s="192" t="s">
        <v>281</v>
      </c>
      <c r="AT1462" s="192" t="s">
        <v>382</v>
      </c>
      <c r="AU1462" s="192" t="s">
        <v>82</v>
      </c>
      <c r="AY1462" s="19" t="s">
        <v>380</v>
      </c>
      <c r="BE1462" s="193">
        <f>IF(N1462="základní",J1462,0)</f>
        <v>0</v>
      </c>
      <c r="BF1462" s="193">
        <f>IF(N1462="snížená",J1462,0)</f>
        <v>0</v>
      </c>
      <c r="BG1462" s="193">
        <f>IF(N1462="zákl. přenesená",J1462,0)</f>
        <v>0</v>
      </c>
      <c r="BH1462" s="193">
        <f>IF(N1462="sníž. přenesená",J1462,0)</f>
        <v>0</v>
      </c>
      <c r="BI1462" s="193">
        <f>IF(N1462="nulová",J1462,0)</f>
        <v>0</v>
      </c>
      <c r="BJ1462" s="19" t="s">
        <v>79</v>
      </c>
      <c r="BK1462" s="193">
        <f>ROUND(I1462*H1462,2)</f>
        <v>0</v>
      </c>
      <c r="BL1462" s="19" t="s">
        <v>281</v>
      </c>
      <c r="BM1462" s="192" t="s">
        <v>2107</v>
      </c>
    </row>
    <row r="1463" spans="1:65" s="13" customFormat="1" ht="11.25">
      <c r="B1463" s="194"/>
      <c r="C1463" s="195"/>
      <c r="D1463" s="196" t="s">
        <v>388</v>
      </c>
      <c r="E1463" s="197" t="s">
        <v>19</v>
      </c>
      <c r="F1463" s="198" t="s">
        <v>2108</v>
      </c>
      <c r="G1463" s="195"/>
      <c r="H1463" s="197" t="s">
        <v>19</v>
      </c>
      <c r="I1463" s="199"/>
      <c r="J1463" s="195"/>
      <c r="K1463" s="195"/>
      <c r="L1463" s="200"/>
      <c r="M1463" s="201"/>
      <c r="N1463" s="202"/>
      <c r="O1463" s="202"/>
      <c r="P1463" s="202"/>
      <c r="Q1463" s="202"/>
      <c r="R1463" s="202"/>
      <c r="S1463" s="202"/>
      <c r="T1463" s="203"/>
      <c r="AT1463" s="204" t="s">
        <v>388</v>
      </c>
      <c r="AU1463" s="204" t="s">
        <v>82</v>
      </c>
      <c r="AV1463" s="13" t="s">
        <v>79</v>
      </c>
      <c r="AW1463" s="13" t="s">
        <v>33</v>
      </c>
      <c r="AX1463" s="13" t="s">
        <v>72</v>
      </c>
      <c r="AY1463" s="204" t="s">
        <v>380</v>
      </c>
    </row>
    <row r="1464" spans="1:65" s="14" customFormat="1" ht="11.25">
      <c r="B1464" s="205"/>
      <c r="C1464" s="206"/>
      <c r="D1464" s="196" t="s">
        <v>388</v>
      </c>
      <c r="E1464" s="207" t="s">
        <v>19</v>
      </c>
      <c r="F1464" s="208" t="s">
        <v>2109</v>
      </c>
      <c r="G1464" s="206"/>
      <c r="H1464" s="209">
        <v>0.96399999999999997</v>
      </c>
      <c r="I1464" s="210"/>
      <c r="J1464" s="206"/>
      <c r="K1464" s="206"/>
      <c r="L1464" s="211"/>
      <c r="M1464" s="212"/>
      <c r="N1464" s="213"/>
      <c r="O1464" s="213"/>
      <c r="P1464" s="213"/>
      <c r="Q1464" s="213"/>
      <c r="R1464" s="213"/>
      <c r="S1464" s="213"/>
      <c r="T1464" s="214"/>
      <c r="AT1464" s="215" t="s">
        <v>388</v>
      </c>
      <c r="AU1464" s="215" t="s">
        <v>82</v>
      </c>
      <c r="AV1464" s="14" t="s">
        <v>82</v>
      </c>
      <c r="AW1464" s="14" t="s">
        <v>33</v>
      </c>
      <c r="AX1464" s="14" t="s">
        <v>79</v>
      </c>
      <c r="AY1464" s="215" t="s">
        <v>380</v>
      </c>
    </row>
    <row r="1465" spans="1:65" s="2" customFormat="1" ht="16.5" customHeight="1">
      <c r="A1465" s="36"/>
      <c r="B1465" s="37"/>
      <c r="C1465" s="181" t="s">
        <v>2110</v>
      </c>
      <c r="D1465" s="181" t="s">
        <v>382</v>
      </c>
      <c r="E1465" s="182" t="s">
        <v>2111</v>
      </c>
      <c r="F1465" s="183" t="s">
        <v>2112</v>
      </c>
      <c r="G1465" s="184" t="s">
        <v>437</v>
      </c>
      <c r="H1465" s="185">
        <v>1.5</v>
      </c>
      <c r="I1465" s="186"/>
      <c r="J1465" s="187">
        <f>ROUND(I1465*H1465,2)</f>
        <v>0</v>
      </c>
      <c r="K1465" s="183" t="s">
        <v>19</v>
      </c>
      <c r="L1465" s="41"/>
      <c r="M1465" s="188" t="s">
        <v>19</v>
      </c>
      <c r="N1465" s="189" t="s">
        <v>43</v>
      </c>
      <c r="O1465" s="66"/>
      <c r="P1465" s="190">
        <f>O1465*H1465</f>
        <v>0</v>
      </c>
      <c r="Q1465" s="190">
        <v>1</v>
      </c>
      <c r="R1465" s="190">
        <f>Q1465*H1465</f>
        <v>1.5</v>
      </c>
      <c r="S1465" s="190">
        <v>0</v>
      </c>
      <c r="T1465" s="191">
        <f>S1465*H1465</f>
        <v>0</v>
      </c>
      <c r="U1465" s="36"/>
      <c r="V1465" s="36"/>
      <c r="W1465" s="36"/>
      <c r="X1465" s="36"/>
      <c r="Y1465" s="36"/>
      <c r="Z1465" s="36"/>
      <c r="AA1465" s="36"/>
      <c r="AB1465" s="36"/>
      <c r="AC1465" s="36"/>
      <c r="AD1465" s="36"/>
      <c r="AE1465" s="36"/>
      <c r="AR1465" s="192" t="s">
        <v>281</v>
      </c>
      <c r="AT1465" s="192" t="s">
        <v>382</v>
      </c>
      <c r="AU1465" s="192" t="s">
        <v>82</v>
      </c>
      <c r="AY1465" s="19" t="s">
        <v>380</v>
      </c>
      <c r="BE1465" s="193">
        <f>IF(N1465="základní",J1465,0)</f>
        <v>0</v>
      </c>
      <c r="BF1465" s="193">
        <f>IF(N1465="snížená",J1465,0)</f>
        <v>0</v>
      </c>
      <c r="BG1465" s="193">
        <f>IF(N1465="zákl. přenesená",J1465,0)</f>
        <v>0</v>
      </c>
      <c r="BH1465" s="193">
        <f>IF(N1465="sníž. přenesená",J1465,0)</f>
        <v>0</v>
      </c>
      <c r="BI1465" s="193">
        <f>IF(N1465="nulová",J1465,0)</f>
        <v>0</v>
      </c>
      <c r="BJ1465" s="19" t="s">
        <v>79</v>
      </c>
      <c r="BK1465" s="193">
        <f>ROUND(I1465*H1465,2)</f>
        <v>0</v>
      </c>
      <c r="BL1465" s="19" t="s">
        <v>281</v>
      </c>
      <c r="BM1465" s="192" t="s">
        <v>2113</v>
      </c>
    </row>
    <row r="1466" spans="1:65" s="13" customFormat="1" ht="11.25">
      <c r="B1466" s="194"/>
      <c r="C1466" s="195"/>
      <c r="D1466" s="196" t="s">
        <v>388</v>
      </c>
      <c r="E1466" s="197" t="s">
        <v>19</v>
      </c>
      <c r="F1466" s="198" t="s">
        <v>2114</v>
      </c>
      <c r="G1466" s="195"/>
      <c r="H1466" s="197" t="s">
        <v>19</v>
      </c>
      <c r="I1466" s="199"/>
      <c r="J1466" s="195"/>
      <c r="K1466" s="195"/>
      <c r="L1466" s="200"/>
      <c r="M1466" s="201"/>
      <c r="N1466" s="202"/>
      <c r="O1466" s="202"/>
      <c r="P1466" s="202"/>
      <c r="Q1466" s="202"/>
      <c r="R1466" s="202"/>
      <c r="S1466" s="202"/>
      <c r="T1466" s="203"/>
      <c r="AT1466" s="204" t="s">
        <v>388</v>
      </c>
      <c r="AU1466" s="204" t="s">
        <v>82</v>
      </c>
      <c r="AV1466" s="13" t="s">
        <v>79</v>
      </c>
      <c r="AW1466" s="13" t="s">
        <v>33</v>
      </c>
      <c r="AX1466" s="13" t="s">
        <v>72</v>
      </c>
      <c r="AY1466" s="204" t="s">
        <v>380</v>
      </c>
    </row>
    <row r="1467" spans="1:65" s="13" customFormat="1" ht="11.25">
      <c r="B1467" s="194"/>
      <c r="C1467" s="195"/>
      <c r="D1467" s="196" t="s">
        <v>388</v>
      </c>
      <c r="E1467" s="197" t="s">
        <v>19</v>
      </c>
      <c r="F1467" s="198" t="s">
        <v>2115</v>
      </c>
      <c r="G1467" s="195"/>
      <c r="H1467" s="197" t="s">
        <v>19</v>
      </c>
      <c r="I1467" s="199"/>
      <c r="J1467" s="195"/>
      <c r="K1467" s="195"/>
      <c r="L1467" s="200"/>
      <c r="M1467" s="201"/>
      <c r="N1467" s="202"/>
      <c r="O1467" s="202"/>
      <c r="P1467" s="202"/>
      <c r="Q1467" s="202"/>
      <c r="R1467" s="202"/>
      <c r="S1467" s="202"/>
      <c r="T1467" s="203"/>
      <c r="AT1467" s="204" t="s">
        <v>388</v>
      </c>
      <c r="AU1467" s="204" t="s">
        <v>82</v>
      </c>
      <c r="AV1467" s="13" t="s">
        <v>79</v>
      </c>
      <c r="AW1467" s="13" t="s">
        <v>33</v>
      </c>
      <c r="AX1467" s="13" t="s">
        <v>72</v>
      </c>
      <c r="AY1467" s="204" t="s">
        <v>380</v>
      </c>
    </row>
    <row r="1468" spans="1:65" s="14" customFormat="1" ht="11.25">
      <c r="B1468" s="205"/>
      <c r="C1468" s="206"/>
      <c r="D1468" s="196" t="s">
        <v>388</v>
      </c>
      <c r="E1468" s="207" t="s">
        <v>19</v>
      </c>
      <c r="F1468" s="208" t="s">
        <v>2116</v>
      </c>
      <c r="G1468" s="206"/>
      <c r="H1468" s="209">
        <v>1.5</v>
      </c>
      <c r="I1468" s="210"/>
      <c r="J1468" s="206"/>
      <c r="K1468" s="206"/>
      <c r="L1468" s="211"/>
      <c r="M1468" s="212"/>
      <c r="N1468" s="213"/>
      <c r="O1468" s="213"/>
      <c r="P1468" s="213"/>
      <c r="Q1468" s="213"/>
      <c r="R1468" s="213"/>
      <c r="S1468" s="213"/>
      <c r="T1468" s="214"/>
      <c r="AT1468" s="215" t="s">
        <v>388</v>
      </c>
      <c r="AU1468" s="215" t="s">
        <v>82</v>
      </c>
      <c r="AV1468" s="14" t="s">
        <v>82</v>
      </c>
      <c r="AW1468" s="14" t="s">
        <v>33</v>
      </c>
      <c r="AX1468" s="14" t="s">
        <v>79</v>
      </c>
      <c r="AY1468" s="215" t="s">
        <v>380</v>
      </c>
    </row>
    <row r="1469" spans="1:65" s="2" customFormat="1" ht="24.2" customHeight="1">
      <c r="A1469" s="36"/>
      <c r="B1469" s="37"/>
      <c r="C1469" s="181" t="s">
        <v>2117</v>
      </c>
      <c r="D1469" s="181" t="s">
        <v>382</v>
      </c>
      <c r="E1469" s="182" t="s">
        <v>2118</v>
      </c>
      <c r="F1469" s="183" t="s">
        <v>2119</v>
      </c>
      <c r="G1469" s="184" t="s">
        <v>437</v>
      </c>
      <c r="H1469" s="185">
        <v>3.516</v>
      </c>
      <c r="I1469" s="186"/>
      <c r="J1469" s="187">
        <f>ROUND(I1469*H1469,2)</f>
        <v>0</v>
      </c>
      <c r="K1469" s="183" t="s">
        <v>399</v>
      </c>
      <c r="L1469" s="41"/>
      <c r="M1469" s="188" t="s">
        <v>19</v>
      </c>
      <c r="N1469" s="189" t="s">
        <v>43</v>
      </c>
      <c r="O1469" s="66"/>
      <c r="P1469" s="190">
        <f>O1469*H1469</f>
        <v>0</v>
      </c>
      <c r="Q1469" s="190">
        <v>0</v>
      </c>
      <c r="R1469" s="190">
        <f>Q1469*H1469</f>
        <v>0</v>
      </c>
      <c r="S1469" s="190">
        <v>0</v>
      </c>
      <c r="T1469" s="191">
        <f>S1469*H1469</f>
        <v>0</v>
      </c>
      <c r="U1469" s="36"/>
      <c r="V1469" s="36"/>
      <c r="W1469" s="36"/>
      <c r="X1469" s="36"/>
      <c r="Y1469" s="36"/>
      <c r="Z1469" s="36"/>
      <c r="AA1469" s="36"/>
      <c r="AB1469" s="36"/>
      <c r="AC1469" s="36"/>
      <c r="AD1469" s="36"/>
      <c r="AE1469" s="36"/>
      <c r="AR1469" s="192" t="s">
        <v>281</v>
      </c>
      <c r="AT1469" s="192" t="s">
        <v>382</v>
      </c>
      <c r="AU1469" s="192" t="s">
        <v>82</v>
      </c>
      <c r="AY1469" s="19" t="s">
        <v>380</v>
      </c>
      <c r="BE1469" s="193">
        <f>IF(N1469="základní",J1469,0)</f>
        <v>0</v>
      </c>
      <c r="BF1469" s="193">
        <f>IF(N1469="snížená",J1469,0)</f>
        <v>0</v>
      </c>
      <c r="BG1469" s="193">
        <f>IF(N1469="zákl. přenesená",J1469,0)</f>
        <v>0</v>
      </c>
      <c r="BH1469" s="193">
        <f>IF(N1469="sníž. přenesená",J1469,0)</f>
        <v>0</v>
      </c>
      <c r="BI1469" s="193">
        <f>IF(N1469="nulová",J1469,0)</f>
        <v>0</v>
      </c>
      <c r="BJ1469" s="19" t="s">
        <v>79</v>
      </c>
      <c r="BK1469" s="193">
        <f>ROUND(I1469*H1469,2)</f>
        <v>0</v>
      </c>
      <c r="BL1469" s="19" t="s">
        <v>281</v>
      </c>
      <c r="BM1469" s="192" t="s">
        <v>2120</v>
      </c>
    </row>
    <row r="1470" spans="1:65" s="12" customFormat="1" ht="22.9" customHeight="1">
      <c r="B1470" s="165"/>
      <c r="C1470" s="166"/>
      <c r="D1470" s="167" t="s">
        <v>71</v>
      </c>
      <c r="E1470" s="179" t="s">
        <v>2121</v>
      </c>
      <c r="F1470" s="179" t="s">
        <v>2122</v>
      </c>
      <c r="G1470" s="166"/>
      <c r="H1470" s="166"/>
      <c r="I1470" s="169"/>
      <c r="J1470" s="180">
        <f>BK1470</f>
        <v>0</v>
      </c>
      <c r="K1470" s="166"/>
      <c r="L1470" s="171"/>
      <c r="M1470" s="172"/>
      <c r="N1470" s="173"/>
      <c r="O1470" s="173"/>
      <c r="P1470" s="174">
        <f>SUM(P1471:P1490)</f>
        <v>0</v>
      </c>
      <c r="Q1470" s="173"/>
      <c r="R1470" s="174">
        <f>SUM(R1471:R1490)</f>
        <v>0</v>
      </c>
      <c r="S1470" s="173"/>
      <c r="T1470" s="175">
        <f>SUM(T1471:T1490)</f>
        <v>0</v>
      </c>
      <c r="AR1470" s="176" t="s">
        <v>82</v>
      </c>
      <c r="AT1470" s="177" t="s">
        <v>71</v>
      </c>
      <c r="AU1470" s="177" t="s">
        <v>79</v>
      </c>
      <c r="AY1470" s="176" t="s">
        <v>380</v>
      </c>
      <c r="BK1470" s="178">
        <f>SUM(BK1471:BK1490)</f>
        <v>0</v>
      </c>
    </row>
    <row r="1471" spans="1:65" s="2" customFormat="1" ht="24.2" customHeight="1">
      <c r="A1471" s="36"/>
      <c r="B1471" s="37"/>
      <c r="C1471" s="181" t="s">
        <v>2123</v>
      </c>
      <c r="D1471" s="181" t="s">
        <v>382</v>
      </c>
      <c r="E1471" s="182" t="s">
        <v>2124</v>
      </c>
      <c r="F1471" s="183" t="s">
        <v>2125</v>
      </c>
      <c r="G1471" s="184" t="s">
        <v>2006</v>
      </c>
      <c r="H1471" s="185">
        <v>1</v>
      </c>
      <c r="I1471" s="186"/>
      <c r="J1471" s="187">
        <f t="shared" ref="J1471:J1490" si="40">ROUND(I1471*H1471,2)</f>
        <v>0</v>
      </c>
      <c r="K1471" s="183" t="s">
        <v>19</v>
      </c>
      <c r="L1471" s="41"/>
      <c r="M1471" s="188" t="s">
        <v>19</v>
      </c>
      <c r="N1471" s="189" t="s">
        <v>43</v>
      </c>
      <c r="O1471" s="66"/>
      <c r="P1471" s="190">
        <f t="shared" ref="P1471:P1490" si="41">O1471*H1471</f>
        <v>0</v>
      </c>
      <c r="Q1471" s="190">
        <v>0</v>
      </c>
      <c r="R1471" s="190">
        <f t="shared" ref="R1471:R1490" si="42">Q1471*H1471</f>
        <v>0</v>
      </c>
      <c r="S1471" s="190">
        <v>0</v>
      </c>
      <c r="T1471" s="191">
        <f t="shared" ref="T1471:T1490" si="43">S1471*H1471</f>
        <v>0</v>
      </c>
      <c r="U1471" s="36"/>
      <c r="V1471" s="36"/>
      <c r="W1471" s="36"/>
      <c r="X1471" s="36"/>
      <c r="Y1471" s="36"/>
      <c r="Z1471" s="36"/>
      <c r="AA1471" s="36"/>
      <c r="AB1471" s="36"/>
      <c r="AC1471" s="36"/>
      <c r="AD1471" s="36"/>
      <c r="AE1471" s="36"/>
      <c r="AR1471" s="192" t="s">
        <v>281</v>
      </c>
      <c r="AT1471" s="192" t="s">
        <v>382</v>
      </c>
      <c r="AU1471" s="192" t="s">
        <v>82</v>
      </c>
      <c r="AY1471" s="19" t="s">
        <v>380</v>
      </c>
      <c r="BE1471" s="193">
        <f t="shared" ref="BE1471:BE1490" si="44">IF(N1471="základní",J1471,0)</f>
        <v>0</v>
      </c>
      <c r="BF1471" s="193">
        <f t="shared" ref="BF1471:BF1490" si="45">IF(N1471="snížená",J1471,0)</f>
        <v>0</v>
      </c>
      <c r="BG1471" s="193">
        <f t="shared" ref="BG1471:BG1490" si="46">IF(N1471="zákl. přenesená",J1471,0)</f>
        <v>0</v>
      </c>
      <c r="BH1471" s="193">
        <f t="shared" ref="BH1471:BH1490" si="47">IF(N1471="sníž. přenesená",J1471,0)</f>
        <v>0</v>
      </c>
      <c r="BI1471" s="193">
        <f t="shared" ref="BI1471:BI1490" si="48">IF(N1471="nulová",J1471,0)</f>
        <v>0</v>
      </c>
      <c r="BJ1471" s="19" t="s">
        <v>79</v>
      </c>
      <c r="BK1471" s="193">
        <f t="shared" ref="BK1471:BK1490" si="49">ROUND(I1471*H1471,2)</f>
        <v>0</v>
      </c>
      <c r="BL1471" s="19" t="s">
        <v>281</v>
      </c>
      <c r="BM1471" s="192" t="s">
        <v>2126</v>
      </c>
    </row>
    <row r="1472" spans="1:65" s="2" customFormat="1" ht="16.5" customHeight="1">
      <c r="A1472" s="36"/>
      <c r="B1472" s="37"/>
      <c r="C1472" s="181" t="s">
        <v>2127</v>
      </c>
      <c r="D1472" s="181" t="s">
        <v>382</v>
      </c>
      <c r="E1472" s="182" t="s">
        <v>2128</v>
      </c>
      <c r="F1472" s="183" t="s">
        <v>2129</v>
      </c>
      <c r="G1472" s="184" t="s">
        <v>641</v>
      </c>
      <c r="H1472" s="185">
        <v>2</v>
      </c>
      <c r="I1472" s="186"/>
      <c r="J1472" s="187">
        <f t="shared" si="40"/>
        <v>0</v>
      </c>
      <c r="K1472" s="183" t="s">
        <v>19</v>
      </c>
      <c r="L1472" s="41"/>
      <c r="M1472" s="188" t="s">
        <v>19</v>
      </c>
      <c r="N1472" s="189" t="s">
        <v>43</v>
      </c>
      <c r="O1472" s="66"/>
      <c r="P1472" s="190">
        <f t="shared" si="41"/>
        <v>0</v>
      </c>
      <c r="Q1472" s="190">
        <v>0</v>
      </c>
      <c r="R1472" s="190">
        <f t="shared" si="42"/>
        <v>0</v>
      </c>
      <c r="S1472" s="190">
        <v>0</v>
      </c>
      <c r="T1472" s="191">
        <f t="shared" si="43"/>
        <v>0</v>
      </c>
      <c r="U1472" s="36"/>
      <c r="V1472" s="36"/>
      <c r="W1472" s="36"/>
      <c r="X1472" s="36"/>
      <c r="Y1472" s="36"/>
      <c r="Z1472" s="36"/>
      <c r="AA1472" s="36"/>
      <c r="AB1472" s="36"/>
      <c r="AC1472" s="36"/>
      <c r="AD1472" s="36"/>
      <c r="AE1472" s="36"/>
      <c r="AR1472" s="192" t="s">
        <v>281</v>
      </c>
      <c r="AT1472" s="192" t="s">
        <v>382</v>
      </c>
      <c r="AU1472" s="192" t="s">
        <v>82</v>
      </c>
      <c r="AY1472" s="19" t="s">
        <v>380</v>
      </c>
      <c r="BE1472" s="193">
        <f t="shared" si="44"/>
        <v>0</v>
      </c>
      <c r="BF1472" s="193">
        <f t="shared" si="45"/>
        <v>0</v>
      </c>
      <c r="BG1472" s="193">
        <f t="shared" si="46"/>
        <v>0</v>
      </c>
      <c r="BH1472" s="193">
        <f t="shared" si="47"/>
        <v>0</v>
      </c>
      <c r="BI1472" s="193">
        <f t="shared" si="48"/>
        <v>0</v>
      </c>
      <c r="BJ1472" s="19" t="s">
        <v>79</v>
      </c>
      <c r="BK1472" s="193">
        <f t="shared" si="49"/>
        <v>0</v>
      </c>
      <c r="BL1472" s="19" t="s">
        <v>281</v>
      </c>
      <c r="BM1472" s="192" t="s">
        <v>2130</v>
      </c>
    </row>
    <row r="1473" spans="1:65" s="2" customFormat="1" ht="21.75" customHeight="1">
      <c r="A1473" s="36"/>
      <c r="B1473" s="37"/>
      <c r="C1473" s="181" t="s">
        <v>2131</v>
      </c>
      <c r="D1473" s="181" t="s">
        <v>382</v>
      </c>
      <c r="E1473" s="182" t="s">
        <v>2132</v>
      </c>
      <c r="F1473" s="183" t="s">
        <v>2133</v>
      </c>
      <c r="G1473" s="184" t="s">
        <v>641</v>
      </c>
      <c r="H1473" s="185">
        <v>2</v>
      </c>
      <c r="I1473" s="186"/>
      <c r="J1473" s="187">
        <f t="shared" si="40"/>
        <v>0</v>
      </c>
      <c r="K1473" s="183" t="s">
        <v>19</v>
      </c>
      <c r="L1473" s="41"/>
      <c r="M1473" s="188" t="s">
        <v>19</v>
      </c>
      <c r="N1473" s="189" t="s">
        <v>43</v>
      </c>
      <c r="O1473" s="66"/>
      <c r="P1473" s="190">
        <f t="shared" si="41"/>
        <v>0</v>
      </c>
      <c r="Q1473" s="190">
        <v>0</v>
      </c>
      <c r="R1473" s="190">
        <f t="shared" si="42"/>
        <v>0</v>
      </c>
      <c r="S1473" s="190">
        <v>0</v>
      </c>
      <c r="T1473" s="191">
        <f t="shared" si="43"/>
        <v>0</v>
      </c>
      <c r="U1473" s="36"/>
      <c r="V1473" s="36"/>
      <c r="W1473" s="36"/>
      <c r="X1473" s="36"/>
      <c r="Y1473" s="36"/>
      <c r="Z1473" s="36"/>
      <c r="AA1473" s="36"/>
      <c r="AB1473" s="36"/>
      <c r="AC1473" s="36"/>
      <c r="AD1473" s="36"/>
      <c r="AE1473" s="36"/>
      <c r="AR1473" s="192" t="s">
        <v>281</v>
      </c>
      <c r="AT1473" s="192" t="s">
        <v>382</v>
      </c>
      <c r="AU1473" s="192" t="s">
        <v>82</v>
      </c>
      <c r="AY1473" s="19" t="s">
        <v>380</v>
      </c>
      <c r="BE1473" s="193">
        <f t="shared" si="44"/>
        <v>0</v>
      </c>
      <c r="BF1473" s="193">
        <f t="shared" si="45"/>
        <v>0</v>
      </c>
      <c r="BG1473" s="193">
        <f t="shared" si="46"/>
        <v>0</v>
      </c>
      <c r="BH1473" s="193">
        <f t="shared" si="47"/>
        <v>0</v>
      </c>
      <c r="BI1473" s="193">
        <f t="shared" si="48"/>
        <v>0</v>
      </c>
      <c r="BJ1473" s="19" t="s">
        <v>79</v>
      </c>
      <c r="BK1473" s="193">
        <f t="shared" si="49"/>
        <v>0</v>
      </c>
      <c r="BL1473" s="19" t="s">
        <v>281</v>
      </c>
      <c r="BM1473" s="192" t="s">
        <v>2134</v>
      </c>
    </row>
    <row r="1474" spans="1:65" s="2" customFormat="1" ht="24.2" customHeight="1">
      <c r="A1474" s="36"/>
      <c r="B1474" s="37"/>
      <c r="C1474" s="181" t="s">
        <v>2135</v>
      </c>
      <c r="D1474" s="181" t="s">
        <v>382</v>
      </c>
      <c r="E1474" s="182" t="s">
        <v>2136</v>
      </c>
      <c r="F1474" s="183" t="s">
        <v>2137</v>
      </c>
      <c r="G1474" s="184" t="s">
        <v>641</v>
      </c>
      <c r="H1474" s="185">
        <v>1</v>
      </c>
      <c r="I1474" s="186"/>
      <c r="J1474" s="187">
        <f t="shared" si="40"/>
        <v>0</v>
      </c>
      <c r="K1474" s="183" t="s">
        <v>19</v>
      </c>
      <c r="L1474" s="41"/>
      <c r="M1474" s="188" t="s">
        <v>19</v>
      </c>
      <c r="N1474" s="189" t="s">
        <v>43</v>
      </c>
      <c r="O1474" s="66"/>
      <c r="P1474" s="190">
        <f t="shared" si="41"/>
        <v>0</v>
      </c>
      <c r="Q1474" s="190">
        <v>0</v>
      </c>
      <c r="R1474" s="190">
        <f t="shared" si="42"/>
        <v>0</v>
      </c>
      <c r="S1474" s="190">
        <v>0</v>
      </c>
      <c r="T1474" s="191">
        <f t="shared" si="43"/>
        <v>0</v>
      </c>
      <c r="U1474" s="36"/>
      <c r="V1474" s="36"/>
      <c r="W1474" s="36"/>
      <c r="X1474" s="36"/>
      <c r="Y1474" s="36"/>
      <c r="Z1474" s="36"/>
      <c r="AA1474" s="36"/>
      <c r="AB1474" s="36"/>
      <c r="AC1474" s="36"/>
      <c r="AD1474" s="36"/>
      <c r="AE1474" s="36"/>
      <c r="AR1474" s="192" t="s">
        <v>281</v>
      </c>
      <c r="AT1474" s="192" t="s">
        <v>382</v>
      </c>
      <c r="AU1474" s="192" t="s">
        <v>82</v>
      </c>
      <c r="AY1474" s="19" t="s">
        <v>380</v>
      </c>
      <c r="BE1474" s="193">
        <f t="shared" si="44"/>
        <v>0</v>
      </c>
      <c r="BF1474" s="193">
        <f t="shared" si="45"/>
        <v>0</v>
      </c>
      <c r="BG1474" s="193">
        <f t="shared" si="46"/>
        <v>0</v>
      </c>
      <c r="BH1474" s="193">
        <f t="shared" si="47"/>
        <v>0</v>
      </c>
      <c r="BI1474" s="193">
        <f t="shared" si="48"/>
        <v>0</v>
      </c>
      <c r="BJ1474" s="19" t="s">
        <v>79</v>
      </c>
      <c r="BK1474" s="193">
        <f t="shared" si="49"/>
        <v>0</v>
      </c>
      <c r="BL1474" s="19" t="s">
        <v>281</v>
      </c>
      <c r="BM1474" s="192" t="s">
        <v>2138</v>
      </c>
    </row>
    <row r="1475" spans="1:65" s="2" customFormat="1" ht="24.2" customHeight="1">
      <c r="A1475" s="36"/>
      <c r="B1475" s="37"/>
      <c r="C1475" s="181" t="s">
        <v>2139</v>
      </c>
      <c r="D1475" s="181" t="s">
        <v>382</v>
      </c>
      <c r="E1475" s="182" t="s">
        <v>2140</v>
      </c>
      <c r="F1475" s="183" t="s">
        <v>2141</v>
      </c>
      <c r="G1475" s="184" t="s">
        <v>641</v>
      </c>
      <c r="H1475" s="185">
        <v>6</v>
      </c>
      <c r="I1475" s="186"/>
      <c r="J1475" s="187">
        <f t="shared" si="40"/>
        <v>0</v>
      </c>
      <c r="K1475" s="183" t="s">
        <v>19</v>
      </c>
      <c r="L1475" s="41"/>
      <c r="M1475" s="188" t="s">
        <v>19</v>
      </c>
      <c r="N1475" s="189" t="s">
        <v>43</v>
      </c>
      <c r="O1475" s="66"/>
      <c r="P1475" s="190">
        <f t="shared" si="41"/>
        <v>0</v>
      </c>
      <c r="Q1475" s="190">
        <v>0</v>
      </c>
      <c r="R1475" s="190">
        <f t="shared" si="42"/>
        <v>0</v>
      </c>
      <c r="S1475" s="190">
        <v>0</v>
      </c>
      <c r="T1475" s="191">
        <f t="shared" si="43"/>
        <v>0</v>
      </c>
      <c r="U1475" s="36"/>
      <c r="V1475" s="36"/>
      <c r="W1475" s="36"/>
      <c r="X1475" s="36"/>
      <c r="Y1475" s="36"/>
      <c r="Z1475" s="36"/>
      <c r="AA1475" s="36"/>
      <c r="AB1475" s="36"/>
      <c r="AC1475" s="36"/>
      <c r="AD1475" s="36"/>
      <c r="AE1475" s="36"/>
      <c r="AR1475" s="192" t="s">
        <v>281</v>
      </c>
      <c r="AT1475" s="192" t="s">
        <v>382</v>
      </c>
      <c r="AU1475" s="192" t="s">
        <v>82</v>
      </c>
      <c r="AY1475" s="19" t="s">
        <v>380</v>
      </c>
      <c r="BE1475" s="193">
        <f t="shared" si="44"/>
        <v>0</v>
      </c>
      <c r="BF1475" s="193">
        <f t="shared" si="45"/>
        <v>0</v>
      </c>
      <c r="BG1475" s="193">
        <f t="shared" si="46"/>
        <v>0</v>
      </c>
      <c r="BH1475" s="193">
        <f t="shared" si="47"/>
        <v>0</v>
      </c>
      <c r="BI1475" s="193">
        <f t="shared" si="48"/>
        <v>0</v>
      </c>
      <c r="BJ1475" s="19" t="s">
        <v>79</v>
      </c>
      <c r="BK1475" s="193">
        <f t="shared" si="49"/>
        <v>0</v>
      </c>
      <c r="BL1475" s="19" t="s">
        <v>281</v>
      </c>
      <c r="BM1475" s="192" t="s">
        <v>2142</v>
      </c>
    </row>
    <row r="1476" spans="1:65" s="2" customFormat="1" ht="24.2" customHeight="1">
      <c r="A1476" s="36"/>
      <c r="B1476" s="37"/>
      <c r="C1476" s="181" t="s">
        <v>2143</v>
      </c>
      <c r="D1476" s="181" t="s">
        <v>382</v>
      </c>
      <c r="E1476" s="182" t="s">
        <v>2144</v>
      </c>
      <c r="F1476" s="183" t="s">
        <v>2145</v>
      </c>
      <c r="G1476" s="184" t="s">
        <v>641</v>
      </c>
      <c r="H1476" s="185">
        <v>6</v>
      </c>
      <c r="I1476" s="186"/>
      <c r="J1476" s="187">
        <f t="shared" si="40"/>
        <v>0</v>
      </c>
      <c r="K1476" s="183" t="s">
        <v>19</v>
      </c>
      <c r="L1476" s="41"/>
      <c r="M1476" s="188" t="s">
        <v>19</v>
      </c>
      <c r="N1476" s="189" t="s">
        <v>43</v>
      </c>
      <c r="O1476" s="66"/>
      <c r="P1476" s="190">
        <f t="shared" si="41"/>
        <v>0</v>
      </c>
      <c r="Q1476" s="190">
        <v>0</v>
      </c>
      <c r="R1476" s="190">
        <f t="shared" si="42"/>
        <v>0</v>
      </c>
      <c r="S1476" s="190">
        <v>0</v>
      </c>
      <c r="T1476" s="191">
        <f t="shared" si="43"/>
        <v>0</v>
      </c>
      <c r="U1476" s="36"/>
      <c r="V1476" s="36"/>
      <c r="W1476" s="36"/>
      <c r="X1476" s="36"/>
      <c r="Y1476" s="36"/>
      <c r="Z1476" s="36"/>
      <c r="AA1476" s="36"/>
      <c r="AB1476" s="36"/>
      <c r="AC1476" s="36"/>
      <c r="AD1476" s="36"/>
      <c r="AE1476" s="36"/>
      <c r="AR1476" s="192" t="s">
        <v>281</v>
      </c>
      <c r="AT1476" s="192" t="s">
        <v>382</v>
      </c>
      <c r="AU1476" s="192" t="s">
        <v>82</v>
      </c>
      <c r="AY1476" s="19" t="s">
        <v>380</v>
      </c>
      <c r="BE1476" s="193">
        <f t="shared" si="44"/>
        <v>0</v>
      </c>
      <c r="BF1476" s="193">
        <f t="shared" si="45"/>
        <v>0</v>
      </c>
      <c r="BG1476" s="193">
        <f t="shared" si="46"/>
        <v>0</v>
      </c>
      <c r="BH1476" s="193">
        <f t="shared" si="47"/>
        <v>0</v>
      </c>
      <c r="BI1476" s="193">
        <f t="shared" si="48"/>
        <v>0</v>
      </c>
      <c r="BJ1476" s="19" t="s">
        <v>79</v>
      </c>
      <c r="BK1476" s="193">
        <f t="shared" si="49"/>
        <v>0</v>
      </c>
      <c r="BL1476" s="19" t="s">
        <v>281</v>
      </c>
      <c r="BM1476" s="192" t="s">
        <v>2146</v>
      </c>
    </row>
    <row r="1477" spans="1:65" s="2" customFormat="1" ht="33" customHeight="1">
      <c r="A1477" s="36"/>
      <c r="B1477" s="37"/>
      <c r="C1477" s="181" t="s">
        <v>2147</v>
      </c>
      <c r="D1477" s="181" t="s">
        <v>382</v>
      </c>
      <c r="E1477" s="182" t="s">
        <v>2148</v>
      </c>
      <c r="F1477" s="183" t="s">
        <v>2149</v>
      </c>
      <c r="G1477" s="184" t="s">
        <v>641</v>
      </c>
      <c r="H1477" s="185">
        <v>2</v>
      </c>
      <c r="I1477" s="186"/>
      <c r="J1477" s="187">
        <f t="shared" si="40"/>
        <v>0</v>
      </c>
      <c r="K1477" s="183" t="s">
        <v>19</v>
      </c>
      <c r="L1477" s="41"/>
      <c r="M1477" s="188" t="s">
        <v>19</v>
      </c>
      <c r="N1477" s="189" t="s">
        <v>43</v>
      </c>
      <c r="O1477" s="66"/>
      <c r="P1477" s="190">
        <f t="shared" si="41"/>
        <v>0</v>
      </c>
      <c r="Q1477" s="190">
        <v>0</v>
      </c>
      <c r="R1477" s="190">
        <f t="shared" si="42"/>
        <v>0</v>
      </c>
      <c r="S1477" s="190">
        <v>0</v>
      </c>
      <c r="T1477" s="191">
        <f t="shared" si="43"/>
        <v>0</v>
      </c>
      <c r="U1477" s="36"/>
      <c r="V1477" s="36"/>
      <c r="W1477" s="36"/>
      <c r="X1477" s="36"/>
      <c r="Y1477" s="36"/>
      <c r="Z1477" s="36"/>
      <c r="AA1477" s="36"/>
      <c r="AB1477" s="36"/>
      <c r="AC1477" s="36"/>
      <c r="AD1477" s="36"/>
      <c r="AE1477" s="36"/>
      <c r="AR1477" s="192" t="s">
        <v>281</v>
      </c>
      <c r="AT1477" s="192" t="s">
        <v>382</v>
      </c>
      <c r="AU1477" s="192" t="s">
        <v>82</v>
      </c>
      <c r="AY1477" s="19" t="s">
        <v>380</v>
      </c>
      <c r="BE1477" s="193">
        <f t="shared" si="44"/>
        <v>0</v>
      </c>
      <c r="BF1477" s="193">
        <f t="shared" si="45"/>
        <v>0</v>
      </c>
      <c r="BG1477" s="193">
        <f t="shared" si="46"/>
        <v>0</v>
      </c>
      <c r="BH1477" s="193">
        <f t="shared" si="47"/>
        <v>0</v>
      </c>
      <c r="BI1477" s="193">
        <f t="shared" si="48"/>
        <v>0</v>
      </c>
      <c r="BJ1477" s="19" t="s">
        <v>79</v>
      </c>
      <c r="BK1477" s="193">
        <f t="shared" si="49"/>
        <v>0</v>
      </c>
      <c r="BL1477" s="19" t="s">
        <v>281</v>
      </c>
      <c r="BM1477" s="192" t="s">
        <v>2150</v>
      </c>
    </row>
    <row r="1478" spans="1:65" s="2" customFormat="1" ht="44.25" customHeight="1">
      <c r="A1478" s="36"/>
      <c r="B1478" s="37"/>
      <c r="C1478" s="181" t="s">
        <v>2151</v>
      </c>
      <c r="D1478" s="181" t="s">
        <v>382</v>
      </c>
      <c r="E1478" s="182" t="s">
        <v>2152</v>
      </c>
      <c r="F1478" s="183" t="s">
        <v>2153</v>
      </c>
      <c r="G1478" s="184" t="s">
        <v>641</v>
      </c>
      <c r="H1478" s="185">
        <v>2</v>
      </c>
      <c r="I1478" s="186"/>
      <c r="J1478" s="187">
        <f t="shared" si="40"/>
        <v>0</v>
      </c>
      <c r="K1478" s="183" t="s">
        <v>19</v>
      </c>
      <c r="L1478" s="41"/>
      <c r="M1478" s="188" t="s">
        <v>19</v>
      </c>
      <c r="N1478" s="189" t="s">
        <v>43</v>
      </c>
      <c r="O1478" s="66"/>
      <c r="P1478" s="190">
        <f t="shared" si="41"/>
        <v>0</v>
      </c>
      <c r="Q1478" s="190">
        <v>0</v>
      </c>
      <c r="R1478" s="190">
        <f t="shared" si="42"/>
        <v>0</v>
      </c>
      <c r="S1478" s="190">
        <v>0</v>
      </c>
      <c r="T1478" s="191">
        <f t="shared" si="43"/>
        <v>0</v>
      </c>
      <c r="U1478" s="36"/>
      <c r="V1478" s="36"/>
      <c r="W1478" s="36"/>
      <c r="X1478" s="36"/>
      <c r="Y1478" s="36"/>
      <c r="Z1478" s="36"/>
      <c r="AA1478" s="36"/>
      <c r="AB1478" s="36"/>
      <c r="AC1478" s="36"/>
      <c r="AD1478" s="36"/>
      <c r="AE1478" s="36"/>
      <c r="AR1478" s="192" t="s">
        <v>281</v>
      </c>
      <c r="AT1478" s="192" t="s">
        <v>382</v>
      </c>
      <c r="AU1478" s="192" t="s">
        <v>82</v>
      </c>
      <c r="AY1478" s="19" t="s">
        <v>380</v>
      </c>
      <c r="BE1478" s="193">
        <f t="shared" si="44"/>
        <v>0</v>
      </c>
      <c r="BF1478" s="193">
        <f t="shared" si="45"/>
        <v>0</v>
      </c>
      <c r="BG1478" s="193">
        <f t="shared" si="46"/>
        <v>0</v>
      </c>
      <c r="BH1478" s="193">
        <f t="shared" si="47"/>
        <v>0</v>
      </c>
      <c r="BI1478" s="193">
        <f t="shared" si="48"/>
        <v>0</v>
      </c>
      <c r="BJ1478" s="19" t="s">
        <v>79</v>
      </c>
      <c r="BK1478" s="193">
        <f t="shared" si="49"/>
        <v>0</v>
      </c>
      <c r="BL1478" s="19" t="s">
        <v>281</v>
      </c>
      <c r="BM1478" s="192" t="s">
        <v>2154</v>
      </c>
    </row>
    <row r="1479" spans="1:65" s="2" customFormat="1" ht="21.75" customHeight="1">
      <c r="A1479" s="36"/>
      <c r="B1479" s="37"/>
      <c r="C1479" s="181" t="s">
        <v>2155</v>
      </c>
      <c r="D1479" s="181" t="s">
        <v>382</v>
      </c>
      <c r="E1479" s="182" t="s">
        <v>2156</v>
      </c>
      <c r="F1479" s="183" t="s">
        <v>2157</v>
      </c>
      <c r="G1479" s="184" t="s">
        <v>641</v>
      </c>
      <c r="H1479" s="185">
        <v>4</v>
      </c>
      <c r="I1479" s="186"/>
      <c r="J1479" s="187">
        <f t="shared" si="40"/>
        <v>0</v>
      </c>
      <c r="K1479" s="183" t="s">
        <v>19</v>
      </c>
      <c r="L1479" s="41"/>
      <c r="M1479" s="188" t="s">
        <v>19</v>
      </c>
      <c r="N1479" s="189" t="s">
        <v>43</v>
      </c>
      <c r="O1479" s="66"/>
      <c r="P1479" s="190">
        <f t="shared" si="41"/>
        <v>0</v>
      </c>
      <c r="Q1479" s="190">
        <v>0</v>
      </c>
      <c r="R1479" s="190">
        <f t="shared" si="42"/>
        <v>0</v>
      </c>
      <c r="S1479" s="190">
        <v>0</v>
      </c>
      <c r="T1479" s="191">
        <f t="shared" si="43"/>
        <v>0</v>
      </c>
      <c r="U1479" s="36"/>
      <c r="V1479" s="36"/>
      <c r="W1479" s="36"/>
      <c r="X1479" s="36"/>
      <c r="Y1479" s="36"/>
      <c r="Z1479" s="36"/>
      <c r="AA1479" s="36"/>
      <c r="AB1479" s="36"/>
      <c r="AC1479" s="36"/>
      <c r="AD1479" s="36"/>
      <c r="AE1479" s="36"/>
      <c r="AR1479" s="192" t="s">
        <v>281</v>
      </c>
      <c r="AT1479" s="192" t="s">
        <v>382</v>
      </c>
      <c r="AU1479" s="192" t="s">
        <v>82</v>
      </c>
      <c r="AY1479" s="19" t="s">
        <v>380</v>
      </c>
      <c r="BE1479" s="193">
        <f t="shared" si="44"/>
        <v>0</v>
      </c>
      <c r="BF1479" s="193">
        <f t="shared" si="45"/>
        <v>0</v>
      </c>
      <c r="BG1479" s="193">
        <f t="shared" si="46"/>
        <v>0</v>
      </c>
      <c r="BH1479" s="193">
        <f t="shared" si="47"/>
        <v>0</v>
      </c>
      <c r="BI1479" s="193">
        <f t="shared" si="48"/>
        <v>0</v>
      </c>
      <c r="BJ1479" s="19" t="s">
        <v>79</v>
      </c>
      <c r="BK1479" s="193">
        <f t="shared" si="49"/>
        <v>0</v>
      </c>
      <c r="BL1479" s="19" t="s">
        <v>281</v>
      </c>
      <c r="BM1479" s="192" t="s">
        <v>2158</v>
      </c>
    </row>
    <row r="1480" spans="1:65" s="2" customFormat="1" ht="24.2" customHeight="1">
      <c r="A1480" s="36"/>
      <c r="B1480" s="37"/>
      <c r="C1480" s="181" t="s">
        <v>2159</v>
      </c>
      <c r="D1480" s="181" t="s">
        <v>382</v>
      </c>
      <c r="E1480" s="182" t="s">
        <v>2160</v>
      </c>
      <c r="F1480" s="183" t="s">
        <v>2161</v>
      </c>
      <c r="G1480" s="184" t="s">
        <v>641</v>
      </c>
      <c r="H1480" s="185">
        <v>7</v>
      </c>
      <c r="I1480" s="186"/>
      <c r="J1480" s="187">
        <f t="shared" si="40"/>
        <v>0</v>
      </c>
      <c r="K1480" s="183" t="s">
        <v>19</v>
      </c>
      <c r="L1480" s="41"/>
      <c r="M1480" s="188" t="s">
        <v>19</v>
      </c>
      <c r="N1480" s="189" t="s">
        <v>43</v>
      </c>
      <c r="O1480" s="66"/>
      <c r="P1480" s="190">
        <f t="shared" si="41"/>
        <v>0</v>
      </c>
      <c r="Q1480" s="190">
        <v>0</v>
      </c>
      <c r="R1480" s="190">
        <f t="shared" si="42"/>
        <v>0</v>
      </c>
      <c r="S1480" s="190">
        <v>0</v>
      </c>
      <c r="T1480" s="191">
        <f t="shared" si="43"/>
        <v>0</v>
      </c>
      <c r="U1480" s="36"/>
      <c r="V1480" s="36"/>
      <c r="W1480" s="36"/>
      <c r="X1480" s="36"/>
      <c r="Y1480" s="36"/>
      <c r="Z1480" s="36"/>
      <c r="AA1480" s="36"/>
      <c r="AB1480" s="36"/>
      <c r="AC1480" s="36"/>
      <c r="AD1480" s="36"/>
      <c r="AE1480" s="36"/>
      <c r="AR1480" s="192" t="s">
        <v>281</v>
      </c>
      <c r="AT1480" s="192" t="s">
        <v>382</v>
      </c>
      <c r="AU1480" s="192" t="s">
        <v>82</v>
      </c>
      <c r="AY1480" s="19" t="s">
        <v>380</v>
      </c>
      <c r="BE1480" s="193">
        <f t="shared" si="44"/>
        <v>0</v>
      </c>
      <c r="BF1480" s="193">
        <f t="shared" si="45"/>
        <v>0</v>
      </c>
      <c r="BG1480" s="193">
        <f t="shared" si="46"/>
        <v>0</v>
      </c>
      <c r="BH1480" s="193">
        <f t="shared" si="47"/>
        <v>0</v>
      </c>
      <c r="BI1480" s="193">
        <f t="shared" si="48"/>
        <v>0</v>
      </c>
      <c r="BJ1480" s="19" t="s">
        <v>79</v>
      </c>
      <c r="BK1480" s="193">
        <f t="shared" si="49"/>
        <v>0</v>
      </c>
      <c r="BL1480" s="19" t="s">
        <v>281</v>
      </c>
      <c r="BM1480" s="192" t="s">
        <v>2162</v>
      </c>
    </row>
    <row r="1481" spans="1:65" s="2" customFormat="1" ht="21.75" customHeight="1">
      <c r="A1481" s="36"/>
      <c r="B1481" s="37"/>
      <c r="C1481" s="181" t="s">
        <v>2163</v>
      </c>
      <c r="D1481" s="181" t="s">
        <v>382</v>
      </c>
      <c r="E1481" s="182" t="s">
        <v>2164</v>
      </c>
      <c r="F1481" s="183" t="s">
        <v>2165</v>
      </c>
      <c r="G1481" s="184" t="s">
        <v>641</v>
      </c>
      <c r="H1481" s="185">
        <v>1</v>
      </c>
      <c r="I1481" s="186"/>
      <c r="J1481" s="187">
        <f t="shared" si="40"/>
        <v>0</v>
      </c>
      <c r="K1481" s="183" t="s">
        <v>19</v>
      </c>
      <c r="L1481" s="41"/>
      <c r="M1481" s="188" t="s">
        <v>19</v>
      </c>
      <c r="N1481" s="189" t="s">
        <v>43</v>
      </c>
      <c r="O1481" s="66"/>
      <c r="P1481" s="190">
        <f t="shared" si="41"/>
        <v>0</v>
      </c>
      <c r="Q1481" s="190">
        <v>0</v>
      </c>
      <c r="R1481" s="190">
        <f t="shared" si="42"/>
        <v>0</v>
      </c>
      <c r="S1481" s="190">
        <v>0</v>
      </c>
      <c r="T1481" s="191">
        <f t="shared" si="43"/>
        <v>0</v>
      </c>
      <c r="U1481" s="36"/>
      <c r="V1481" s="36"/>
      <c r="W1481" s="36"/>
      <c r="X1481" s="36"/>
      <c r="Y1481" s="36"/>
      <c r="Z1481" s="36"/>
      <c r="AA1481" s="36"/>
      <c r="AB1481" s="36"/>
      <c r="AC1481" s="36"/>
      <c r="AD1481" s="36"/>
      <c r="AE1481" s="36"/>
      <c r="AR1481" s="192" t="s">
        <v>281</v>
      </c>
      <c r="AT1481" s="192" t="s">
        <v>382</v>
      </c>
      <c r="AU1481" s="192" t="s">
        <v>82</v>
      </c>
      <c r="AY1481" s="19" t="s">
        <v>380</v>
      </c>
      <c r="BE1481" s="193">
        <f t="shared" si="44"/>
        <v>0</v>
      </c>
      <c r="BF1481" s="193">
        <f t="shared" si="45"/>
        <v>0</v>
      </c>
      <c r="BG1481" s="193">
        <f t="shared" si="46"/>
        <v>0</v>
      </c>
      <c r="BH1481" s="193">
        <f t="shared" si="47"/>
        <v>0</v>
      </c>
      <c r="BI1481" s="193">
        <f t="shared" si="48"/>
        <v>0</v>
      </c>
      <c r="BJ1481" s="19" t="s">
        <v>79</v>
      </c>
      <c r="BK1481" s="193">
        <f t="shared" si="49"/>
        <v>0</v>
      </c>
      <c r="BL1481" s="19" t="s">
        <v>281</v>
      </c>
      <c r="BM1481" s="192" t="s">
        <v>2166</v>
      </c>
    </row>
    <row r="1482" spans="1:65" s="2" customFormat="1" ht="24.2" customHeight="1">
      <c r="A1482" s="36"/>
      <c r="B1482" s="37"/>
      <c r="C1482" s="181" t="s">
        <v>196</v>
      </c>
      <c r="D1482" s="181" t="s">
        <v>382</v>
      </c>
      <c r="E1482" s="182" t="s">
        <v>2167</v>
      </c>
      <c r="F1482" s="183" t="s">
        <v>2168</v>
      </c>
      <c r="G1482" s="184" t="s">
        <v>641</v>
      </c>
      <c r="H1482" s="185">
        <v>8</v>
      </c>
      <c r="I1482" s="186"/>
      <c r="J1482" s="187">
        <f t="shared" si="40"/>
        <v>0</v>
      </c>
      <c r="K1482" s="183" t="s">
        <v>19</v>
      </c>
      <c r="L1482" s="41"/>
      <c r="M1482" s="188" t="s">
        <v>19</v>
      </c>
      <c r="N1482" s="189" t="s">
        <v>43</v>
      </c>
      <c r="O1482" s="66"/>
      <c r="P1482" s="190">
        <f t="shared" si="41"/>
        <v>0</v>
      </c>
      <c r="Q1482" s="190">
        <v>0</v>
      </c>
      <c r="R1482" s="190">
        <f t="shared" si="42"/>
        <v>0</v>
      </c>
      <c r="S1482" s="190">
        <v>0</v>
      </c>
      <c r="T1482" s="191">
        <f t="shared" si="43"/>
        <v>0</v>
      </c>
      <c r="U1482" s="36"/>
      <c r="V1482" s="36"/>
      <c r="W1482" s="36"/>
      <c r="X1482" s="36"/>
      <c r="Y1482" s="36"/>
      <c r="Z1482" s="36"/>
      <c r="AA1482" s="36"/>
      <c r="AB1482" s="36"/>
      <c r="AC1482" s="36"/>
      <c r="AD1482" s="36"/>
      <c r="AE1482" s="36"/>
      <c r="AR1482" s="192" t="s">
        <v>281</v>
      </c>
      <c r="AT1482" s="192" t="s">
        <v>382</v>
      </c>
      <c r="AU1482" s="192" t="s">
        <v>82</v>
      </c>
      <c r="AY1482" s="19" t="s">
        <v>380</v>
      </c>
      <c r="BE1482" s="193">
        <f t="shared" si="44"/>
        <v>0</v>
      </c>
      <c r="BF1482" s="193">
        <f t="shared" si="45"/>
        <v>0</v>
      </c>
      <c r="BG1482" s="193">
        <f t="shared" si="46"/>
        <v>0</v>
      </c>
      <c r="BH1482" s="193">
        <f t="shared" si="47"/>
        <v>0</v>
      </c>
      <c r="BI1482" s="193">
        <f t="shared" si="48"/>
        <v>0</v>
      </c>
      <c r="BJ1482" s="19" t="s">
        <v>79</v>
      </c>
      <c r="BK1482" s="193">
        <f t="shared" si="49"/>
        <v>0</v>
      </c>
      <c r="BL1482" s="19" t="s">
        <v>281</v>
      </c>
      <c r="BM1482" s="192" t="s">
        <v>2169</v>
      </c>
    </row>
    <row r="1483" spans="1:65" s="2" customFormat="1" ht="37.9" customHeight="1">
      <c r="A1483" s="36"/>
      <c r="B1483" s="37"/>
      <c r="C1483" s="181" t="s">
        <v>199</v>
      </c>
      <c r="D1483" s="181" t="s">
        <v>382</v>
      </c>
      <c r="E1483" s="182" t="s">
        <v>2170</v>
      </c>
      <c r="F1483" s="183" t="s">
        <v>2171</v>
      </c>
      <c r="G1483" s="184" t="s">
        <v>641</v>
      </c>
      <c r="H1483" s="185">
        <v>1</v>
      </c>
      <c r="I1483" s="186"/>
      <c r="J1483" s="187">
        <f t="shared" si="40"/>
        <v>0</v>
      </c>
      <c r="K1483" s="183" t="s">
        <v>19</v>
      </c>
      <c r="L1483" s="41"/>
      <c r="M1483" s="188" t="s">
        <v>19</v>
      </c>
      <c r="N1483" s="189" t="s">
        <v>43</v>
      </c>
      <c r="O1483" s="66"/>
      <c r="P1483" s="190">
        <f t="shared" si="41"/>
        <v>0</v>
      </c>
      <c r="Q1483" s="190">
        <v>0</v>
      </c>
      <c r="R1483" s="190">
        <f t="shared" si="42"/>
        <v>0</v>
      </c>
      <c r="S1483" s="190">
        <v>0</v>
      </c>
      <c r="T1483" s="191">
        <f t="shared" si="43"/>
        <v>0</v>
      </c>
      <c r="U1483" s="36"/>
      <c r="V1483" s="36"/>
      <c r="W1483" s="36"/>
      <c r="X1483" s="36"/>
      <c r="Y1483" s="36"/>
      <c r="Z1483" s="36"/>
      <c r="AA1483" s="36"/>
      <c r="AB1483" s="36"/>
      <c r="AC1483" s="36"/>
      <c r="AD1483" s="36"/>
      <c r="AE1483" s="36"/>
      <c r="AR1483" s="192" t="s">
        <v>281</v>
      </c>
      <c r="AT1483" s="192" t="s">
        <v>382</v>
      </c>
      <c r="AU1483" s="192" t="s">
        <v>82</v>
      </c>
      <c r="AY1483" s="19" t="s">
        <v>380</v>
      </c>
      <c r="BE1483" s="193">
        <f t="shared" si="44"/>
        <v>0</v>
      </c>
      <c r="BF1483" s="193">
        <f t="shared" si="45"/>
        <v>0</v>
      </c>
      <c r="BG1483" s="193">
        <f t="shared" si="46"/>
        <v>0</v>
      </c>
      <c r="BH1483" s="193">
        <f t="shared" si="47"/>
        <v>0</v>
      </c>
      <c r="BI1483" s="193">
        <f t="shared" si="48"/>
        <v>0</v>
      </c>
      <c r="BJ1483" s="19" t="s">
        <v>79</v>
      </c>
      <c r="BK1483" s="193">
        <f t="shared" si="49"/>
        <v>0</v>
      </c>
      <c r="BL1483" s="19" t="s">
        <v>281</v>
      </c>
      <c r="BM1483" s="192" t="s">
        <v>2172</v>
      </c>
    </row>
    <row r="1484" spans="1:65" s="2" customFormat="1" ht="16.5" customHeight="1">
      <c r="A1484" s="36"/>
      <c r="B1484" s="37"/>
      <c r="C1484" s="181" t="s">
        <v>2173</v>
      </c>
      <c r="D1484" s="181" t="s">
        <v>382</v>
      </c>
      <c r="E1484" s="182" t="s">
        <v>2174</v>
      </c>
      <c r="F1484" s="183" t="s">
        <v>2175</v>
      </c>
      <c r="G1484" s="184" t="s">
        <v>641</v>
      </c>
      <c r="H1484" s="185">
        <v>1</v>
      </c>
      <c r="I1484" s="186"/>
      <c r="J1484" s="187">
        <f t="shared" si="40"/>
        <v>0</v>
      </c>
      <c r="K1484" s="183" t="s">
        <v>19</v>
      </c>
      <c r="L1484" s="41"/>
      <c r="M1484" s="188" t="s">
        <v>19</v>
      </c>
      <c r="N1484" s="189" t="s">
        <v>43</v>
      </c>
      <c r="O1484" s="66"/>
      <c r="P1484" s="190">
        <f t="shared" si="41"/>
        <v>0</v>
      </c>
      <c r="Q1484" s="190">
        <v>0</v>
      </c>
      <c r="R1484" s="190">
        <f t="shared" si="42"/>
        <v>0</v>
      </c>
      <c r="S1484" s="190">
        <v>0</v>
      </c>
      <c r="T1484" s="191">
        <f t="shared" si="43"/>
        <v>0</v>
      </c>
      <c r="U1484" s="36"/>
      <c r="V1484" s="36"/>
      <c r="W1484" s="36"/>
      <c r="X1484" s="36"/>
      <c r="Y1484" s="36"/>
      <c r="Z1484" s="36"/>
      <c r="AA1484" s="36"/>
      <c r="AB1484" s="36"/>
      <c r="AC1484" s="36"/>
      <c r="AD1484" s="36"/>
      <c r="AE1484" s="36"/>
      <c r="AR1484" s="192" t="s">
        <v>281</v>
      </c>
      <c r="AT1484" s="192" t="s">
        <v>382</v>
      </c>
      <c r="AU1484" s="192" t="s">
        <v>82</v>
      </c>
      <c r="AY1484" s="19" t="s">
        <v>380</v>
      </c>
      <c r="BE1484" s="193">
        <f t="shared" si="44"/>
        <v>0</v>
      </c>
      <c r="BF1484" s="193">
        <f t="shared" si="45"/>
        <v>0</v>
      </c>
      <c r="BG1484" s="193">
        <f t="shared" si="46"/>
        <v>0</v>
      </c>
      <c r="BH1484" s="193">
        <f t="shared" si="47"/>
        <v>0</v>
      </c>
      <c r="BI1484" s="193">
        <f t="shared" si="48"/>
        <v>0</v>
      </c>
      <c r="BJ1484" s="19" t="s">
        <v>79</v>
      </c>
      <c r="BK1484" s="193">
        <f t="shared" si="49"/>
        <v>0</v>
      </c>
      <c r="BL1484" s="19" t="s">
        <v>281</v>
      </c>
      <c r="BM1484" s="192" t="s">
        <v>2176</v>
      </c>
    </row>
    <row r="1485" spans="1:65" s="2" customFormat="1" ht="16.5" customHeight="1">
      <c r="A1485" s="36"/>
      <c r="B1485" s="37"/>
      <c r="C1485" s="181" t="s">
        <v>202</v>
      </c>
      <c r="D1485" s="181" t="s">
        <v>382</v>
      </c>
      <c r="E1485" s="182" t="s">
        <v>2177</v>
      </c>
      <c r="F1485" s="183" t="s">
        <v>2178</v>
      </c>
      <c r="G1485" s="184" t="s">
        <v>641</v>
      </c>
      <c r="H1485" s="185">
        <v>4</v>
      </c>
      <c r="I1485" s="186"/>
      <c r="J1485" s="187">
        <f t="shared" si="40"/>
        <v>0</v>
      </c>
      <c r="K1485" s="183" t="s">
        <v>19</v>
      </c>
      <c r="L1485" s="41"/>
      <c r="M1485" s="188" t="s">
        <v>19</v>
      </c>
      <c r="N1485" s="189" t="s">
        <v>43</v>
      </c>
      <c r="O1485" s="66"/>
      <c r="P1485" s="190">
        <f t="shared" si="41"/>
        <v>0</v>
      </c>
      <c r="Q1485" s="190">
        <v>0</v>
      </c>
      <c r="R1485" s="190">
        <f t="shared" si="42"/>
        <v>0</v>
      </c>
      <c r="S1485" s="190">
        <v>0</v>
      </c>
      <c r="T1485" s="191">
        <f t="shared" si="43"/>
        <v>0</v>
      </c>
      <c r="U1485" s="36"/>
      <c r="V1485" s="36"/>
      <c r="W1485" s="36"/>
      <c r="X1485" s="36"/>
      <c r="Y1485" s="36"/>
      <c r="Z1485" s="36"/>
      <c r="AA1485" s="36"/>
      <c r="AB1485" s="36"/>
      <c r="AC1485" s="36"/>
      <c r="AD1485" s="36"/>
      <c r="AE1485" s="36"/>
      <c r="AR1485" s="192" t="s">
        <v>281</v>
      </c>
      <c r="AT1485" s="192" t="s">
        <v>382</v>
      </c>
      <c r="AU1485" s="192" t="s">
        <v>82</v>
      </c>
      <c r="AY1485" s="19" t="s">
        <v>380</v>
      </c>
      <c r="BE1485" s="193">
        <f t="shared" si="44"/>
        <v>0</v>
      </c>
      <c r="BF1485" s="193">
        <f t="shared" si="45"/>
        <v>0</v>
      </c>
      <c r="BG1485" s="193">
        <f t="shared" si="46"/>
        <v>0</v>
      </c>
      <c r="BH1485" s="193">
        <f t="shared" si="47"/>
        <v>0</v>
      </c>
      <c r="BI1485" s="193">
        <f t="shared" si="48"/>
        <v>0</v>
      </c>
      <c r="BJ1485" s="19" t="s">
        <v>79</v>
      </c>
      <c r="BK1485" s="193">
        <f t="shared" si="49"/>
        <v>0</v>
      </c>
      <c r="BL1485" s="19" t="s">
        <v>281</v>
      </c>
      <c r="BM1485" s="192" t="s">
        <v>2179</v>
      </c>
    </row>
    <row r="1486" spans="1:65" s="2" customFormat="1" ht="16.5" customHeight="1">
      <c r="A1486" s="36"/>
      <c r="B1486" s="37"/>
      <c r="C1486" s="181" t="s">
        <v>2180</v>
      </c>
      <c r="D1486" s="181" t="s">
        <v>382</v>
      </c>
      <c r="E1486" s="182" t="s">
        <v>2181</v>
      </c>
      <c r="F1486" s="183" t="s">
        <v>2182</v>
      </c>
      <c r="G1486" s="184" t="s">
        <v>641</v>
      </c>
      <c r="H1486" s="185">
        <v>1</v>
      </c>
      <c r="I1486" s="186"/>
      <c r="J1486" s="187">
        <f t="shared" si="40"/>
        <v>0</v>
      </c>
      <c r="K1486" s="183" t="s">
        <v>19</v>
      </c>
      <c r="L1486" s="41"/>
      <c r="M1486" s="188" t="s">
        <v>19</v>
      </c>
      <c r="N1486" s="189" t="s">
        <v>43</v>
      </c>
      <c r="O1486" s="66"/>
      <c r="P1486" s="190">
        <f t="shared" si="41"/>
        <v>0</v>
      </c>
      <c r="Q1486" s="190">
        <v>0</v>
      </c>
      <c r="R1486" s="190">
        <f t="shared" si="42"/>
        <v>0</v>
      </c>
      <c r="S1486" s="190">
        <v>0</v>
      </c>
      <c r="T1486" s="191">
        <f t="shared" si="43"/>
        <v>0</v>
      </c>
      <c r="U1486" s="36"/>
      <c r="V1486" s="36"/>
      <c r="W1486" s="36"/>
      <c r="X1486" s="36"/>
      <c r="Y1486" s="36"/>
      <c r="Z1486" s="36"/>
      <c r="AA1486" s="36"/>
      <c r="AB1486" s="36"/>
      <c r="AC1486" s="36"/>
      <c r="AD1486" s="36"/>
      <c r="AE1486" s="36"/>
      <c r="AR1486" s="192" t="s">
        <v>281</v>
      </c>
      <c r="AT1486" s="192" t="s">
        <v>382</v>
      </c>
      <c r="AU1486" s="192" t="s">
        <v>82</v>
      </c>
      <c r="AY1486" s="19" t="s">
        <v>380</v>
      </c>
      <c r="BE1486" s="193">
        <f t="shared" si="44"/>
        <v>0</v>
      </c>
      <c r="BF1486" s="193">
        <f t="shared" si="45"/>
        <v>0</v>
      </c>
      <c r="BG1486" s="193">
        <f t="shared" si="46"/>
        <v>0</v>
      </c>
      <c r="BH1486" s="193">
        <f t="shared" si="47"/>
        <v>0</v>
      </c>
      <c r="BI1486" s="193">
        <f t="shared" si="48"/>
        <v>0</v>
      </c>
      <c r="BJ1486" s="19" t="s">
        <v>79</v>
      </c>
      <c r="BK1486" s="193">
        <f t="shared" si="49"/>
        <v>0</v>
      </c>
      <c r="BL1486" s="19" t="s">
        <v>281</v>
      </c>
      <c r="BM1486" s="192" t="s">
        <v>2183</v>
      </c>
    </row>
    <row r="1487" spans="1:65" s="2" customFormat="1" ht="16.5" customHeight="1">
      <c r="A1487" s="36"/>
      <c r="B1487" s="37"/>
      <c r="C1487" s="181" t="s">
        <v>2184</v>
      </c>
      <c r="D1487" s="181" t="s">
        <v>382</v>
      </c>
      <c r="E1487" s="182" t="s">
        <v>2185</v>
      </c>
      <c r="F1487" s="183" t="s">
        <v>2186</v>
      </c>
      <c r="G1487" s="184" t="s">
        <v>641</v>
      </c>
      <c r="H1487" s="185">
        <v>13</v>
      </c>
      <c r="I1487" s="186"/>
      <c r="J1487" s="187">
        <f t="shared" si="40"/>
        <v>0</v>
      </c>
      <c r="K1487" s="183" t="s">
        <v>19</v>
      </c>
      <c r="L1487" s="41"/>
      <c r="M1487" s="188" t="s">
        <v>19</v>
      </c>
      <c r="N1487" s="189" t="s">
        <v>43</v>
      </c>
      <c r="O1487" s="66"/>
      <c r="P1487" s="190">
        <f t="shared" si="41"/>
        <v>0</v>
      </c>
      <c r="Q1487" s="190">
        <v>0</v>
      </c>
      <c r="R1487" s="190">
        <f t="shared" si="42"/>
        <v>0</v>
      </c>
      <c r="S1487" s="190">
        <v>0</v>
      </c>
      <c r="T1487" s="191">
        <f t="shared" si="43"/>
        <v>0</v>
      </c>
      <c r="U1487" s="36"/>
      <c r="V1487" s="36"/>
      <c r="W1487" s="36"/>
      <c r="X1487" s="36"/>
      <c r="Y1487" s="36"/>
      <c r="Z1487" s="36"/>
      <c r="AA1487" s="36"/>
      <c r="AB1487" s="36"/>
      <c r="AC1487" s="36"/>
      <c r="AD1487" s="36"/>
      <c r="AE1487" s="36"/>
      <c r="AR1487" s="192" t="s">
        <v>281</v>
      </c>
      <c r="AT1487" s="192" t="s">
        <v>382</v>
      </c>
      <c r="AU1487" s="192" t="s">
        <v>82</v>
      </c>
      <c r="AY1487" s="19" t="s">
        <v>380</v>
      </c>
      <c r="BE1487" s="193">
        <f t="shared" si="44"/>
        <v>0</v>
      </c>
      <c r="BF1487" s="193">
        <f t="shared" si="45"/>
        <v>0</v>
      </c>
      <c r="BG1487" s="193">
        <f t="shared" si="46"/>
        <v>0</v>
      </c>
      <c r="BH1487" s="193">
        <f t="shared" si="47"/>
        <v>0</v>
      </c>
      <c r="BI1487" s="193">
        <f t="shared" si="48"/>
        <v>0</v>
      </c>
      <c r="BJ1487" s="19" t="s">
        <v>79</v>
      </c>
      <c r="BK1487" s="193">
        <f t="shared" si="49"/>
        <v>0</v>
      </c>
      <c r="BL1487" s="19" t="s">
        <v>281</v>
      </c>
      <c r="BM1487" s="192" t="s">
        <v>2187</v>
      </c>
    </row>
    <row r="1488" spans="1:65" s="2" customFormat="1" ht="16.5" customHeight="1">
      <c r="A1488" s="36"/>
      <c r="B1488" s="37"/>
      <c r="C1488" s="181" t="s">
        <v>2188</v>
      </c>
      <c r="D1488" s="181" t="s">
        <v>382</v>
      </c>
      <c r="E1488" s="182" t="s">
        <v>2189</v>
      </c>
      <c r="F1488" s="183" t="s">
        <v>2190</v>
      </c>
      <c r="G1488" s="184" t="s">
        <v>641</v>
      </c>
      <c r="H1488" s="185">
        <v>6</v>
      </c>
      <c r="I1488" s="186"/>
      <c r="J1488" s="187">
        <f t="shared" si="40"/>
        <v>0</v>
      </c>
      <c r="K1488" s="183" t="s">
        <v>19</v>
      </c>
      <c r="L1488" s="41"/>
      <c r="M1488" s="188" t="s">
        <v>19</v>
      </c>
      <c r="N1488" s="189" t="s">
        <v>43</v>
      </c>
      <c r="O1488" s="66"/>
      <c r="P1488" s="190">
        <f t="shared" si="41"/>
        <v>0</v>
      </c>
      <c r="Q1488" s="190">
        <v>0</v>
      </c>
      <c r="R1488" s="190">
        <f t="shared" si="42"/>
        <v>0</v>
      </c>
      <c r="S1488" s="190">
        <v>0</v>
      </c>
      <c r="T1488" s="191">
        <f t="shared" si="43"/>
        <v>0</v>
      </c>
      <c r="U1488" s="36"/>
      <c r="V1488" s="36"/>
      <c r="W1488" s="36"/>
      <c r="X1488" s="36"/>
      <c r="Y1488" s="36"/>
      <c r="Z1488" s="36"/>
      <c r="AA1488" s="36"/>
      <c r="AB1488" s="36"/>
      <c r="AC1488" s="36"/>
      <c r="AD1488" s="36"/>
      <c r="AE1488" s="36"/>
      <c r="AR1488" s="192" t="s">
        <v>281</v>
      </c>
      <c r="AT1488" s="192" t="s">
        <v>382</v>
      </c>
      <c r="AU1488" s="192" t="s">
        <v>82</v>
      </c>
      <c r="AY1488" s="19" t="s">
        <v>380</v>
      </c>
      <c r="BE1488" s="193">
        <f t="shared" si="44"/>
        <v>0</v>
      </c>
      <c r="BF1488" s="193">
        <f t="shared" si="45"/>
        <v>0</v>
      </c>
      <c r="BG1488" s="193">
        <f t="shared" si="46"/>
        <v>0</v>
      </c>
      <c r="BH1488" s="193">
        <f t="shared" si="47"/>
        <v>0</v>
      </c>
      <c r="BI1488" s="193">
        <f t="shared" si="48"/>
        <v>0</v>
      </c>
      <c r="BJ1488" s="19" t="s">
        <v>79</v>
      </c>
      <c r="BK1488" s="193">
        <f t="shared" si="49"/>
        <v>0</v>
      </c>
      <c r="BL1488" s="19" t="s">
        <v>281</v>
      </c>
      <c r="BM1488" s="192" t="s">
        <v>2191</v>
      </c>
    </row>
    <row r="1489" spans="1:65" s="2" customFormat="1" ht="16.5" customHeight="1">
      <c r="A1489" s="36"/>
      <c r="B1489" s="37"/>
      <c r="C1489" s="181" t="s">
        <v>2192</v>
      </c>
      <c r="D1489" s="181" t="s">
        <v>382</v>
      </c>
      <c r="E1489" s="182" t="s">
        <v>2193</v>
      </c>
      <c r="F1489" s="183" t="s">
        <v>2194</v>
      </c>
      <c r="G1489" s="184" t="s">
        <v>641</v>
      </c>
      <c r="H1489" s="185">
        <v>3</v>
      </c>
      <c r="I1489" s="186"/>
      <c r="J1489" s="187">
        <f t="shared" si="40"/>
        <v>0</v>
      </c>
      <c r="K1489" s="183" t="s">
        <v>19</v>
      </c>
      <c r="L1489" s="41"/>
      <c r="M1489" s="188" t="s">
        <v>19</v>
      </c>
      <c r="N1489" s="189" t="s">
        <v>43</v>
      </c>
      <c r="O1489" s="66"/>
      <c r="P1489" s="190">
        <f t="shared" si="41"/>
        <v>0</v>
      </c>
      <c r="Q1489" s="190">
        <v>0</v>
      </c>
      <c r="R1489" s="190">
        <f t="shared" si="42"/>
        <v>0</v>
      </c>
      <c r="S1489" s="190">
        <v>0</v>
      </c>
      <c r="T1489" s="191">
        <f t="shared" si="43"/>
        <v>0</v>
      </c>
      <c r="U1489" s="36"/>
      <c r="V1489" s="36"/>
      <c r="W1489" s="36"/>
      <c r="X1489" s="36"/>
      <c r="Y1489" s="36"/>
      <c r="Z1489" s="36"/>
      <c r="AA1489" s="36"/>
      <c r="AB1489" s="36"/>
      <c r="AC1489" s="36"/>
      <c r="AD1489" s="36"/>
      <c r="AE1489" s="36"/>
      <c r="AR1489" s="192" t="s">
        <v>281</v>
      </c>
      <c r="AT1489" s="192" t="s">
        <v>382</v>
      </c>
      <c r="AU1489" s="192" t="s">
        <v>82</v>
      </c>
      <c r="AY1489" s="19" t="s">
        <v>380</v>
      </c>
      <c r="BE1489" s="193">
        <f t="shared" si="44"/>
        <v>0</v>
      </c>
      <c r="BF1489" s="193">
        <f t="shared" si="45"/>
        <v>0</v>
      </c>
      <c r="BG1489" s="193">
        <f t="shared" si="46"/>
        <v>0</v>
      </c>
      <c r="BH1489" s="193">
        <f t="shared" si="47"/>
        <v>0</v>
      </c>
      <c r="BI1489" s="193">
        <f t="shared" si="48"/>
        <v>0</v>
      </c>
      <c r="BJ1489" s="19" t="s">
        <v>79</v>
      </c>
      <c r="BK1489" s="193">
        <f t="shared" si="49"/>
        <v>0</v>
      </c>
      <c r="BL1489" s="19" t="s">
        <v>281</v>
      </c>
      <c r="BM1489" s="192" t="s">
        <v>2195</v>
      </c>
    </row>
    <row r="1490" spans="1:65" s="2" customFormat="1" ht="24.2" customHeight="1">
      <c r="A1490" s="36"/>
      <c r="B1490" s="37"/>
      <c r="C1490" s="181" t="s">
        <v>2196</v>
      </c>
      <c r="D1490" s="181" t="s">
        <v>382</v>
      </c>
      <c r="E1490" s="182" t="s">
        <v>2197</v>
      </c>
      <c r="F1490" s="183" t="s">
        <v>2198</v>
      </c>
      <c r="G1490" s="184" t="s">
        <v>641</v>
      </c>
      <c r="H1490" s="185">
        <v>1</v>
      </c>
      <c r="I1490" s="186"/>
      <c r="J1490" s="187">
        <f t="shared" si="40"/>
        <v>0</v>
      </c>
      <c r="K1490" s="183" t="s">
        <v>19</v>
      </c>
      <c r="L1490" s="41"/>
      <c r="M1490" s="188" t="s">
        <v>19</v>
      </c>
      <c r="N1490" s="189" t="s">
        <v>43</v>
      </c>
      <c r="O1490" s="66"/>
      <c r="P1490" s="190">
        <f t="shared" si="41"/>
        <v>0</v>
      </c>
      <c r="Q1490" s="190">
        <v>0</v>
      </c>
      <c r="R1490" s="190">
        <f t="shared" si="42"/>
        <v>0</v>
      </c>
      <c r="S1490" s="190">
        <v>0</v>
      </c>
      <c r="T1490" s="191">
        <f t="shared" si="43"/>
        <v>0</v>
      </c>
      <c r="U1490" s="36"/>
      <c r="V1490" s="36"/>
      <c r="W1490" s="36"/>
      <c r="X1490" s="36"/>
      <c r="Y1490" s="36"/>
      <c r="Z1490" s="36"/>
      <c r="AA1490" s="36"/>
      <c r="AB1490" s="36"/>
      <c r="AC1490" s="36"/>
      <c r="AD1490" s="36"/>
      <c r="AE1490" s="36"/>
      <c r="AR1490" s="192" t="s">
        <v>281</v>
      </c>
      <c r="AT1490" s="192" t="s">
        <v>382</v>
      </c>
      <c r="AU1490" s="192" t="s">
        <v>82</v>
      </c>
      <c r="AY1490" s="19" t="s">
        <v>380</v>
      </c>
      <c r="BE1490" s="193">
        <f t="shared" si="44"/>
        <v>0</v>
      </c>
      <c r="BF1490" s="193">
        <f t="shared" si="45"/>
        <v>0</v>
      </c>
      <c r="BG1490" s="193">
        <f t="shared" si="46"/>
        <v>0</v>
      </c>
      <c r="BH1490" s="193">
        <f t="shared" si="47"/>
        <v>0</v>
      </c>
      <c r="BI1490" s="193">
        <f t="shared" si="48"/>
        <v>0</v>
      </c>
      <c r="BJ1490" s="19" t="s">
        <v>79</v>
      </c>
      <c r="BK1490" s="193">
        <f t="shared" si="49"/>
        <v>0</v>
      </c>
      <c r="BL1490" s="19" t="s">
        <v>281</v>
      </c>
      <c r="BM1490" s="192" t="s">
        <v>2199</v>
      </c>
    </row>
    <row r="1491" spans="1:65" s="12" customFormat="1" ht="22.9" customHeight="1">
      <c r="B1491" s="165"/>
      <c r="C1491" s="166"/>
      <c r="D1491" s="167" t="s">
        <v>71</v>
      </c>
      <c r="E1491" s="179" t="s">
        <v>2200</v>
      </c>
      <c r="F1491" s="179" t="s">
        <v>2201</v>
      </c>
      <c r="G1491" s="166"/>
      <c r="H1491" s="166"/>
      <c r="I1491" s="169"/>
      <c r="J1491" s="180">
        <f>BK1491</f>
        <v>0</v>
      </c>
      <c r="K1491" s="166"/>
      <c r="L1491" s="171"/>
      <c r="M1491" s="172"/>
      <c r="N1491" s="173"/>
      <c r="O1491" s="173"/>
      <c r="P1491" s="174">
        <f>SUM(P1492:P1505)</f>
        <v>0</v>
      </c>
      <c r="Q1491" s="173"/>
      <c r="R1491" s="174">
        <f>SUM(R1492:R1505)</f>
        <v>2.5762271999999999</v>
      </c>
      <c r="S1491" s="173"/>
      <c r="T1491" s="175">
        <f>SUM(T1492:T1505)</f>
        <v>0</v>
      </c>
      <c r="AR1491" s="176" t="s">
        <v>82</v>
      </c>
      <c r="AT1491" s="177" t="s">
        <v>71</v>
      </c>
      <c r="AU1491" s="177" t="s">
        <v>79</v>
      </c>
      <c r="AY1491" s="176" t="s">
        <v>380</v>
      </c>
      <c r="BK1491" s="178">
        <f>SUM(BK1492:BK1505)</f>
        <v>0</v>
      </c>
    </row>
    <row r="1492" spans="1:65" s="2" customFormat="1" ht="16.5" customHeight="1">
      <c r="A1492" s="36"/>
      <c r="B1492" s="37"/>
      <c r="C1492" s="181" t="s">
        <v>2202</v>
      </c>
      <c r="D1492" s="181" t="s">
        <v>382</v>
      </c>
      <c r="E1492" s="182" t="s">
        <v>2203</v>
      </c>
      <c r="F1492" s="183" t="s">
        <v>2204</v>
      </c>
      <c r="G1492" s="184" t="s">
        <v>398</v>
      </c>
      <c r="H1492" s="185">
        <v>60.6</v>
      </c>
      <c r="I1492" s="186"/>
      <c r="J1492" s="187">
        <f>ROUND(I1492*H1492,2)</f>
        <v>0</v>
      </c>
      <c r="K1492" s="183" t="s">
        <v>399</v>
      </c>
      <c r="L1492" s="41"/>
      <c r="M1492" s="188" t="s">
        <v>19</v>
      </c>
      <c r="N1492" s="189" t="s">
        <v>43</v>
      </c>
      <c r="O1492" s="66"/>
      <c r="P1492" s="190">
        <f>O1492*H1492</f>
        <v>0</v>
      </c>
      <c r="Q1492" s="190">
        <v>2.9999999999999997E-4</v>
      </c>
      <c r="R1492" s="190">
        <f>Q1492*H1492</f>
        <v>1.8179999999999998E-2</v>
      </c>
      <c r="S1492" s="190">
        <v>0</v>
      </c>
      <c r="T1492" s="191">
        <f>S1492*H1492</f>
        <v>0</v>
      </c>
      <c r="U1492" s="36"/>
      <c r="V1492" s="36"/>
      <c r="W1492" s="36"/>
      <c r="X1492" s="36"/>
      <c r="Y1492" s="36"/>
      <c r="Z1492" s="36"/>
      <c r="AA1492" s="36"/>
      <c r="AB1492" s="36"/>
      <c r="AC1492" s="36"/>
      <c r="AD1492" s="36"/>
      <c r="AE1492" s="36"/>
      <c r="AR1492" s="192" t="s">
        <v>281</v>
      </c>
      <c r="AT1492" s="192" t="s">
        <v>382</v>
      </c>
      <c r="AU1492" s="192" t="s">
        <v>82</v>
      </c>
      <c r="AY1492" s="19" t="s">
        <v>380</v>
      </c>
      <c r="BE1492" s="193">
        <f>IF(N1492="základní",J1492,0)</f>
        <v>0</v>
      </c>
      <c r="BF1492" s="193">
        <f>IF(N1492="snížená",J1492,0)</f>
        <v>0</v>
      </c>
      <c r="BG1492" s="193">
        <f>IF(N1492="zákl. přenesená",J1492,0)</f>
        <v>0</v>
      </c>
      <c r="BH1492" s="193">
        <f>IF(N1492="sníž. přenesená",J1492,0)</f>
        <v>0</v>
      </c>
      <c r="BI1492" s="193">
        <f>IF(N1492="nulová",J1492,0)</f>
        <v>0</v>
      </c>
      <c r="BJ1492" s="19" t="s">
        <v>79</v>
      </c>
      <c r="BK1492" s="193">
        <f>ROUND(I1492*H1492,2)</f>
        <v>0</v>
      </c>
      <c r="BL1492" s="19" t="s">
        <v>281</v>
      </c>
      <c r="BM1492" s="192" t="s">
        <v>2205</v>
      </c>
    </row>
    <row r="1493" spans="1:65" s="13" customFormat="1" ht="11.25">
      <c r="B1493" s="194"/>
      <c r="C1493" s="195"/>
      <c r="D1493" s="196" t="s">
        <v>388</v>
      </c>
      <c r="E1493" s="197" t="s">
        <v>19</v>
      </c>
      <c r="F1493" s="198" t="s">
        <v>1058</v>
      </c>
      <c r="G1493" s="195"/>
      <c r="H1493" s="197" t="s">
        <v>19</v>
      </c>
      <c r="I1493" s="199"/>
      <c r="J1493" s="195"/>
      <c r="K1493" s="195"/>
      <c r="L1493" s="200"/>
      <c r="M1493" s="201"/>
      <c r="N1493" s="202"/>
      <c r="O1493" s="202"/>
      <c r="P1493" s="202"/>
      <c r="Q1493" s="202"/>
      <c r="R1493" s="202"/>
      <c r="S1493" s="202"/>
      <c r="T1493" s="203"/>
      <c r="AT1493" s="204" t="s">
        <v>388</v>
      </c>
      <c r="AU1493" s="204" t="s">
        <v>82</v>
      </c>
      <c r="AV1493" s="13" t="s">
        <v>79</v>
      </c>
      <c r="AW1493" s="13" t="s">
        <v>33</v>
      </c>
      <c r="AX1493" s="13" t="s">
        <v>72</v>
      </c>
      <c r="AY1493" s="204" t="s">
        <v>380</v>
      </c>
    </row>
    <row r="1494" spans="1:65" s="13" customFormat="1" ht="11.25">
      <c r="B1494" s="194"/>
      <c r="C1494" s="195"/>
      <c r="D1494" s="196" t="s">
        <v>388</v>
      </c>
      <c r="E1494" s="197" t="s">
        <v>19</v>
      </c>
      <c r="F1494" s="198" t="s">
        <v>2206</v>
      </c>
      <c r="G1494" s="195"/>
      <c r="H1494" s="197" t="s">
        <v>19</v>
      </c>
      <c r="I1494" s="199"/>
      <c r="J1494" s="195"/>
      <c r="K1494" s="195"/>
      <c r="L1494" s="200"/>
      <c r="M1494" s="201"/>
      <c r="N1494" s="202"/>
      <c r="O1494" s="202"/>
      <c r="P1494" s="202"/>
      <c r="Q1494" s="202"/>
      <c r="R1494" s="202"/>
      <c r="S1494" s="202"/>
      <c r="T1494" s="203"/>
      <c r="AT1494" s="204" t="s">
        <v>388</v>
      </c>
      <c r="AU1494" s="204" t="s">
        <v>82</v>
      </c>
      <c r="AV1494" s="13" t="s">
        <v>79</v>
      </c>
      <c r="AW1494" s="13" t="s">
        <v>33</v>
      </c>
      <c r="AX1494" s="13" t="s">
        <v>72</v>
      </c>
      <c r="AY1494" s="204" t="s">
        <v>380</v>
      </c>
    </row>
    <row r="1495" spans="1:65" s="14" customFormat="1" ht="11.25">
      <c r="B1495" s="205"/>
      <c r="C1495" s="206"/>
      <c r="D1495" s="196" t="s">
        <v>388</v>
      </c>
      <c r="E1495" s="207" t="s">
        <v>19</v>
      </c>
      <c r="F1495" s="208" t="s">
        <v>2207</v>
      </c>
      <c r="G1495" s="206"/>
      <c r="H1495" s="209">
        <v>16</v>
      </c>
      <c r="I1495" s="210"/>
      <c r="J1495" s="206"/>
      <c r="K1495" s="206"/>
      <c r="L1495" s="211"/>
      <c r="M1495" s="212"/>
      <c r="N1495" s="213"/>
      <c r="O1495" s="213"/>
      <c r="P1495" s="213"/>
      <c r="Q1495" s="213"/>
      <c r="R1495" s="213"/>
      <c r="S1495" s="213"/>
      <c r="T1495" s="214"/>
      <c r="AT1495" s="215" t="s">
        <v>388</v>
      </c>
      <c r="AU1495" s="215" t="s">
        <v>82</v>
      </c>
      <c r="AV1495" s="14" t="s">
        <v>82</v>
      </c>
      <c r="AW1495" s="14" t="s">
        <v>33</v>
      </c>
      <c r="AX1495" s="14" t="s">
        <v>72</v>
      </c>
      <c r="AY1495" s="215" t="s">
        <v>380</v>
      </c>
    </row>
    <row r="1496" spans="1:65" s="16" customFormat="1" ht="11.25">
      <c r="B1496" s="237"/>
      <c r="C1496" s="238"/>
      <c r="D1496" s="196" t="s">
        <v>388</v>
      </c>
      <c r="E1496" s="239" t="s">
        <v>280</v>
      </c>
      <c r="F1496" s="240" t="s">
        <v>572</v>
      </c>
      <c r="G1496" s="238"/>
      <c r="H1496" s="241">
        <v>16</v>
      </c>
      <c r="I1496" s="242"/>
      <c r="J1496" s="238"/>
      <c r="K1496" s="238"/>
      <c r="L1496" s="243"/>
      <c r="M1496" s="244"/>
      <c r="N1496" s="245"/>
      <c r="O1496" s="245"/>
      <c r="P1496" s="245"/>
      <c r="Q1496" s="245"/>
      <c r="R1496" s="245"/>
      <c r="S1496" s="245"/>
      <c r="T1496" s="246"/>
      <c r="AT1496" s="247" t="s">
        <v>388</v>
      </c>
      <c r="AU1496" s="247" t="s">
        <v>82</v>
      </c>
      <c r="AV1496" s="16" t="s">
        <v>99</v>
      </c>
      <c r="AW1496" s="16" t="s">
        <v>33</v>
      </c>
      <c r="AX1496" s="16" t="s">
        <v>72</v>
      </c>
      <c r="AY1496" s="247" t="s">
        <v>380</v>
      </c>
    </row>
    <row r="1497" spans="1:65" s="13" customFormat="1" ht="11.25">
      <c r="B1497" s="194"/>
      <c r="C1497" s="195"/>
      <c r="D1497" s="196" t="s">
        <v>388</v>
      </c>
      <c r="E1497" s="197" t="s">
        <v>19</v>
      </c>
      <c r="F1497" s="198" t="s">
        <v>2208</v>
      </c>
      <c r="G1497" s="195"/>
      <c r="H1497" s="197" t="s">
        <v>19</v>
      </c>
      <c r="I1497" s="199"/>
      <c r="J1497" s="195"/>
      <c r="K1497" s="195"/>
      <c r="L1497" s="200"/>
      <c r="M1497" s="201"/>
      <c r="N1497" s="202"/>
      <c r="O1497" s="202"/>
      <c r="P1497" s="202"/>
      <c r="Q1497" s="202"/>
      <c r="R1497" s="202"/>
      <c r="S1497" s="202"/>
      <c r="T1497" s="203"/>
      <c r="AT1497" s="204" t="s">
        <v>388</v>
      </c>
      <c r="AU1497" s="204" t="s">
        <v>82</v>
      </c>
      <c r="AV1497" s="13" t="s">
        <v>79</v>
      </c>
      <c r="AW1497" s="13" t="s">
        <v>33</v>
      </c>
      <c r="AX1497" s="13" t="s">
        <v>72</v>
      </c>
      <c r="AY1497" s="204" t="s">
        <v>380</v>
      </c>
    </row>
    <row r="1498" spans="1:65" s="14" customFormat="1" ht="11.25">
      <c r="B1498" s="205"/>
      <c r="C1498" s="206"/>
      <c r="D1498" s="196" t="s">
        <v>388</v>
      </c>
      <c r="E1498" s="207" t="s">
        <v>19</v>
      </c>
      <c r="F1498" s="208" t="s">
        <v>295</v>
      </c>
      <c r="G1498" s="206"/>
      <c r="H1498" s="209">
        <v>44.6</v>
      </c>
      <c r="I1498" s="210"/>
      <c r="J1498" s="206"/>
      <c r="K1498" s="206"/>
      <c r="L1498" s="211"/>
      <c r="M1498" s="212"/>
      <c r="N1498" s="213"/>
      <c r="O1498" s="213"/>
      <c r="P1498" s="213"/>
      <c r="Q1498" s="213"/>
      <c r="R1498" s="213"/>
      <c r="S1498" s="213"/>
      <c r="T1498" s="214"/>
      <c r="AT1498" s="215" t="s">
        <v>388</v>
      </c>
      <c r="AU1498" s="215" t="s">
        <v>82</v>
      </c>
      <c r="AV1498" s="14" t="s">
        <v>82</v>
      </c>
      <c r="AW1498" s="14" t="s">
        <v>33</v>
      </c>
      <c r="AX1498" s="14" t="s">
        <v>72</v>
      </c>
      <c r="AY1498" s="215" t="s">
        <v>380</v>
      </c>
    </row>
    <row r="1499" spans="1:65" s="16" customFormat="1" ht="11.25">
      <c r="B1499" s="237"/>
      <c r="C1499" s="238"/>
      <c r="D1499" s="196" t="s">
        <v>388</v>
      </c>
      <c r="E1499" s="239" t="s">
        <v>294</v>
      </c>
      <c r="F1499" s="240" t="s">
        <v>572</v>
      </c>
      <c r="G1499" s="238"/>
      <c r="H1499" s="241">
        <v>44.6</v>
      </c>
      <c r="I1499" s="242"/>
      <c r="J1499" s="238"/>
      <c r="K1499" s="238"/>
      <c r="L1499" s="243"/>
      <c r="M1499" s="244"/>
      <c r="N1499" s="245"/>
      <c r="O1499" s="245"/>
      <c r="P1499" s="245"/>
      <c r="Q1499" s="245"/>
      <c r="R1499" s="245"/>
      <c r="S1499" s="245"/>
      <c r="T1499" s="246"/>
      <c r="AT1499" s="247" t="s">
        <v>388</v>
      </c>
      <c r="AU1499" s="247" t="s">
        <v>82</v>
      </c>
      <c r="AV1499" s="16" t="s">
        <v>99</v>
      </c>
      <c r="AW1499" s="16" t="s">
        <v>33</v>
      </c>
      <c r="AX1499" s="16" t="s">
        <v>72</v>
      </c>
      <c r="AY1499" s="247" t="s">
        <v>380</v>
      </c>
    </row>
    <row r="1500" spans="1:65" s="15" customFormat="1" ht="11.25">
      <c r="B1500" s="216"/>
      <c r="C1500" s="217"/>
      <c r="D1500" s="196" t="s">
        <v>388</v>
      </c>
      <c r="E1500" s="218" t="s">
        <v>19</v>
      </c>
      <c r="F1500" s="219" t="s">
        <v>419</v>
      </c>
      <c r="G1500" s="217"/>
      <c r="H1500" s="220">
        <v>60.6</v>
      </c>
      <c r="I1500" s="221"/>
      <c r="J1500" s="217"/>
      <c r="K1500" s="217"/>
      <c r="L1500" s="222"/>
      <c r="M1500" s="223"/>
      <c r="N1500" s="224"/>
      <c r="O1500" s="224"/>
      <c r="P1500" s="224"/>
      <c r="Q1500" s="224"/>
      <c r="R1500" s="224"/>
      <c r="S1500" s="224"/>
      <c r="T1500" s="225"/>
      <c r="AT1500" s="226" t="s">
        <v>388</v>
      </c>
      <c r="AU1500" s="226" t="s">
        <v>82</v>
      </c>
      <c r="AV1500" s="15" t="s">
        <v>386</v>
      </c>
      <c r="AW1500" s="15" t="s">
        <v>33</v>
      </c>
      <c r="AX1500" s="15" t="s">
        <v>79</v>
      </c>
      <c r="AY1500" s="226" t="s">
        <v>380</v>
      </c>
    </row>
    <row r="1501" spans="1:65" s="2" customFormat="1" ht="24.2" customHeight="1">
      <c r="A1501" s="36"/>
      <c r="B1501" s="37"/>
      <c r="C1501" s="181" t="s">
        <v>2209</v>
      </c>
      <c r="D1501" s="181" t="s">
        <v>382</v>
      </c>
      <c r="E1501" s="182" t="s">
        <v>2210</v>
      </c>
      <c r="F1501" s="183" t="s">
        <v>2211</v>
      </c>
      <c r="G1501" s="184" t="s">
        <v>398</v>
      </c>
      <c r="H1501" s="185">
        <v>60.6</v>
      </c>
      <c r="I1501" s="186"/>
      <c r="J1501" s="187">
        <f>ROUND(I1501*H1501,2)</f>
        <v>0</v>
      </c>
      <c r="K1501" s="183" t="s">
        <v>399</v>
      </c>
      <c r="L1501" s="41"/>
      <c r="M1501" s="188" t="s">
        <v>19</v>
      </c>
      <c r="N1501" s="189" t="s">
        <v>43</v>
      </c>
      <c r="O1501" s="66"/>
      <c r="P1501" s="190">
        <f>O1501*H1501</f>
        <v>0</v>
      </c>
      <c r="Q1501" s="190">
        <v>8.9999999999999993E-3</v>
      </c>
      <c r="R1501" s="190">
        <f>Q1501*H1501</f>
        <v>0.5454</v>
      </c>
      <c r="S1501" s="190">
        <v>0</v>
      </c>
      <c r="T1501" s="191">
        <f>S1501*H1501</f>
        <v>0</v>
      </c>
      <c r="U1501" s="36"/>
      <c r="V1501" s="36"/>
      <c r="W1501" s="36"/>
      <c r="X1501" s="36"/>
      <c r="Y1501" s="36"/>
      <c r="Z1501" s="36"/>
      <c r="AA1501" s="36"/>
      <c r="AB1501" s="36"/>
      <c r="AC1501" s="36"/>
      <c r="AD1501" s="36"/>
      <c r="AE1501" s="36"/>
      <c r="AR1501" s="192" t="s">
        <v>281</v>
      </c>
      <c r="AT1501" s="192" t="s">
        <v>382</v>
      </c>
      <c r="AU1501" s="192" t="s">
        <v>82</v>
      </c>
      <c r="AY1501" s="19" t="s">
        <v>380</v>
      </c>
      <c r="BE1501" s="193">
        <f>IF(N1501="základní",J1501,0)</f>
        <v>0</v>
      </c>
      <c r="BF1501" s="193">
        <f>IF(N1501="snížená",J1501,0)</f>
        <v>0</v>
      </c>
      <c r="BG1501" s="193">
        <f>IF(N1501="zákl. přenesená",J1501,0)</f>
        <v>0</v>
      </c>
      <c r="BH1501" s="193">
        <f>IF(N1501="sníž. přenesená",J1501,0)</f>
        <v>0</v>
      </c>
      <c r="BI1501" s="193">
        <f>IF(N1501="nulová",J1501,0)</f>
        <v>0</v>
      </c>
      <c r="BJ1501" s="19" t="s">
        <v>79</v>
      </c>
      <c r="BK1501" s="193">
        <f>ROUND(I1501*H1501,2)</f>
        <v>0</v>
      </c>
      <c r="BL1501" s="19" t="s">
        <v>281</v>
      </c>
      <c r="BM1501" s="192" t="s">
        <v>2212</v>
      </c>
    </row>
    <row r="1502" spans="1:65" s="14" customFormat="1" ht="11.25">
      <c r="B1502" s="205"/>
      <c r="C1502" s="206"/>
      <c r="D1502" s="196" t="s">
        <v>388</v>
      </c>
      <c r="E1502" s="207" t="s">
        <v>19</v>
      </c>
      <c r="F1502" s="208" t="s">
        <v>2213</v>
      </c>
      <c r="G1502" s="206"/>
      <c r="H1502" s="209">
        <v>60.6</v>
      </c>
      <c r="I1502" s="210"/>
      <c r="J1502" s="206"/>
      <c r="K1502" s="206"/>
      <c r="L1502" s="211"/>
      <c r="M1502" s="212"/>
      <c r="N1502" s="213"/>
      <c r="O1502" s="213"/>
      <c r="P1502" s="213"/>
      <c r="Q1502" s="213"/>
      <c r="R1502" s="213"/>
      <c r="S1502" s="213"/>
      <c r="T1502" s="214"/>
      <c r="AT1502" s="215" t="s">
        <v>388</v>
      </c>
      <c r="AU1502" s="215" t="s">
        <v>82</v>
      </c>
      <c r="AV1502" s="14" t="s">
        <v>82</v>
      </c>
      <c r="AW1502" s="14" t="s">
        <v>33</v>
      </c>
      <c r="AX1502" s="14" t="s">
        <v>79</v>
      </c>
      <c r="AY1502" s="215" t="s">
        <v>380</v>
      </c>
    </row>
    <row r="1503" spans="1:65" s="2" customFormat="1" ht="16.5" customHeight="1">
      <c r="A1503" s="36"/>
      <c r="B1503" s="37"/>
      <c r="C1503" s="227" t="s">
        <v>2214</v>
      </c>
      <c r="D1503" s="227" t="s">
        <v>465</v>
      </c>
      <c r="E1503" s="228" t="s">
        <v>2215</v>
      </c>
      <c r="F1503" s="229" t="s">
        <v>2216</v>
      </c>
      <c r="G1503" s="230" t="s">
        <v>398</v>
      </c>
      <c r="H1503" s="231">
        <v>69.69</v>
      </c>
      <c r="I1503" s="232"/>
      <c r="J1503" s="233">
        <f>ROUND(I1503*H1503,2)</f>
        <v>0</v>
      </c>
      <c r="K1503" s="229" t="s">
        <v>19</v>
      </c>
      <c r="L1503" s="234"/>
      <c r="M1503" s="235" t="s">
        <v>19</v>
      </c>
      <c r="N1503" s="236" t="s">
        <v>43</v>
      </c>
      <c r="O1503" s="66"/>
      <c r="P1503" s="190">
        <f>O1503*H1503</f>
        <v>0</v>
      </c>
      <c r="Q1503" s="190">
        <v>2.8879999999999999E-2</v>
      </c>
      <c r="R1503" s="190">
        <f>Q1503*H1503</f>
        <v>2.0126472</v>
      </c>
      <c r="S1503" s="190">
        <v>0</v>
      </c>
      <c r="T1503" s="191">
        <f>S1503*H1503</f>
        <v>0</v>
      </c>
      <c r="U1503" s="36"/>
      <c r="V1503" s="36"/>
      <c r="W1503" s="36"/>
      <c r="X1503" s="36"/>
      <c r="Y1503" s="36"/>
      <c r="Z1503" s="36"/>
      <c r="AA1503" s="36"/>
      <c r="AB1503" s="36"/>
      <c r="AC1503" s="36"/>
      <c r="AD1503" s="36"/>
      <c r="AE1503" s="36"/>
      <c r="AR1503" s="192" t="s">
        <v>546</v>
      </c>
      <c r="AT1503" s="192" t="s">
        <v>465</v>
      </c>
      <c r="AU1503" s="192" t="s">
        <v>82</v>
      </c>
      <c r="AY1503" s="19" t="s">
        <v>380</v>
      </c>
      <c r="BE1503" s="193">
        <f>IF(N1503="základní",J1503,0)</f>
        <v>0</v>
      </c>
      <c r="BF1503" s="193">
        <f>IF(N1503="snížená",J1503,0)</f>
        <v>0</v>
      </c>
      <c r="BG1503" s="193">
        <f>IF(N1503="zákl. přenesená",J1503,0)</f>
        <v>0</v>
      </c>
      <c r="BH1503" s="193">
        <f>IF(N1503="sníž. přenesená",J1503,0)</f>
        <v>0</v>
      </c>
      <c r="BI1503" s="193">
        <f>IF(N1503="nulová",J1503,0)</f>
        <v>0</v>
      </c>
      <c r="BJ1503" s="19" t="s">
        <v>79</v>
      </c>
      <c r="BK1503" s="193">
        <f>ROUND(I1503*H1503,2)</f>
        <v>0</v>
      </c>
      <c r="BL1503" s="19" t="s">
        <v>281</v>
      </c>
      <c r="BM1503" s="192" t="s">
        <v>2217</v>
      </c>
    </row>
    <row r="1504" spans="1:65" s="14" customFormat="1" ht="11.25">
      <c r="B1504" s="205"/>
      <c r="C1504" s="206"/>
      <c r="D1504" s="196" t="s">
        <v>388</v>
      </c>
      <c r="E1504" s="207" t="s">
        <v>19</v>
      </c>
      <c r="F1504" s="208" t="s">
        <v>2218</v>
      </c>
      <c r="G1504" s="206"/>
      <c r="H1504" s="209">
        <v>69.69</v>
      </c>
      <c r="I1504" s="210"/>
      <c r="J1504" s="206"/>
      <c r="K1504" s="206"/>
      <c r="L1504" s="211"/>
      <c r="M1504" s="212"/>
      <c r="N1504" s="213"/>
      <c r="O1504" s="213"/>
      <c r="P1504" s="213"/>
      <c r="Q1504" s="213"/>
      <c r="R1504" s="213"/>
      <c r="S1504" s="213"/>
      <c r="T1504" s="214"/>
      <c r="AT1504" s="215" t="s">
        <v>388</v>
      </c>
      <c r="AU1504" s="215" t="s">
        <v>82</v>
      </c>
      <c r="AV1504" s="14" t="s">
        <v>82</v>
      </c>
      <c r="AW1504" s="14" t="s">
        <v>33</v>
      </c>
      <c r="AX1504" s="14" t="s">
        <v>79</v>
      </c>
      <c r="AY1504" s="215" t="s">
        <v>380</v>
      </c>
    </row>
    <row r="1505" spans="1:65" s="2" customFormat="1" ht="24.2" customHeight="1">
      <c r="A1505" s="36"/>
      <c r="B1505" s="37"/>
      <c r="C1505" s="181" t="s">
        <v>2219</v>
      </c>
      <c r="D1505" s="181" t="s">
        <v>382</v>
      </c>
      <c r="E1505" s="182" t="s">
        <v>2220</v>
      </c>
      <c r="F1505" s="183" t="s">
        <v>2221</v>
      </c>
      <c r="G1505" s="184" t="s">
        <v>437</v>
      </c>
      <c r="H1505" s="185">
        <v>2.5760000000000001</v>
      </c>
      <c r="I1505" s="186"/>
      <c r="J1505" s="187">
        <f>ROUND(I1505*H1505,2)</f>
        <v>0</v>
      </c>
      <c r="K1505" s="183" t="s">
        <v>399</v>
      </c>
      <c r="L1505" s="41"/>
      <c r="M1505" s="188" t="s">
        <v>19</v>
      </c>
      <c r="N1505" s="189" t="s">
        <v>43</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281</v>
      </c>
      <c r="AT1505" s="192" t="s">
        <v>382</v>
      </c>
      <c r="AU1505" s="192" t="s">
        <v>82</v>
      </c>
      <c r="AY1505" s="19" t="s">
        <v>380</v>
      </c>
      <c r="BE1505" s="193">
        <f>IF(N1505="základní",J1505,0)</f>
        <v>0</v>
      </c>
      <c r="BF1505" s="193">
        <f>IF(N1505="snížená",J1505,0)</f>
        <v>0</v>
      </c>
      <c r="BG1505" s="193">
        <f>IF(N1505="zákl. přenesená",J1505,0)</f>
        <v>0</v>
      </c>
      <c r="BH1505" s="193">
        <f>IF(N1505="sníž. přenesená",J1505,0)</f>
        <v>0</v>
      </c>
      <c r="BI1505" s="193">
        <f>IF(N1505="nulová",J1505,0)</f>
        <v>0</v>
      </c>
      <c r="BJ1505" s="19" t="s">
        <v>79</v>
      </c>
      <c r="BK1505" s="193">
        <f>ROUND(I1505*H1505,2)</f>
        <v>0</v>
      </c>
      <c r="BL1505" s="19" t="s">
        <v>281</v>
      </c>
      <c r="BM1505" s="192" t="s">
        <v>2222</v>
      </c>
    </row>
    <row r="1506" spans="1:65" s="12" customFormat="1" ht="22.9" customHeight="1">
      <c r="B1506" s="165"/>
      <c r="C1506" s="166"/>
      <c r="D1506" s="167" t="s">
        <v>71</v>
      </c>
      <c r="E1506" s="179" t="s">
        <v>2223</v>
      </c>
      <c r="F1506" s="179" t="s">
        <v>2224</v>
      </c>
      <c r="G1506" s="166"/>
      <c r="H1506" s="166"/>
      <c r="I1506" s="169"/>
      <c r="J1506" s="180">
        <f>BK1506</f>
        <v>0</v>
      </c>
      <c r="K1506" s="166"/>
      <c r="L1506" s="171"/>
      <c r="M1506" s="172"/>
      <c r="N1506" s="173"/>
      <c r="O1506" s="173"/>
      <c r="P1506" s="174">
        <f>SUM(P1507:P1561)</f>
        <v>0</v>
      </c>
      <c r="Q1506" s="173"/>
      <c r="R1506" s="174">
        <f>SUM(R1507:R1561)</f>
        <v>15.839466000000002</v>
      </c>
      <c r="S1506" s="173"/>
      <c r="T1506" s="175">
        <f>SUM(T1507:T1561)</f>
        <v>0</v>
      </c>
      <c r="AR1506" s="176" t="s">
        <v>82</v>
      </c>
      <c r="AT1506" s="177" t="s">
        <v>71</v>
      </c>
      <c r="AU1506" s="177" t="s">
        <v>79</v>
      </c>
      <c r="AY1506" s="176" t="s">
        <v>380</v>
      </c>
      <c r="BK1506" s="178">
        <f>SUM(BK1507:BK1561)</f>
        <v>0</v>
      </c>
    </row>
    <row r="1507" spans="1:65" s="2" customFormat="1" ht="24.2" customHeight="1">
      <c r="A1507" s="36"/>
      <c r="B1507" s="37"/>
      <c r="C1507" s="181" t="s">
        <v>2225</v>
      </c>
      <c r="D1507" s="181" t="s">
        <v>382</v>
      </c>
      <c r="E1507" s="182" t="s">
        <v>2226</v>
      </c>
      <c r="F1507" s="183" t="s">
        <v>2227</v>
      </c>
      <c r="G1507" s="184" t="s">
        <v>398</v>
      </c>
      <c r="H1507" s="185">
        <v>2205.0500000000002</v>
      </c>
      <c r="I1507" s="186"/>
      <c r="J1507" s="187">
        <f>ROUND(I1507*H1507,2)</f>
        <v>0</v>
      </c>
      <c r="K1507" s="183" t="s">
        <v>19</v>
      </c>
      <c r="L1507" s="41"/>
      <c r="M1507" s="188" t="s">
        <v>19</v>
      </c>
      <c r="N1507" s="189" t="s">
        <v>43</v>
      </c>
      <c r="O1507" s="66"/>
      <c r="P1507" s="190">
        <f>O1507*H1507</f>
        <v>0</v>
      </c>
      <c r="Q1507" s="190">
        <v>5.4000000000000003E-3</v>
      </c>
      <c r="R1507" s="190">
        <f>Q1507*H1507</f>
        <v>11.907270000000002</v>
      </c>
      <c r="S1507" s="190">
        <v>0</v>
      </c>
      <c r="T1507" s="191">
        <f>S1507*H1507</f>
        <v>0</v>
      </c>
      <c r="U1507" s="36"/>
      <c r="V1507" s="36"/>
      <c r="W1507" s="36"/>
      <c r="X1507" s="36"/>
      <c r="Y1507" s="36"/>
      <c r="Z1507" s="36"/>
      <c r="AA1507" s="36"/>
      <c r="AB1507" s="36"/>
      <c r="AC1507" s="36"/>
      <c r="AD1507" s="36"/>
      <c r="AE1507" s="36"/>
      <c r="AR1507" s="192" t="s">
        <v>281</v>
      </c>
      <c r="AT1507" s="192" t="s">
        <v>382</v>
      </c>
      <c r="AU1507" s="192" t="s">
        <v>82</v>
      </c>
      <c r="AY1507" s="19" t="s">
        <v>380</v>
      </c>
      <c r="BE1507" s="193">
        <f>IF(N1507="základní",J1507,0)</f>
        <v>0</v>
      </c>
      <c r="BF1507" s="193">
        <f>IF(N1507="snížená",J1507,0)</f>
        <v>0</v>
      </c>
      <c r="BG1507" s="193">
        <f>IF(N1507="zákl. přenesená",J1507,0)</f>
        <v>0</v>
      </c>
      <c r="BH1507" s="193">
        <f>IF(N1507="sníž. přenesená",J1507,0)</f>
        <v>0</v>
      </c>
      <c r="BI1507" s="193">
        <f>IF(N1507="nulová",J1507,0)</f>
        <v>0</v>
      </c>
      <c r="BJ1507" s="19" t="s">
        <v>79</v>
      </c>
      <c r="BK1507" s="193">
        <f>ROUND(I1507*H1507,2)</f>
        <v>0</v>
      </c>
      <c r="BL1507" s="19" t="s">
        <v>281</v>
      </c>
      <c r="BM1507" s="192" t="s">
        <v>2228</v>
      </c>
    </row>
    <row r="1508" spans="1:65" s="13" customFormat="1" ht="11.25">
      <c r="B1508" s="194"/>
      <c r="C1508" s="195"/>
      <c r="D1508" s="196" t="s">
        <v>388</v>
      </c>
      <c r="E1508" s="197" t="s">
        <v>19</v>
      </c>
      <c r="F1508" s="198" t="s">
        <v>1058</v>
      </c>
      <c r="G1508" s="195"/>
      <c r="H1508" s="197" t="s">
        <v>19</v>
      </c>
      <c r="I1508" s="199"/>
      <c r="J1508" s="195"/>
      <c r="K1508" s="195"/>
      <c r="L1508" s="200"/>
      <c r="M1508" s="201"/>
      <c r="N1508" s="202"/>
      <c r="O1508" s="202"/>
      <c r="P1508" s="202"/>
      <c r="Q1508" s="202"/>
      <c r="R1508" s="202"/>
      <c r="S1508" s="202"/>
      <c r="T1508" s="203"/>
      <c r="AT1508" s="204" t="s">
        <v>388</v>
      </c>
      <c r="AU1508" s="204" t="s">
        <v>82</v>
      </c>
      <c r="AV1508" s="13" t="s">
        <v>79</v>
      </c>
      <c r="AW1508" s="13" t="s">
        <v>33</v>
      </c>
      <c r="AX1508" s="13" t="s">
        <v>72</v>
      </c>
      <c r="AY1508" s="204" t="s">
        <v>380</v>
      </c>
    </row>
    <row r="1509" spans="1:65" s="13" customFormat="1" ht="11.25">
      <c r="B1509" s="194"/>
      <c r="C1509" s="195"/>
      <c r="D1509" s="196" t="s">
        <v>388</v>
      </c>
      <c r="E1509" s="197" t="s">
        <v>19</v>
      </c>
      <c r="F1509" s="198" t="s">
        <v>2229</v>
      </c>
      <c r="G1509" s="195"/>
      <c r="H1509" s="197" t="s">
        <v>19</v>
      </c>
      <c r="I1509" s="199"/>
      <c r="J1509" s="195"/>
      <c r="K1509" s="195"/>
      <c r="L1509" s="200"/>
      <c r="M1509" s="201"/>
      <c r="N1509" s="202"/>
      <c r="O1509" s="202"/>
      <c r="P1509" s="202"/>
      <c r="Q1509" s="202"/>
      <c r="R1509" s="202"/>
      <c r="S1509" s="202"/>
      <c r="T1509" s="203"/>
      <c r="AT1509" s="204" t="s">
        <v>388</v>
      </c>
      <c r="AU1509" s="204" t="s">
        <v>82</v>
      </c>
      <c r="AV1509" s="13" t="s">
        <v>79</v>
      </c>
      <c r="AW1509" s="13" t="s">
        <v>33</v>
      </c>
      <c r="AX1509" s="13" t="s">
        <v>72</v>
      </c>
      <c r="AY1509" s="204" t="s">
        <v>380</v>
      </c>
    </row>
    <row r="1510" spans="1:65" s="14" customFormat="1" ht="11.25">
      <c r="B1510" s="205"/>
      <c r="C1510" s="206"/>
      <c r="D1510" s="196" t="s">
        <v>388</v>
      </c>
      <c r="E1510" s="207" t="s">
        <v>19</v>
      </c>
      <c r="F1510" s="208" t="s">
        <v>2230</v>
      </c>
      <c r="G1510" s="206"/>
      <c r="H1510" s="209">
        <v>99</v>
      </c>
      <c r="I1510" s="210"/>
      <c r="J1510" s="206"/>
      <c r="K1510" s="206"/>
      <c r="L1510" s="211"/>
      <c r="M1510" s="212"/>
      <c r="N1510" s="213"/>
      <c r="O1510" s="213"/>
      <c r="P1510" s="213"/>
      <c r="Q1510" s="213"/>
      <c r="R1510" s="213"/>
      <c r="S1510" s="213"/>
      <c r="T1510" s="214"/>
      <c r="AT1510" s="215" t="s">
        <v>388</v>
      </c>
      <c r="AU1510" s="215" t="s">
        <v>82</v>
      </c>
      <c r="AV1510" s="14" t="s">
        <v>82</v>
      </c>
      <c r="AW1510" s="14" t="s">
        <v>33</v>
      </c>
      <c r="AX1510" s="14" t="s">
        <v>72</v>
      </c>
      <c r="AY1510" s="215" t="s">
        <v>380</v>
      </c>
    </row>
    <row r="1511" spans="1:65" s="16" customFormat="1" ht="11.25">
      <c r="B1511" s="237"/>
      <c r="C1511" s="238"/>
      <c r="D1511" s="196" t="s">
        <v>388</v>
      </c>
      <c r="E1511" s="239" t="s">
        <v>270</v>
      </c>
      <c r="F1511" s="240" t="s">
        <v>572</v>
      </c>
      <c r="G1511" s="238"/>
      <c r="H1511" s="241">
        <v>99</v>
      </c>
      <c r="I1511" s="242"/>
      <c r="J1511" s="238"/>
      <c r="K1511" s="238"/>
      <c r="L1511" s="243"/>
      <c r="M1511" s="244"/>
      <c r="N1511" s="245"/>
      <c r="O1511" s="245"/>
      <c r="P1511" s="245"/>
      <c r="Q1511" s="245"/>
      <c r="R1511" s="245"/>
      <c r="S1511" s="245"/>
      <c r="T1511" s="246"/>
      <c r="AT1511" s="247" t="s">
        <v>388</v>
      </c>
      <c r="AU1511" s="247" t="s">
        <v>82</v>
      </c>
      <c r="AV1511" s="16" t="s">
        <v>99</v>
      </c>
      <c r="AW1511" s="16" t="s">
        <v>33</v>
      </c>
      <c r="AX1511" s="16" t="s">
        <v>72</v>
      </c>
      <c r="AY1511" s="247" t="s">
        <v>380</v>
      </c>
    </row>
    <row r="1512" spans="1:65" s="13" customFormat="1" ht="11.25">
      <c r="B1512" s="194"/>
      <c r="C1512" s="195"/>
      <c r="D1512" s="196" t="s">
        <v>388</v>
      </c>
      <c r="E1512" s="197" t="s">
        <v>19</v>
      </c>
      <c r="F1512" s="198" t="s">
        <v>2231</v>
      </c>
      <c r="G1512" s="195"/>
      <c r="H1512" s="197" t="s">
        <v>19</v>
      </c>
      <c r="I1512" s="199"/>
      <c r="J1512" s="195"/>
      <c r="K1512" s="195"/>
      <c r="L1512" s="200"/>
      <c r="M1512" s="201"/>
      <c r="N1512" s="202"/>
      <c r="O1512" s="202"/>
      <c r="P1512" s="202"/>
      <c r="Q1512" s="202"/>
      <c r="R1512" s="202"/>
      <c r="S1512" s="202"/>
      <c r="T1512" s="203"/>
      <c r="AT1512" s="204" t="s">
        <v>388</v>
      </c>
      <c r="AU1512" s="204" t="s">
        <v>82</v>
      </c>
      <c r="AV1512" s="13" t="s">
        <v>79</v>
      </c>
      <c r="AW1512" s="13" t="s">
        <v>33</v>
      </c>
      <c r="AX1512" s="13" t="s">
        <v>72</v>
      </c>
      <c r="AY1512" s="204" t="s">
        <v>380</v>
      </c>
    </row>
    <row r="1513" spans="1:65" s="14" customFormat="1" ht="11.25">
      <c r="B1513" s="205"/>
      <c r="C1513" s="206"/>
      <c r="D1513" s="196" t="s">
        <v>388</v>
      </c>
      <c r="E1513" s="207" t="s">
        <v>19</v>
      </c>
      <c r="F1513" s="208" t="s">
        <v>275</v>
      </c>
      <c r="G1513" s="206"/>
      <c r="H1513" s="209">
        <v>47.1</v>
      </c>
      <c r="I1513" s="210"/>
      <c r="J1513" s="206"/>
      <c r="K1513" s="206"/>
      <c r="L1513" s="211"/>
      <c r="M1513" s="212"/>
      <c r="N1513" s="213"/>
      <c r="O1513" s="213"/>
      <c r="P1513" s="213"/>
      <c r="Q1513" s="213"/>
      <c r="R1513" s="213"/>
      <c r="S1513" s="213"/>
      <c r="T1513" s="214"/>
      <c r="AT1513" s="215" t="s">
        <v>388</v>
      </c>
      <c r="AU1513" s="215" t="s">
        <v>82</v>
      </c>
      <c r="AV1513" s="14" t="s">
        <v>82</v>
      </c>
      <c r="AW1513" s="14" t="s">
        <v>33</v>
      </c>
      <c r="AX1513" s="14" t="s">
        <v>72</v>
      </c>
      <c r="AY1513" s="215" t="s">
        <v>380</v>
      </c>
    </row>
    <row r="1514" spans="1:65" s="16" customFormat="1" ht="11.25">
      <c r="B1514" s="237"/>
      <c r="C1514" s="238"/>
      <c r="D1514" s="196" t="s">
        <v>388</v>
      </c>
      <c r="E1514" s="239" t="s">
        <v>273</v>
      </c>
      <c r="F1514" s="240" t="s">
        <v>572</v>
      </c>
      <c r="G1514" s="238"/>
      <c r="H1514" s="241">
        <v>47.1</v>
      </c>
      <c r="I1514" s="242"/>
      <c r="J1514" s="238"/>
      <c r="K1514" s="238"/>
      <c r="L1514" s="243"/>
      <c r="M1514" s="244"/>
      <c r="N1514" s="245"/>
      <c r="O1514" s="245"/>
      <c r="P1514" s="245"/>
      <c r="Q1514" s="245"/>
      <c r="R1514" s="245"/>
      <c r="S1514" s="245"/>
      <c r="T1514" s="246"/>
      <c r="AT1514" s="247" t="s">
        <v>388</v>
      </c>
      <c r="AU1514" s="247" t="s">
        <v>82</v>
      </c>
      <c r="AV1514" s="16" t="s">
        <v>99</v>
      </c>
      <c r="AW1514" s="16" t="s">
        <v>33</v>
      </c>
      <c r="AX1514" s="16" t="s">
        <v>72</v>
      </c>
      <c r="AY1514" s="247" t="s">
        <v>380</v>
      </c>
    </row>
    <row r="1515" spans="1:65" s="13" customFormat="1" ht="11.25">
      <c r="B1515" s="194"/>
      <c r="C1515" s="195"/>
      <c r="D1515" s="196" t="s">
        <v>388</v>
      </c>
      <c r="E1515" s="197" t="s">
        <v>19</v>
      </c>
      <c r="F1515" s="198" t="s">
        <v>2232</v>
      </c>
      <c r="G1515" s="195"/>
      <c r="H1515" s="197" t="s">
        <v>19</v>
      </c>
      <c r="I1515" s="199"/>
      <c r="J1515" s="195"/>
      <c r="K1515" s="195"/>
      <c r="L1515" s="200"/>
      <c r="M1515" s="201"/>
      <c r="N1515" s="202"/>
      <c r="O1515" s="202"/>
      <c r="P1515" s="202"/>
      <c r="Q1515" s="202"/>
      <c r="R1515" s="202"/>
      <c r="S1515" s="202"/>
      <c r="T1515" s="203"/>
      <c r="AT1515" s="204" t="s">
        <v>388</v>
      </c>
      <c r="AU1515" s="204" t="s">
        <v>82</v>
      </c>
      <c r="AV1515" s="13" t="s">
        <v>79</v>
      </c>
      <c r="AW1515" s="13" t="s">
        <v>33</v>
      </c>
      <c r="AX1515" s="13" t="s">
        <v>72</v>
      </c>
      <c r="AY1515" s="204" t="s">
        <v>380</v>
      </c>
    </row>
    <row r="1516" spans="1:65" s="14" customFormat="1" ht="11.25">
      <c r="B1516" s="205"/>
      <c r="C1516" s="206"/>
      <c r="D1516" s="196" t="s">
        <v>388</v>
      </c>
      <c r="E1516" s="207" t="s">
        <v>19</v>
      </c>
      <c r="F1516" s="208" t="s">
        <v>279</v>
      </c>
      <c r="G1516" s="206"/>
      <c r="H1516" s="209">
        <v>712.7</v>
      </c>
      <c r="I1516" s="210"/>
      <c r="J1516" s="206"/>
      <c r="K1516" s="206"/>
      <c r="L1516" s="211"/>
      <c r="M1516" s="212"/>
      <c r="N1516" s="213"/>
      <c r="O1516" s="213"/>
      <c r="P1516" s="213"/>
      <c r="Q1516" s="213"/>
      <c r="R1516" s="213"/>
      <c r="S1516" s="213"/>
      <c r="T1516" s="214"/>
      <c r="AT1516" s="215" t="s">
        <v>388</v>
      </c>
      <c r="AU1516" s="215" t="s">
        <v>82</v>
      </c>
      <c r="AV1516" s="14" t="s">
        <v>82</v>
      </c>
      <c r="AW1516" s="14" t="s">
        <v>33</v>
      </c>
      <c r="AX1516" s="14" t="s">
        <v>72</v>
      </c>
      <c r="AY1516" s="215" t="s">
        <v>380</v>
      </c>
    </row>
    <row r="1517" spans="1:65" s="16" customFormat="1" ht="11.25">
      <c r="B1517" s="237"/>
      <c r="C1517" s="238"/>
      <c r="D1517" s="196" t="s">
        <v>388</v>
      </c>
      <c r="E1517" s="239" t="s">
        <v>278</v>
      </c>
      <c r="F1517" s="240" t="s">
        <v>572</v>
      </c>
      <c r="G1517" s="238"/>
      <c r="H1517" s="241">
        <v>712.7</v>
      </c>
      <c r="I1517" s="242"/>
      <c r="J1517" s="238"/>
      <c r="K1517" s="238"/>
      <c r="L1517" s="243"/>
      <c r="M1517" s="244"/>
      <c r="N1517" s="245"/>
      <c r="O1517" s="245"/>
      <c r="P1517" s="245"/>
      <c r="Q1517" s="245"/>
      <c r="R1517" s="245"/>
      <c r="S1517" s="245"/>
      <c r="T1517" s="246"/>
      <c r="AT1517" s="247" t="s">
        <v>388</v>
      </c>
      <c r="AU1517" s="247" t="s">
        <v>82</v>
      </c>
      <c r="AV1517" s="16" t="s">
        <v>99</v>
      </c>
      <c r="AW1517" s="16" t="s">
        <v>33</v>
      </c>
      <c r="AX1517" s="16" t="s">
        <v>72</v>
      </c>
      <c r="AY1517" s="247" t="s">
        <v>380</v>
      </c>
    </row>
    <row r="1518" spans="1:65" s="13" customFormat="1" ht="11.25">
      <c r="B1518" s="194"/>
      <c r="C1518" s="195"/>
      <c r="D1518" s="196" t="s">
        <v>388</v>
      </c>
      <c r="E1518" s="197" t="s">
        <v>19</v>
      </c>
      <c r="F1518" s="198" t="s">
        <v>2233</v>
      </c>
      <c r="G1518" s="195"/>
      <c r="H1518" s="197" t="s">
        <v>19</v>
      </c>
      <c r="I1518" s="199"/>
      <c r="J1518" s="195"/>
      <c r="K1518" s="195"/>
      <c r="L1518" s="200"/>
      <c r="M1518" s="201"/>
      <c r="N1518" s="202"/>
      <c r="O1518" s="202"/>
      <c r="P1518" s="202"/>
      <c r="Q1518" s="202"/>
      <c r="R1518" s="202"/>
      <c r="S1518" s="202"/>
      <c r="T1518" s="203"/>
      <c r="AT1518" s="204" t="s">
        <v>388</v>
      </c>
      <c r="AU1518" s="204" t="s">
        <v>82</v>
      </c>
      <c r="AV1518" s="13" t="s">
        <v>79</v>
      </c>
      <c r="AW1518" s="13" t="s">
        <v>33</v>
      </c>
      <c r="AX1518" s="13" t="s">
        <v>72</v>
      </c>
      <c r="AY1518" s="204" t="s">
        <v>380</v>
      </c>
    </row>
    <row r="1519" spans="1:65" s="14" customFormat="1" ht="11.25">
      <c r="B1519" s="205"/>
      <c r="C1519" s="206"/>
      <c r="D1519" s="196" t="s">
        <v>388</v>
      </c>
      <c r="E1519" s="207" t="s">
        <v>19</v>
      </c>
      <c r="F1519" s="208" t="s">
        <v>287</v>
      </c>
      <c r="G1519" s="206"/>
      <c r="H1519" s="209">
        <v>182.1</v>
      </c>
      <c r="I1519" s="210"/>
      <c r="J1519" s="206"/>
      <c r="K1519" s="206"/>
      <c r="L1519" s="211"/>
      <c r="M1519" s="212"/>
      <c r="N1519" s="213"/>
      <c r="O1519" s="213"/>
      <c r="P1519" s="213"/>
      <c r="Q1519" s="213"/>
      <c r="R1519" s="213"/>
      <c r="S1519" s="213"/>
      <c r="T1519" s="214"/>
      <c r="AT1519" s="215" t="s">
        <v>388</v>
      </c>
      <c r="AU1519" s="215" t="s">
        <v>82</v>
      </c>
      <c r="AV1519" s="14" t="s">
        <v>82</v>
      </c>
      <c r="AW1519" s="14" t="s">
        <v>33</v>
      </c>
      <c r="AX1519" s="14" t="s">
        <v>72</v>
      </c>
      <c r="AY1519" s="215" t="s">
        <v>380</v>
      </c>
    </row>
    <row r="1520" spans="1:65" s="16" customFormat="1" ht="11.25">
      <c r="B1520" s="237"/>
      <c r="C1520" s="238"/>
      <c r="D1520" s="196" t="s">
        <v>388</v>
      </c>
      <c r="E1520" s="239" t="s">
        <v>286</v>
      </c>
      <c r="F1520" s="240" t="s">
        <v>572</v>
      </c>
      <c r="G1520" s="238"/>
      <c r="H1520" s="241">
        <v>182.1</v>
      </c>
      <c r="I1520" s="242"/>
      <c r="J1520" s="238"/>
      <c r="K1520" s="238"/>
      <c r="L1520" s="243"/>
      <c r="M1520" s="244"/>
      <c r="N1520" s="245"/>
      <c r="O1520" s="245"/>
      <c r="P1520" s="245"/>
      <c r="Q1520" s="245"/>
      <c r="R1520" s="245"/>
      <c r="S1520" s="245"/>
      <c r="T1520" s="246"/>
      <c r="AT1520" s="247" t="s">
        <v>388</v>
      </c>
      <c r="AU1520" s="247" t="s">
        <v>82</v>
      </c>
      <c r="AV1520" s="16" t="s">
        <v>99</v>
      </c>
      <c r="AW1520" s="16" t="s">
        <v>33</v>
      </c>
      <c r="AX1520" s="16" t="s">
        <v>72</v>
      </c>
      <c r="AY1520" s="247" t="s">
        <v>380</v>
      </c>
    </row>
    <row r="1521" spans="1:65" s="13" customFormat="1" ht="11.25">
      <c r="B1521" s="194"/>
      <c r="C1521" s="195"/>
      <c r="D1521" s="196" t="s">
        <v>388</v>
      </c>
      <c r="E1521" s="197" t="s">
        <v>19</v>
      </c>
      <c r="F1521" s="198" t="s">
        <v>2234</v>
      </c>
      <c r="G1521" s="195"/>
      <c r="H1521" s="197" t="s">
        <v>19</v>
      </c>
      <c r="I1521" s="199"/>
      <c r="J1521" s="195"/>
      <c r="K1521" s="195"/>
      <c r="L1521" s="200"/>
      <c r="M1521" s="201"/>
      <c r="N1521" s="202"/>
      <c r="O1521" s="202"/>
      <c r="P1521" s="202"/>
      <c r="Q1521" s="202"/>
      <c r="R1521" s="202"/>
      <c r="S1521" s="202"/>
      <c r="T1521" s="203"/>
      <c r="AT1521" s="204" t="s">
        <v>388</v>
      </c>
      <c r="AU1521" s="204" t="s">
        <v>82</v>
      </c>
      <c r="AV1521" s="13" t="s">
        <v>79</v>
      </c>
      <c r="AW1521" s="13" t="s">
        <v>33</v>
      </c>
      <c r="AX1521" s="13" t="s">
        <v>72</v>
      </c>
      <c r="AY1521" s="204" t="s">
        <v>380</v>
      </c>
    </row>
    <row r="1522" spans="1:65" s="14" customFormat="1" ht="11.25">
      <c r="B1522" s="205"/>
      <c r="C1522" s="206"/>
      <c r="D1522" s="196" t="s">
        <v>388</v>
      </c>
      <c r="E1522" s="207" t="s">
        <v>19</v>
      </c>
      <c r="F1522" s="208" t="s">
        <v>293</v>
      </c>
      <c r="G1522" s="206"/>
      <c r="H1522" s="209">
        <v>841.1</v>
      </c>
      <c r="I1522" s="210"/>
      <c r="J1522" s="206"/>
      <c r="K1522" s="206"/>
      <c r="L1522" s="211"/>
      <c r="M1522" s="212"/>
      <c r="N1522" s="213"/>
      <c r="O1522" s="213"/>
      <c r="P1522" s="213"/>
      <c r="Q1522" s="213"/>
      <c r="R1522" s="213"/>
      <c r="S1522" s="213"/>
      <c r="T1522" s="214"/>
      <c r="AT1522" s="215" t="s">
        <v>388</v>
      </c>
      <c r="AU1522" s="215" t="s">
        <v>82</v>
      </c>
      <c r="AV1522" s="14" t="s">
        <v>82</v>
      </c>
      <c r="AW1522" s="14" t="s">
        <v>33</v>
      </c>
      <c r="AX1522" s="14" t="s">
        <v>72</v>
      </c>
      <c r="AY1522" s="215" t="s">
        <v>380</v>
      </c>
    </row>
    <row r="1523" spans="1:65" s="16" customFormat="1" ht="11.25">
      <c r="B1523" s="237"/>
      <c r="C1523" s="238"/>
      <c r="D1523" s="196" t="s">
        <v>388</v>
      </c>
      <c r="E1523" s="239" t="s">
        <v>292</v>
      </c>
      <c r="F1523" s="240" t="s">
        <v>572</v>
      </c>
      <c r="G1523" s="238"/>
      <c r="H1523" s="241">
        <v>841.1</v>
      </c>
      <c r="I1523" s="242"/>
      <c r="J1523" s="238"/>
      <c r="K1523" s="238"/>
      <c r="L1523" s="243"/>
      <c r="M1523" s="244"/>
      <c r="N1523" s="245"/>
      <c r="O1523" s="245"/>
      <c r="P1523" s="245"/>
      <c r="Q1523" s="245"/>
      <c r="R1523" s="245"/>
      <c r="S1523" s="245"/>
      <c r="T1523" s="246"/>
      <c r="AT1523" s="247" t="s">
        <v>388</v>
      </c>
      <c r="AU1523" s="247" t="s">
        <v>82</v>
      </c>
      <c r="AV1523" s="16" t="s">
        <v>99</v>
      </c>
      <c r="AW1523" s="16" t="s">
        <v>33</v>
      </c>
      <c r="AX1523" s="16" t="s">
        <v>72</v>
      </c>
      <c r="AY1523" s="247" t="s">
        <v>380</v>
      </c>
    </row>
    <row r="1524" spans="1:65" s="13" customFormat="1" ht="11.25">
      <c r="B1524" s="194"/>
      <c r="C1524" s="195"/>
      <c r="D1524" s="196" t="s">
        <v>388</v>
      </c>
      <c r="E1524" s="197" t="s">
        <v>19</v>
      </c>
      <c r="F1524" s="198" t="s">
        <v>2235</v>
      </c>
      <c r="G1524" s="195"/>
      <c r="H1524" s="197" t="s">
        <v>19</v>
      </c>
      <c r="I1524" s="199"/>
      <c r="J1524" s="195"/>
      <c r="K1524" s="195"/>
      <c r="L1524" s="200"/>
      <c r="M1524" s="201"/>
      <c r="N1524" s="202"/>
      <c r="O1524" s="202"/>
      <c r="P1524" s="202"/>
      <c r="Q1524" s="202"/>
      <c r="R1524" s="202"/>
      <c r="S1524" s="202"/>
      <c r="T1524" s="203"/>
      <c r="AT1524" s="204" t="s">
        <v>388</v>
      </c>
      <c r="AU1524" s="204" t="s">
        <v>82</v>
      </c>
      <c r="AV1524" s="13" t="s">
        <v>79</v>
      </c>
      <c r="AW1524" s="13" t="s">
        <v>33</v>
      </c>
      <c r="AX1524" s="13" t="s">
        <v>72</v>
      </c>
      <c r="AY1524" s="204" t="s">
        <v>380</v>
      </c>
    </row>
    <row r="1525" spans="1:65" s="14" customFormat="1" ht="11.25">
      <c r="B1525" s="205"/>
      <c r="C1525" s="206"/>
      <c r="D1525" s="196" t="s">
        <v>388</v>
      </c>
      <c r="E1525" s="207" t="s">
        <v>19</v>
      </c>
      <c r="F1525" s="208" t="s">
        <v>299</v>
      </c>
      <c r="G1525" s="206"/>
      <c r="H1525" s="209">
        <v>228.9</v>
      </c>
      <c r="I1525" s="210"/>
      <c r="J1525" s="206"/>
      <c r="K1525" s="206"/>
      <c r="L1525" s="211"/>
      <c r="M1525" s="212"/>
      <c r="N1525" s="213"/>
      <c r="O1525" s="213"/>
      <c r="P1525" s="213"/>
      <c r="Q1525" s="213"/>
      <c r="R1525" s="213"/>
      <c r="S1525" s="213"/>
      <c r="T1525" s="214"/>
      <c r="AT1525" s="215" t="s">
        <v>388</v>
      </c>
      <c r="AU1525" s="215" t="s">
        <v>82</v>
      </c>
      <c r="AV1525" s="14" t="s">
        <v>82</v>
      </c>
      <c r="AW1525" s="14" t="s">
        <v>33</v>
      </c>
      <c r="AX1525" s="14" t="s">
        <v>72</v>
      </c>
      <c r="AY1525" s="215" t="s">
        <v>380</v>
      </c>
    </row>
    <row r="1526" spans="1:65" s="16" customFormat="1" ht="11.25">
      <c r="B1526" s="237"/>
      <c r="C1526" s="238"/>
      <c r="D1526" s="196" t="s">
        <v>388</v>
      </c>
      <c r="E1526" s="239" t="s">
        <v>298</v>
      </c>
      <c r="F1526" s="240" t="s">
        <v>572</v>
      </c>
      <c r="G1526" s="238"/>
      <c r="H1526" s="241">
        <v>228.9</v>
      </c>
      <c r="I1526" s="242"/>
      <c r="J1526" s="238"/>
      <c r="K1526" s="238"/>
      <c r="L1526" s="243"/>
      <c r="M1526" s="244"/>
      <c r="N1526" s="245"/>
      <c r="O1526" s="245"/>
      <c r="P1526" s="245"/>
      <c r="Q1526" s="245"/>
      <c r="R1526" s="245"/>
      <c r="S1526" s="245"/>
      <c r="T1526" s="246"/>
      <c r="AT1526" s="247" t="s">
        <v>388</v>
      </c>
      <c r="AU1526" s="247" t="s">
        <v>82</v>
      </c>
      <c r="AV1526" s="16" t="s">
        <v>99</v>
      </c>
      <c r="AW1526" s="16" t="s">
        <v>33</v>
      </c>
      <c r="AX1526" s="16" t="s">
        <v>72</v>
      </c>
      <c r="AY1526" s="247" t="s">
        <v>380</v>
      </c>
    </row>
    <row r="1527" spans="1:65" s="13" customFormat="1" ht="11.25">
      <c r="B1527" s="194"/>
      <c r="C1527" s="195"/>
      <c r="D1527" s="196" t="s">
        <v>388</v>
      </c>
      <c r="E1527" s="197" t="s">
        <v>19</v>
      </c>
      <c r="F1527" s="198" t="s">
        <v>2236</v>
      </c>
      <c r="G1527" s="195"/>
      <c r="H1527" s="197" t="s">
        <v>19</v>
      </c>
      <c r="I1527" s="199"/>
      <c r="J1527" s="195"/>
      <c r="K1527" s="195"/>
      <c r="L1527" s="200"/>
      <c r="M1527" s="201"/>
      <c r="N1527" s="202"/>
      <c r="O1527" s="202"/>
      <c r="P1527" s="202"/>
      <c r="Q1527" s="202"/>
      <c r="R1527" s="202"/>
      <c r="S1527" s="202"/>
      <c r="T1527" s="203"/>
      <c r="AT1527" s="204" t="s">
        <v>388</v>
      </c>
      <c r="AU1527" s="204" t="s">
        <v>82</v>
      </c>
      <c r="AV1527" s="13" t="s">
        <v>79</v>
      </c>
      <c r="AW1527" s="13" t="s">
        <v>33</v>
      </c>
      <c r="AX1527" s="13" t="s">
        <v>72</v>
      </c>
      <c r="AY1527" s="204" t="s">
        <v>380</v>
      </c>
    </row>
    <row r="1528" spans="1:65" s="14" customFormat="1" ht="11.25">
      <c r="B1528" s="205"/>
      <c r="C1528" s="206"/>
      <c r="D1528" s="196" t="s">
        <v>388</v>
      </c>
      <c r="E1528" s="207" t="s">
        <v>19</v>
      </c>
      <c r="F1528" s="208" t="s">
        <v>2237</v>
      </c>
      <c r="G1528" s="206"/>
      <c r="H1528" s="209">
        <v>94.15</v>
      </c>
      <c r="I1528" s="210"/>
      <c r="J1528" s="206"/>
      <c r="K1528" s="206"/>
      <c r="L1528" s="211"/>
      <c r="M1528" s="212"/>
      <c r="N1528" s="213"/>
      <c r="O1528" s="213"/>
      <c r="P1528" s="213"/>
      <c r="Q1528" s="213"/>
      <c r="R1528" s="213"/>
      <c r="S1528" s="213"/>
      <c r="T1528" s="214"/>
      <c r="AT1528" s="215" t="s">
        <v>388</v>
      </c>
      <c r="AU1528" s="215" t="s">
        <v>82</v>
      </c>
      <c r="AV1528" s="14" t="s">
        <v>82</v>
      </c>
      <c r="AW1528" s="14" t="s">
        <v>33</v>
      </c>
      <c r="AX1528" s="14" t="s">
        <v>72</v>
      </c>
      <c r="AY1528" s="215" t="s">
        <v>380</v>
      </c>
    </row>
    <row r="1529" spans="1:65" s="16" customFormat="1" ht="11.25">
      <c r="B1529" s="237"/>
      <c r="C1529" s="238"/>
      <c r="D1529" s="196" t="s">
        <v>388</v>
      </c>
      <c r="E1529" s="239" t="s">
        <v>19</v>
      </c>
      <c r="F1529" s="240" t="s">
        <v>572</v>
      </c>
      <c r="G1529" s="238"/>
      <c r="H1529" s="241">
        <v>94.15</v>
      </c>
      <c r="I1529" s="242"/>
      <c r="J1529" s="238"/>
      <c r="K1529" s="238"/>
      <c r="L1529" s="243"/>
      <c r="M1529" s="244"/>
      <c r="N1529" s="245"/>
      <c r="O1529" s="245"/>
      <c r="P1529" s="245"/>
      <c r="Q1529" s="245"/>
      <c r="R1529" s="245"/>
      <c r="S1529" s="245"/>
      <c r="T1529" s="246"/>
      <c r="AT1529" s="247" t="s">
        <v>388</v>
      </c>
      <c r="AU1529" s="247" t="s">
        <v>82</v>
      </c>
      <c r="AV1529" s="16" t="s">
        <v>99</v>
      </c>
      <c r="AW1529" s="16" t="s">
        <v>33</v>
      </c>
      <c r="AX1529" s="16" t="s">
        <v>72</v>
      </c>
      <c r="AY1529" s="247" t="s">
        <v>380</v>
      </c>
    </row>
    <row r="1530" spans="1:65" s="15" customFormat="1" ht="11.25">
      <c r="B1530" s="216"/>
      <c r="C1530" s="217"/>
      <c r="D1530" s="196" t="s">
        <v>388</v>
      </c>
      <c r="E1530" s="218" t="s">
        <v>19</v>
      </c>
      <c r="F1530" s="219" t="s">
        <v>419</v>
      </c>
      <c r="G1530" s="217"/>
      <c r="H1530" s="220">
        <v>2205.0500000000002</v>
      </c>
      <c r="I1530" s="221"/>
      <c r="J1530" s="217"/>
      <c r="K1530" s="217"/>
      <c r="L1530" s="222"/>
      <c r="M1530" s="223"/>
      <c r="N1530" s="224"/>
      <c r="O1530" s="224"/>
      <c r="P1530" s="224"/>
      <c r="Q1530" s="224"/>
      <c r="R1530" s="224"/>
      <c r="S1530" s="224"/>
      <c r="T1530" s="225"/>
      <c r="AT1530" s="226" t="s">
        <v>388</v>
      </c>
      <c r="AU1530" s="226" t="s">
        <v>82</v>
      </c>
      <c r="AV1530" s="15" t="s">
        <v>386</v>
      </c>
      <c r="AW1530" s="15" t="s">
        <v>33</v>
      </c>
      <c r="AX1530" s="15" t="s">
        <v>79</v>
      </c>
      <c r="AY1530" s="226" t="s">
        <v>380</v>
      </c>
    </row>
    <row r="1531" spans="1:65" s="2" customFormat="1" ht="24.2" customHeight="1">
      <c r="A1531" s="36"/>
      <c r="B1531" s="37"/>
      <c r="C1531" s="181" t="s">
        <v>2238</v>
      </c>
      <c r="D1531" s="181" t="s">
        <v>382</v>
      </c>
      <c r="E1531" s="182" t="s">
        <v>2239</v>
      </c>
      <c r="F1531" s="183" t="s">
        <v>2240</v>
      </c>
      <c r="G1531" s="184" t="s">
        <v>398</v>
      </c>
      <c r="H1531" s="185">
        <v>802.16</v>
      </c>
      <c r="I1531" s="186"/>
      <c r="J1531" s="187">
        <f>ROUND(I1531*H1531,2)</f>
        <v>0</v>
      </c>
      <c r="K1531" s="183" t="s">
        <v>19</v>
      </c>
      <c r="L1531" s="41"/>
      <c r="M1531" s="188" t="s">
        <v>19</v>
      </c>
      <c r="N1531" s="189" t="s">
        <v>43</v>
      </c>
      <c r="O1531" s="66"/>
      <c r="P1531" s="190">
        <f>O1531*H1531</f>
        <v>0</v>
      </c>
      <c r="Q1531" s="190">
        <v>4.7999999999999996E-3</v>
      </c>
      <c r="R1531" s="190">
        <f>Q1531*H1531</f>
        <v>3.8503679999999996</v>
      </c>
      <c r="S1531" s="190">
        <v>0</v>
      </c>
      <c r="T1531" s="191">
        <f>S1531*H1531</f>
        <v>0</v>
      </c>
      <c r="U1531" s="36"/>
      <c r="V1531" s="36"/>
      <c r="W1531" s="36"/>
      <c r="X1531" s="36"/>
      <c r="Y1531" s="36"/>
      <c r="Z1531" s="36"/>
      <c r="AA1531" s="36"/>
      <c r="AB1531" s="36"/>
      <c r="AC1531" s="36"/>
      <c r="AD1531" s="36"/>
      <c r="AE1531" s="36"/>
      <c r="AR1531" s="192" t="s">
        <v>281</v>
      </c>
      <c r="AT1531" s="192" t="s">
        <v>382</v>
      </c>
      <c r="AU1531" s="192" t="s">
        <v>82</v>
      </c>
      <c r="AY1531" s="19" t="s">
        <v>380</v>
      </c>
      <c r="BE1531" s="193">
        <f>IF(N1531="základní",J1531,0)</f>
        <v>0</v>
      </c>
      <c r="BF1531" s="193">
        <f>IF(N1531="snížená",J1531,0)</f>
        <v>0</v>
      </c>
      <c r="BG1531" s="193">
        <f>IF(N1531="zákl. přenesená",J1531,0)</f>
        <v>0</v>
      </c>
      <c r="BH1531" s="193">
        <f>IF(N1531="sníž. přenesená",J1531,0)</f>
        <v>0</v>
      </c>
      <c r="BI1531" s="193">
        <f>IF(N1531="nulová",J1531,0)</f>
        <v>0</v>
      </c>
      <c r="BJ1531" s="19" t="s">
        <v>79</v>
      </c>
      <c r="BK1531" s="193">
        <f>ROUND(I1531*H1531,2)</f>
        <v>0</v>
      </c>
      <c r="BL1531" s="19" t="s">
        <v>281</v>
      </c>
      <c r="BM1531" s="192" t="s">
        <v>2241</v>
      </c>
    </row>
    <row r="1532" spans="1:65" s="13" customFormat="1" ht="11.25">
      <c r="B1532" s="194"/>
      <c r="C1532" s="195"/>
      <c r="D1532" s="196" t="s">
        <v>388</v>
      </c>
      <c r="E1532" s="197" t="s">
        <v>19</v>
      </c>
      <c r="F1532" s="198" t="s">
        <v>1058</v>
      </c>
      <c r="G1532" s="195"/>
      <c r="H1532" s="197" t="s">
        <v>19</v>
      </c>
      <c r="I1532" s="199"/>
      <c r="J1532" s="195"/>
      <c r="K1532" s="195"/>
      <c r="L1532" s="200"/>
      <c r="M1532" s="201"/>
      <c r="N1532" s="202"/>
      <c r="O1532" s="202"/>
      <c r="P1532" s="202"/>
      <c r="Q1532" s="202"/>
      <c r="R1532" s="202"/>
      <c r="S1532" s="202"/>
      <c r="T1532" s="203"/>
      <c r="AT1532" s="204" t="s">
        <v>388</v>
      </c>
      <c r="AU1532" s="204" t="s">
        <v>82</v>
      </c>
      <c r="AV1532" s="13" t="s">
        <v>79</v>
      </c>
      <c r="AW1532" s="13" t="s">
        <v>33</v>
      </c>
      <c r="AX1532" s="13" t="s">
        <v>72</v>
      </c>
      <c r="AY1532" s="204" t="s">
        <v>380</v>
      </c>
    </row>
    <row r="1533" spans="1:65" s="13" customFormat="1" ht="11.25">
      <c r="B1533" s="194"/>
      <c r="C1533" s="195"/>
      <c r="D1533" s="196" t="s">
        <v>388</v>
      </c>
      <c r="E1533" s="197" t="s">
        <v>19</v>
      </c>
      <c r="F1533" s="198" t="s">
        <v>2242</v>
      </c>
      <c r="G1533" s="195"/>
      <c r="H1533" s="197" t="s">
        <v>19</v>
      </c>
      <c r="I1533" s="199"/>
      <c r="J1533" s="195"/>
      <c r="K1533" s="195"/>
      <c r="L1533" s="200"/>
      <c r="M1533" s="201"/>
      <c r="N1533" s="202"/>
      <c r="O1533" s="202"/>
      <c r="P1533" s="202"/>
      <c r="Q1533" s="202"/>
      <c r="R1533" s="202"/>
      <c r="S1533" s="202"/>
      <c r="T1533" s="203"/>
      <c r="AT1533" s="204" t="s">
        <v>388</v>
      </c>
      <c r="AU1533" s="204" t="s">
        <v>82</v>
      </c>
      <c r="AV1533" s="13" t="s">
        <v>79</v>
      </c>
      <c r="AW1533" s="13" t="s">
        <v>33</v>
      </c>
      <c r="AX1533" s="13" t="s">
        <v>72</v>
      </c>
      <c r="AY1533" s="204" t="s">
        <v>380</v>
      </c>
    </row>
    <row r="1534" spans="1:65" s="14" customFormat="1" ht="11.25">
      <c r="B1534" s="205"/>
      <c r="C1534" s="206"/>
      <c r="D1534" s="196" t="s">
        <v>388</v>
      </c>
      <c r="E1534" s="207" t="s">
        <v>19</v>
      </c>
      <c r="F1534" s="208" t="s">
        <v>277</v>
      </c>
      <c r="G1534" s="206"/>
      <c r="H1534" s="209">
        <v>110.3</v>
      </c>
      <c r="I1534" s="210"/>
      <c r="J1534" s="206"/>
      <c r="K1534" s="206"/>
      <c r="L1534" s="211"/>
      <c r="M1534" s="212"/>
      <c r="N1534" s="213"/>
      <c r="O1534" s="213"/>
      <c r="P1534" s="213"/>
      <c r="Q1534" s="213"/>
      <c r="R1534" s="213"/>
      <c r="S1534" s="213"/>
      <c r="T1534" s="214"/>
      <c r="AT1534" s="215" t="s">
        <v>388</v>
      </c>
      <c r="AU1534" s="215" t="s">
        <v>82</v>
      </c>
      <c r="AV1534" s="14" t="s">
        <v>82</v>
      </c>
      <c r="AW1534" s="14" t="s">
        <v>33</v>
      </c>
      <c r="AX1534" s="14" t="s">
        <v>72</v>
      </c>
      <c r="AY1534" s="215" t="s">
        <v>380</v>
      </c>
    </row>
    <row r="1535" spans="1:65" s="16" customFormat="1" ht="11.25">
      <c r="B1535" s="237"/>
      <c r="C1535" s="238"/>
      <c r="D1535" s="196" t="s">
        <v>388</v>
      </c>
      <c r="E1535" s="239" t="s">
        <v>276</v>
      </c>
      <c r="F1535" s="240" t="s">
        <v>572</v>
      </c>
      <c r="G1535" s="238"/>
      <c r="H1535" s="241">
        <v>110.3</v>
      </c>
      <c r="I1535" s="242"/>
      <c r="J1535" s="238"/>
      <c r="K1535" s="238"/>
      <c r="L1535" s="243"/>
      <c r="M1535" s="244"/>
      <c r="N1535" s="245"/>
      <c r="O1535" s="245"/>
      <c r="P1535" s="245"/>
      <c r="Q1535" s="245"/>
      <c r="R1535" s="245"/>
      <c r="S1535" s="245"/>
      <c r="T1535" s="246"/>
      <c r="AT1535" s="247" t="s">
        <v>388</v>
      </c>
      <c r="AU1535" s="247" t="s">
        <v>82</v>
      </c>
      <c r="AV1535" s="16" t="s">
        <v>99</v>
      </c>
      <c r="AW1535" s="16" t="s">
        <v>33</v>
      </c>
      <c r="AX1535" s="16" t="s">
        <v>72</v>
      </c>
      <c r="AY1535" s="247" t="s">
        <v>380</v>
      </c>
    </row>
    <row r="1536" spans="1:65" s="13" customFormat="1" ht="11.25">
      <c r="B1536" s="194"/>
      <c r="C1536" s="195"/>
      <c r="D1536" s="196" t="s">
        <v>388</v>
      </c>
      <c r="E1536" s="197" t="s">
        <v>19</v>
      </c>
      <c r="F1536" s="198" t="s">
        <v>2243</v>
      </c>
      <c r="G1536" s="195"/>
      <c r="H1536" s="197" t="s">
        <v>19</v>
      </c>
      <c r="I1536" s="199"/>
      <c r="J1536" s="195"/>
      <c r="K1536" s="195"/>
      <c r="L1536" s="200"/>
      <c r="M1536" s="201"/>
      <c r="N1536" s="202"/>
      <c r="O1536" s="202"/>
      <c r="P1536" s="202"/>
      <c r="Q1536" s="202"/>
      <c r="R1536" s="202"/>
      <c r="S1536" s="202"/>
      <c r="T1536" s="203"/>
      <c r="AT1536" s="204" t="s">
        <v>388</v>
      </c>
      <c r="AU1536" s="204" t="s">
        <v>82</v>
      </c>
      <c r="AV1536" s="13" t="s">
        <v>79</v>
      </c>
      <c r="AW1536" s="13" t="s">
        <v>33</v>
      </c>
      <c r="AX1536" s="13" t="s">
        <v>72</v>
      </c>
      <c r="AY1536" s="204" t="s">
        <v>380</v>
      </c>
    </row>
    <row r="1537" spans="1:65" s="14" customFormat="1" ht="11.25">
      <c r="B1537" s="205"/>
      <c r="C1537" s="206"/>
      <c r="D1537" s="196" t="s">
        <v>388</v>
      </c>
      <c r="E1537" s="207" t="s">
        <v>19</v>
      </c>
      <c r="F1537" s="208" t="s">
        <v>290</v>
      </c>
      <c r="G1537" s="206"/>
      <c r="H1537" s="209">
        <v>661.6</v>
      </c>
      <c r="I1537" s="210"/>
      <c r="J1537" s="206"/>
      <c r="K1537" s="206"/>
      <c r="L1537" s="211"/>
      <c r="M1537" s="212"/>
      <c r="N1537" s="213"/>
      <c r="O1537" s="213"/>
      <c r="P1537" s="213"/>
      <c r="Q1537" s="213"/>
      <c r="R1537" s="213"/>
      <c r="S1537" s="213"/>
      <c r="T1537" s="214"/>
      <c r="AT1537" s="215" t="s">
        <v>388</v>
      </c>
      <c r="AU1537" s="215" t="s">
        <v>82</v>
      </c>
      <c r="AV1537" s="14" t="s">
        <v>82</v>
      </c>
      <c r="AW1537" s="14" t="s">
        <v>33</v>
      </c>
      <c r="AX1537" s="14" t="s">
        <v>72</v>
      </c>
      <c r="AY1537" s="215" t="s">
        <v>380</v>
      </c>
    </row>
    <row r="1538" spans="1:65" s="16" customFormat="1" ht="11.25">
      <c r="B1538" s="237"/>
      <c r="C1538" s="238"/>
      <c r="D1538" s="196" t="s">
        <v>388</v>
      </c>
      <c r="E1538" s="239" t="s">
        <v>289</v>
      </c>
      <c r="F1538" s="240" t="s">
        <v>572</v>
      </c>
      <c r="G1538" s="238"/>
      <c r="H1538" s="241">
        <v>661.6</v>
      </c>
      <c r="I1538" s="242"/>
      <c r="J1538" s="238"/>
      <c r="K1538" s="238"/>
      <c r="L1538" s="243"/>
      <c r="M1538" s="244"/>
      <c r="N1538" s="245"/>
      <c r="O1538" s="245"/>
      <c r="P1538" s="245"/>
      <c r="Q1538" s="245"/>
      <c r="R1538" s="245"/>
      <c r="S1538" s="245"/>
      <c r="T1538" s="246"/>
      <c r="AT1538" s="247" t="s">
        <v>388</v>
      </c>
      <c r="AU1538" s="247" t="s">
        <v>82</v>
      </c>
      <c r="AV1538" s="16" t="s">
        <v>99</v>
      </c>
      <c r="AW1538" s="16" t="s">
        <v>33</v>
      </c>
      <c r="AX1538" s="16" t="s">
        <v>72</v>
      </c>
      <c r="AY1538" s="247" t="s">
        <v>380</v>
      </c>
    </row>
    <row r="1539" spans="1:65" s="13" customFormat="1" ht="11.25">
      <c r="B1539" s="194"/>
      <c r="C1539" s="195"/>
      <c r="D1539" s="196" t="s">
        <v>388</v>
      </c>
      <c r="E1539" s="197" t="s">
        <v>19</v>
      </c>
      <c r="F1539" s="198" t="s">
        <v>2236</v>
      </c>
      <c r="G1539" s="195"/>
      <c r="H1539" s="197" t="s">
        <v>19</v>
      </c>
      <c r="I1539" s="199"/>
      <c r="J1539" s="195"/>
      <c r="K1539" s="195"/>
      <c r="L1539" s="200"/>
      <c r="M1539" s="201"/>
      <c r="N1539" s="202"/>
      <c r="O1539" s="202"/>
      <c r="P1539" s="202"/>
      <c r="Q1539" s="202"/>
      <c r="R1539" s="202"/>
      <c r="S1539" s="202"/>
      <c r="T1539" s="203"/>
      <c r="AT1539" s="204" t="s">
        <v>388</v>
      </c>
      <c r="AU1539" s="204" t="s">
        <v>82</v>
      </c>
      <c r="AV1539" s="13" t="s">
        <v>79</v>
      </c>
      <c r="AW1539" s="13" t="s">
        <v>33</v>
      </c>
      <c r="AX1539" s="13" t="s">
        <v>72</v>
      </c>
      <c r="AY1539" s="204" t="s">
        <v>380</v>
      </c>
    </row>
    <row r="1540" spans="1:65" s="14" customFormat="1" ht="11.25">
      <c r="B1540" s="205"/>
      <c r="C1540" s="206"/>
      <c r="D1540" s="196" t="s">
        <v>388</v>
      </c>
      <c r="E1540" s="207" t="s">
        <v>19</v>
      </c>
      <c r="F1540" s="208" t="s">
        <v>2244</v>
      </c>
      <c r="G1540" s="206"/>
      <c r="H1540" s="209">
        <v>30.26</v>
      </c>
      <c r="I1540" s="210"/>
      <c r="J1540" s="206"/>
      <c r="K1540" s="206"/>
      <c r="L1540" s="211"/>
      <c r="M1540" s="212"/>
      <c r="N1540" s="213"/>
      <c r="O1540" s="213"/>
      <c r="P1540" s="213"/>
      <c r="Q1540" s="213"/>
      <c r="R1540" s="213"/>
      <c r="S1540" s="213"/>
      <c r="T1540" s="214"/>
      <c r="AT1540" s="215" t="s">
        <v>388</v>
      </c>
      <c r="AU1540" s="215" t="s">
        <v>82</v>
      </c>
      <c r="AV1540" s="14" t="s">
        <v>82</v>
      </c>
      <c r="AW1540" s="14" t="s">
        <v>33</v>
      </c>
      <c r="AX1540" s="14" t="s">
        <v>72</v>
      </c>
      <c r="AY1540" s="215" t="s">
        <v>380</v>
      </c>
    </row>
    <row r="1541" spans="1:65" s="16" customFormat="1" ht="11.25">
      <c r="B1541" s="237"/>
      <c r="C1541" s="238"/>
      <c r="D1541" s="196" t="s">
        <v>388</v>
      </c>
      <c r="E1541" s="239" t="s">
        <v>19</v>
      </c>
      <c r="F1541" s="240" t="s">
        <v>572</v>
      </c>
      <c r="G1541" s="238"/>
      <c r="H1541" s="241">
        <v>30.26</v>
      </c>
      <c r="I1541" s="242"/>
      <c r="J1541" s="238"/>
      <c r="K1541" s="238"/>
      <c r="L1541" s="243"/>
      <c r="M1541" s="244"/>
      <c r="N1541" s="245"/>
      <c r="O1541" s="245"/>
      <c r="P1541" s="245"/>
      <c r="Q1541" s="245"/>
      <c r="R1541" s="245"/>
      <c r="S1541" s="245"/>
      <c r="T1541" s="246"/>
      <c r="AT1541" s="247" t="s">
        <v>388</v>
      </c>
      <c r="AU1541" s="247" t="s">
        <v>82</v>
      </c>
      <c r="AV1541" s="16" t="s">
        <v>99</v>
      </c>
      <c r="AW1541" s="16" t="s">
        <v>33</v>
      </c>
      <c r="AX1541" s="16" t="s">
        <v>72</v>
      </c>
      <c r="AY1541" s="247" t="s">
        <v>380</v>
      </c>
    </row>
    <row r="1542" spans="1:65" s="15" customFormat="1" ht="11.25">
      <c r="B1542" s="216"/>
      <c r="C1542" s="217"/>
      <c r="D1542" s="196" t="s">
        <v>388</v>
      </c>
      <c r="E1542" s="218" t="s">
        <v>19</v>
      </c>
      <c r="F1542" s="219" t="s">
        <v>419</v>
      </c>
      <c r="G1542" s="217"/>
      <c r="H1542" s="220">
        <v>802.16</v>
      </c>
      <c r="I1542" s="221"/>
      <c r="J1542" s="217"/>
      <c r="K1542" s="217"/>
      <c r="L1542" s="222"/>
      <c r="M1542" s="223"/>
      <c r="N1542" s="224"/>
      <c r="O1542" s="224"/>
      <c r="P1542" s="224"/>
      <c r="Q1542" s="224"/>
      <c r="R1542" s="224"/>
      <c r="S1542" s="224"/>
      <c r="T1542" s="225"/>
      <c r="AT1542" s="226" t="s">
        <v>388</v>
      </c>
      <c r="AU1542" s="226" t="s">
        <v>82</v>
      </c>
      <c r="AV1542" s="15" t="s">
        <v>386</v>
      </c>
      <c r="AW1542" s="15" t="s">
        <v>33</v>
      </c>
      <c r="AX1542" s="15" t="s">
        <v>79</v>
      </c>
      <c r="AY1542" s="226" t="s">
        <v>380</v>
      </c>
    </row>
    <row r="1543" spans="1:65" s="2" customFormat="1" ht="24.2" customHeight="1">
      <c r="A1543" s="36"/>
      <c r="B1543" s="37"/>
      <c r="C1543" s="181" t="s">
        <v>2245</v>
      </c>
      <c r="D1543" s="181" t="s">
        <v>382</v>
      </c>
      <c r="E1543" s="182" t="s">
        <v>2246</v>
      </c>
      <c r="F1543" s="183" t="s">
        <v>2247</v>
      </c>
      <c r="G1543" s="184" t="s">
        <v>398</v>
      </c>
      <c r="H1543" s="185">
        <v>340.95</v>
      </c>
      <c r="I1543" s="186"/>
      <c r="J1543" s="187">
        <f>ROUND(I1543*H1543,2)</f>
        <v>0</v>
      </c>
      <c r="K1543" s="183" t="s">
        <v>19</v>
      </c>
      <c r="L1543" s="41"/>
      <c r="M1543" s="188" t="s">
        <v>19</v>
      </c>
      <c r="N1543" s="189" t="s">
        <v>43</v>
      </c>
      <c r="O1543" s="66"/>
      <c r="P1543" s="190">
        <f>O1543*H1543</f>
        <v>0</v>
      </c>
      <c r="Q1543" s="190">
        <v>2.4000000000000001E-4</v>
      </c>
      <c r="R1543" s="190">
        <f>Q1543*H1543</f>
        <v>8.1827999999999998E-2</v>
      </c>
      <c r="S1543" s="190">
        <v>0</v>
      </c>
      <c r="T1543" s="191">
        <f>S1543*H1543</f>
        <v>0</v>
      </c>
      <c r="U1543" s="36"/>
      <c r="V1543" s="36"/>
      <c r="W1543" s="36"/>
      <c r="X1543" s="36"/>
      <c r="Y1543" s="36"/>
      <c r="Z1543" s="36"/>
      <c r="AA1543" s="36"/>
      <c r="AB1543" s="36"/>
      <c r="AC1543" s="36"/>
      <c r="AD1543" s="36"/>
      <c r="AE1543" s="36"/>
      <c r="AR1543" s="192" t="s">
        <v>281</v>
      </c>
      <c r="AT1543" s="192" t="s">
        <v>382</v>
      </c>
      <c r="AU1543" s="192" t="s">
        <v>82</v>
      </c>
      <c r="AY1543" s="19" t="s">
        <v>380</v>
      </c>
      <c r="BE1543" s="193">
        <f>IF(N1543="základní",J1543,0)</f>
        <v>0</v>
      </c>
      <c r="BF1543" s="193">
        <f>IF(N1543="snížená",J1543,0)</f>
        <v>0</v>
      </c>
      <c r="BG1543" s="193">
        <f>IF(N1543="zákl. přenesená",J1543,0)</f>
        <v>0</v>
      </c>
      <c r="BH1543" s="193">
        <f>IF(N1543="sníž. přenesená",J1543,0)</f>
        <v>0</v>
      </c>
      <c r="BI1543" s="193">
        <f>IF(N1543="nulová",J1543,0)</f>
        <v>0</v>
      </c>
      <c r="BJ1543" s="19" t="s">
        <v>79</v>
      </c>
      <c r="BK1543" s="193">
        <f>ROUND(I1543*H1543,2)</f>
        <v>0</v>
      </c>
      <c r="BL1543" s="19" t="s">
        <v>281</v>
      </c>
      <c r="BM1543" s="192" t="s">
        <v>2248</v>
      </c>
    </row>
    <row r="1544" spans="1:65" s="13" customFormat="1" ht="11.25">
      <c r="B1544" s="194"/>
      <c r="C1544" s="195"/>
      <c r="D1544" s="196" t="s">
        <v>388</v>
      </c>
      <c r="E1544" s="197" t="s">
        <v>19</v>
      </c>
      <c r="F1544" s="198" t="s">
        <v>1058</v>
      </c>
      <c r="G1544" s="195"/>
      <c r="H1544" s="197" t="s">
        <v>19</v>
      </c>
      <c r="I1544" s="199"/>
      <c r="J1544" s="195"/>
      <c r="K1544" s="195"/>
      <c r="L1544" s="200"/>
      <c r="M1544" s="201"/>
      <c r="N1544" s="202"/>
      <c r="O1544" s="202"/>
      <c r="P1544" s="202"/>
      <c r="Q1544" s="202"/>
      <c r="R1544" s="202"/>
      <c r="S1544" s="202"/>
      <c r="T1544" s="203"/>
      <c r="AT1544" s="204" t="s">
        <v>388</v>
      </c>
      <c r="AU1544" s="204" t="s">
        <v>82</v>
      </c>
      <c r="AV1544" s="13" t="s">
        <v>79</v>
      </c>
      <c r="AW1544" s="13" t="s">
        <v>33</v>
      </c>
      <c r="AX1544" s="13" t="s">
        <v>72</v>
      </c>
      <c r="AY1544" s="204" t="s">
        <v>380</v>
      </c>
    </row>
    <row r="1545" spans="1:65" s="13" customFormat="1" ht="11.25">
      <c r="B1545" s="194"/>
      <c r="C1545" s="195"/>
      <c r="D1545" s="196" t="s">
        <v>388</v>
      </c>
      <c r="E1545" s="197" t="s">
        <v>19</v>
      </c>
      <c r="F1545" s="198" t="s">
        <v>2249</v>
      </c>
      <c r="G1545" s="195"/>
      <c r="H1545" s="197" t="s">
        <v>19</v>
      </c>
      <c r="I1545" s="199"/>
      <c r="J1545" s="195"/>
      <c r="K1545" s="195"/>
      <c r="L1545" s="200"/>
      <c r="M1545" s="201"/>
      <c r="N1545" s="202"/>
      <c r="O1545" s="202"/>
      <c r="P1545" s="202"/>
      <c r="Q1545" s="202"/>
      <c r="R1545" s="202"/>
      <c r="S1545" s="202"/>
      <c r="T1545" s="203"/>
      <c r="AT1545" s="204" t="s">
        <v>388</v>
      </c>
      <c r="AU1545" s="204" t="s">
        <v>82</v>
      </c>
      <c r="AV1545" s="13" t="s">
        <v>79</v>
      </c>
      <c r="AW1545" s="13" t="s">
        <v>33</v>
      </c>
      <c r="AX1545" s="13" t="s">
        <v>72</v>
      </c>
      <c r="AY1545" s="204" t="s">
        <v>380</v>
      </c>
    </row>
    <row r="1546" spans="1:65" s="14" customFormat="1" ht="11.25">
      <c r="B1546" s="205"/>
      <c r="C1546" s="206"/>
      <c r="D1546" s="196" t="s">
        <v>388</v>
      </c>
      <c r="E1546" s="207" t="s">
        <v>19</v>
      </c>
      <c r="F1546" s="208" t="s">
        <v>2250</v>
      </c>
      <c r="G1546" s="206"/>
      <c r="H1546" s="209">
        <v>95.1</v>
      </c>
      <c r="I1546" s="210"/>
      <c r="J1546" s="206"/>
      <c r="K1546" s="206"/>
      <c r="L1546" s="211"/>
      <c r="M1546" s="212"/>
      <c r="N1546" s="213"/>
      <c r="O1546" s="213"/>
      <c r="P1546" s="213"/>
      <c r="Q1546" s="213"/>
      <c r="R1546" s="213"/>
      <c r="S1546" s="213"/>
      <c r="T1546" s="214"/>
      <c r="AT1546" s="215" t="s">
        <v>388</v>
      </c>
      <c r="AU1546" s="215" t="s">
        <v>82</v>
      </c>
      <c r="AV1546" s="14" t="s">
        <v>82</v>
      </c>
      <c r="AW1546" s="14" t="s">
        <v>33</v>
      </c>
      <c r="AX1546" s="14" t="s">
        <v>72</v>
      </c>
      <c r="AY1546" s="215" t="s">
        <v>380</v>
      </c>
    </row>
    <row r="1547" spans="1:65" s="16" customFormat="1" ht="11.25">
      <c r="B1547" s="237"/>
      <c r="C1547" s="238"/>
      <c r="D1547" s="196" t="s">
        <v>388</v>
      </c>
      <c r="E1547" s="239" t="s">
        <v>2251</v>
      </c>
      <c r="F1547" s="240" t="s">
        <v>572</v>
      </c>
      <c r="G1547" s="238"/>
      <c r="H1547" s="241">
        <v>95.1</v>
      </c>
      <c r="I1547" s="242"/>
      <c r="J1547" s="238"/>
      <c r="K1547" s="238"/>
      <c r="L1547" s="243"/>
      <c r="M1547" s="244"/>
      <c r="N1547" s="245"/>
      <c r="O1547" s="245"/>
      <c r="P1547" s="245"/>
      <c r="Q1547" s="245"/>
      <c r="R1547" s="245"/>
      <c r="S1547" s="245"/>
      <c r="T1547" s="246"/>
      <c r="AT1547" s="247" t="s">
        <v>388</v>
      </c>
      <c r="AU1547" s="247" t="s">
        <v>82</v>
      </c>
      <c r="AV1547" s="16" t="s">
        <v>99</v>
      </c>
      <c r="AW1547" s="16" t="s">
        <v>33</v>
      </c>
      <c r="AX1547" s="16" t="s">
        <v>72</v>
      </c>
      <c r="AY1547" s="247" t="s">
        <v>380</v>
      </c>
    </row>
    <row r="1548" spans="1:65" s="13" customFormat="1" ht="11.25">
      <c r="B1548" s="194"/>
      <c r="C1548" s="195"/>
      <c r="D1548" s="196" t="s">
        <v>388</v>
      </c>
      <c r="E1548" s="197" t="s">
        <v>19</v>
      </c>
      <c r="F1548" s="198" t="s">
        <v>2252</v>
      </c>
      <c r="G1548" s="195"/>
      <c r="H1548" s="197" t="s">
        <v>19</v>
      </c>
      <c r="I1548" s="199"/>
      <c r="J1548" s="195"/>
      <c r="K1548" s="195"/>
      <c r="L1548" s="200"/>
      <c r="M1548" s="201"/>
      <c r="N1548" s="202"/>
      <c r="O1548" s="202"/>
      <c r="P1548" s="202"/>
      <c r="Q1548" s="202"/>
      <c r="R1548" s="202"/>
      <c r="S1548" s="202"/>
      <c r="T1548" s="203"/>
      <c r="AT1548" s="204" t="s">
        <v>388</v>
      </c>
      <c r="AU1548" s="204" t="s">
        <v>82</v>
      </c>
      <c r="AV1548" s="13" t="s">
        <v>79</v>
      </c>
      <c r="AW1548" s="13" t="s">
        <v>33</v>
      </c>
      <c r="AX1548" s="13" t="s">
        <v>72</v>
      </c>
      <c r="AY1548" s="204" t="s">
        <v>380</v>
      </c>
    </row>
    <row r="1549" spans="1:65" s="14" customFormat="1" ht="11.25">
      <c r="B1549" s="205"/>
      <c r="C1549" s="206"/>
      <c r="D1549" s="196" t="s">
        <v>388</v>
      </c>
      <c r="E1549" s="207" t="s">
        <v>19</v>
      </c>
      <c r="F1549" s="208" t="s">
        <v>2253</v>
      </c>
      <c r="G1549" s="206"/>
      <c r="H1549" s="209">
        <v>19</v>
      </c>
      <c r="I1549" s="210"/>
      <c r="J1549" s="206"/>
      <c r="K1549" s="206"/>
      <c r="L1549" s="211"/>
      <c r="M1549" s="212"/>
      <c r="N1549" s="213"/>
      <c r="O1549" s="213"/>
      <c r="P1549" s="213"/>
      <c r="Q1549" s="213"/>
      <c r="R1549" s="213"/>
      <c r="S1549" s="213"/>
      <c r="T1549" s="214"/>
      <c r="AT1549" s="215" t="s">
        <v>388</v>
      </c>
      <c r="AU1549" s="215" t="s">
        <v>82</v>
      </c>
      <c r="AV1549" s="14" t="s">
        <v>82</v>
      </c>
      <c r="AW1549" s="14" t="s">
        <v>33</v>
      </c>
      <c r="AX1549" s="14" t="s">
        <v>72</v>
      </c>
      <c r="AY1549" s="215" t="s">
        <v>380</v>
      </c>
    </row>
    <row r="1550" spans="1:65" s="16" customFormat="1" ht="11.25">
      <c r="B1550" s="237"/>
      <c r="C1550" s="238"/>
      <c r="D1550" s="196" t="s">
        <v>388</v>
      </c>
      <c r="E1550" s="239" t="s">
        <v>283</v>
      </c>
      <c r="F1550" s="240" t="s">
        <v>572</v>
      </c>
      <c r="G1550" s="238"/>
      <c r="H1550" s="241">
        <v>19</v>
      </c>
      <c r="I1550" s="242"/>
      <c r="J1550" s="238"/>
      <c r="K1550" s="238"/>
      <c r="L1550" s="243"/>
      <c r="M1550" s="244"/>
      <c r="N1550" s="245"/>
      <c r="O1550" s="245"/>
      <c r="P1550" s="245"/>
      <c r="Q1550" s="245"/>
      <c r="R1550" s="245"/>
      <c r="S1550" s="245"/>
      <c r="T1550" s="246"/>
      <c r="AT1550" s="247" t="s">
        <v>388</v>
      </c>
      <c r="AU1550" s="247" t="s">
        <v>82</v>
      </c>
      <c r="AV1550" s="16" t="s">
        <v>99</v>
      </c>
      <c r="AW1550" s="16" t="s">
        <v>33</v>
      </c>
      <c r="AX1550" s="16" t="s">
        <v>72</v>
      </c>
      <c r="AY1550" s="247" t="s">
        <v>380</v>
      </c>
    </row>
    <row r="1551" spans="1:65" s="13" customFormat="1" ht="11.25">
      <c r="B1551" s="194"/>
      <c r="C1551" s="195"/>
      <c r="D1551" s="196" t="s">
        <v>388</v>
      </c>
      <c r="E1551" s="197" t="s">
        <v>19</v>
      </c>
      <c r="F1551" s="198" t="s">
        <v>2254</v>
      </c>
      <c r="G1551" s="195"/>
      <c r="H1551" s="197" t="s">
        <v>19</v>
      </c>
      <c r="I1551" s="199"/>
      <c r="J1551" s="195"/>
      <c r="K1551" s="195"/>
      <c r="L1551" s="200"/>
      <c r="M1551" s="201"/>
      <c r="N1551" s="202"/>
      <c r="O1551" s="202"/>
      <c r="P1551" s="202"/>
      <c r="Q1551" s="202"/>
      <c r="R1551" s="202"/>
      <c r="S1551" s="202"/>
      <c r="T1551" s="203"/>
      <c r="AT1551" s="204" t="s">
        <v>388</v>
      </c>
      <c r="AU1551" s="204" t="s">
        <v>82</v>
      </c>
      <c r="AV1551" s="13" t="s">
        <v>79</v>
      </c>
      <c r="AW1551" s="13" t="s">
        <v>33</v>
      </c>
      <c r="AX1551" s="13" t="s">
        <v>72</v>
      </c>
      <c r="AY1551" s="204" t="s">
        <v>380</v>
      </c>
    </row>
    <row r="1552" spans="1:65" s="14" customFormat="1" ht="11.25">
      <c r="B1552" s="205"/>
      <c r="C1552" s="206"/>
      <c r="D1552" s="196" t="s">
        <v>388</v>
      </c>
      <c r="E1552" s="207" t="s">
        <v>19</v>
      </c>
      <c r="F1552" s="208" t="s">
        <v>297</v>
      </c>
      <c r="G1552" s="206"/>
      <c r="H1552" s="209">
        <v>11.3</v>
      </c>
      <c r="I1552" s="210"/>
      <c r="J1552" s="206"/>
      <c r="K1552" s="206"/>
      <c r="L1552" s="211"/>
      <c r="M1552" s="212"/>
      <c r="N1552" s="213"/>
      <c r="O1552" s="213"/>
      <c r="P1552" s="213"/>
      <c r="Q1552" s="213"/>
      <c r="R1552" s="213"/>
      <c r="S1552" s="213"/>
      <c r="T1552" s="214"/>
      <c r="AT1552" s="215" t="s">
        <v>388</v>
      </c>
      <c r="AU1552" s="215" t="s">
        <v>82</v>
      </c>
      <c r="AV1552" s="14" t="s">
        <v>82</v>
      </c>
      <c r="AW1552" s="14" t="s">
        <v>33</v>
      </c>
      <c r="AX1552" s="14" t="s">
        <v>72</v>
      </c>
      <c r="AY1552" s="215" t="s">
        <v>380</v>
      </c>
    </row>
    <row r="1553" spans="1:65" s="16" customFormat="1" ht="11.25">
      <c r="B1553" s="237"/>
      <c r="C1553" s="238"/>
      <c r="D1553" s="196" t="s">
        <v>388</v>
      </c>
      <c r="E1553" s="239" t="s">
        <v>296</v>
      </c>
      <c r="F1553" s="240" t="s">
        <v>572</v>
      </c>
      <c r="G1553" s="238"/>
      <c r="H1553" s="241">
        <v>11.3</v>
      </c>
      <c r="I1553" s="242"/>
      <c r="J1553" s="238"/>
      <c r="K1553" s="238"/>
      <c r="L1553" s="243"/>
      <c r="M1553" s="244"/>
      <c r="N1553" s="245"/>
      <c r="O1553" s="245"/>
      <c r="P1553" s="245"/>
      <c r="Q1553" s="245"/>
      <c r="R1553" s="245"/>
      <c r="S1553" s="245"/>
      <c r="T1553" s="246"/>
      <c r="AT1553" s="247" t="s">
        <v>388</v>
      </c>
      <c r="AU1553" s="247" t="s">
        <v>82</v>
      </c>
      <c r="AV1553" s="16" t="s">
        <v>99</v>
      </c>
      <c r="AW1553" s="16" t="s">
        <v>33</v>
      </c>
      <c r="AX1553" s="16" t="s">
        <v>72</v>
      </c>
      <c r="AY1553" s="247" t="s">
        <v>380</v>
      </c>
    </row>
    <row r="1554" spans="1:65" s="13" customFormat="1" ht="11.25">
      <c r="B1554" s="194"/>
      <c r="C1554" s="195"/>
      <c r="D1554" s="196" t="s">
        <v>388</v>
      </c>
      <c r="E1554" s="197" t="s">
        <v>19</v>
      </c>
      <c r="F1554" s="198" t="s">
        <v>2255</v>
      </c>
      <c r="G1554" s="195"/>
      <c r="H1554" s="197" t="s">
        <v>19</v>
      </c>
      <c r="I1554" s="199"/>
      <c r="J1554" s="195"/>
      <c r="K1554" s="195"/>
      <c r="L1554" s="200"/>
      <c r="M1554" s="201"/>
      <c r="N1554" s="202"/>
      <c r="O1554" s="202"/>
      <c r="P1554" s="202"/>
      <c r="Q1554" s="202"/>
      <c r="R1554" s="202"/>
      <c r="S1554" s="202"/>
      <c r="T1554" s="203"/>
      <c r="AT1554" s="204" t="s">
        <v>388</v>
      </c>
      <c r="AU1554" s="204" t="s">
        <v>82</v>
      </c>
      <c r="AV1554" s="13" t="s">
        <v>79</v>
      </c>
      <c r="AW1554" s="13" t="s">
        <v>33</v>
      </c>
      <c r="AX1554" s="13" t="s">
        <v>72</v>
      </c>
      <c r="AY1554" s="204" t="s">
        <v>380</v>
      </c>
    </row>
    <row r="1555" spans="1:65" s="14" customFormat="1" ht="11.25">
      <c r="B1555" s="205"/>
      <c r="C1555" s="206"/>
      <c r="D1555" s="196" t="s">
        <v>388</v>
      </c>
      <c r="E1555" s="207" t="s">
        <v>19</v>
      </c>
      <c r="F1555" s="208" t="s">
        <v>301</v>
      </c>
      <c r="G1555" s="206"/>
      <c r="H1555" s="209">
        <v>195.1</v>
      </c>
      <c r="I1555" s="210"/>
      <c r="J1555" s="206"/>
      <c r="K1555" s="206"/>
      <c r="L1555" s="211"/>
      <c r="M1555" s="212"/>
      <c r="N1555" s="213"/>
      <c r="O1555" s="213"/>
      <c r="P1555" s="213"/>
      <c r="Q1555" s="213"/>
      <c r="R1555" s="213"/>
      <c r="S1555" s="213"/>
      <c r="T1555" s="214"/>
      <c r="AT1555" s="215" t="s">
        <v>388</v>
      </c>
      <c r="AU1555" s="215" t="s">
        <v>82</v>
      </c>
      <c r="AV1555" s="14" t="s">
        <v>82</v>
      </c>
      <c r="AW1555" s="14" t="s">
        <v>33</v>
      </c>
      <c r="AX1555" s="14" t="s">
        <v>72</v>
      </c>
      <c r="AY1555" s="215" t="s">
        <v>380</v>
      </c>
    </row>
    <row r="1556" spans="1:65" s="16" customFormat="1" ht="11.25">
      <c r="B1556" s="237"/>
      <c r="C1556" s="238"/>
      <c r="D1556" s="196" t="s">
        <v>388</v>
      </c>
      <c r="E1556" s="239" t="s">
        <v>300</v>
      </c>
      <c r="F1556" s="240" t="s">
        <v>572</v>
      </c>
      <c r="G1556" s="238"/>
      <c r="H1556" s="241">
        <v>195.1</v>
      </c>
      <c r="I1556" s="242"/>
      <c r="J1556" s="238"/>
      <c r="K1556" s="238"/>
      <c r="L1556" s="243"/>
      <c r="M1556" s="244"/>
      <c r="N1556" s="245"/>
      <c r="O1556" s="245"/>
      <c r="P1556" s="245"/>
      <c r="Q1556" s="245"/>
      <c r="R1556" s="245"/>
      <c r="S1556" s="245"/>
      <c r="T1556" s="246"/>
      <c r="AT1556" s="247" t="s">
        <v>388</v>
      </c>
      <c r="AU1556" s="247" t="s">
        <v>82</v>
      </c>
      <c r="AV1556" s="16" t="s">
        <v>99</v>
      </c>
      <c r="AW1556" s="16" t="s">
        <v>33</v>
      </c>
      <c r="AX1556" s="16" t="s">
        <v>72</v>
      </c>
      <c r="AY1556" s="247" t="s">
        <v>380</v>
      </c>
    </row>
    <row r="1557" spans="1:65" s="13" customFormat="1" ht="11.25">
      <c r="B1557" s="194"/>
      <c r="C1557" s="195"/>
      <c r="D1557" s="196" t="s">
        <v>388</v>
      </c>
      <c r="E1557" s="197" t="s">
        <v>19</v>
      </c>
      <c r="F1557" s="198" t="s">
        <v>2236</v>
      </c>
      <c r="G1557" s="195"/>
      <c r="H1557" s="197" t="s">
        <v>19</v>
      </c>
      <c r="I1557" s="199"/>
      <c r="J1557" s="195"/>
      <c r="K1557" s="195"/>
      <c r="L1557" s="200"/>
      <c r="M1557" s="201"/>
      <c r="N1557" s="202"/>
      <c r="O1557" s="202"/>
      <c r="P1557" s="202"/>
      <c r="Q1557" s="202"/>
      <c r="R1557" s="202"/>
      <c r="S1557" s="202"/>
      <c r="T1557" s="203"/>
      <c r="AT1557" s="204" t="s">
        <v>388</v>
      </c>
      <c r="AU1557" s="204" t="s">
        <v>82</v>
      </c>
      <c r="AV1557" s="13" t="s">
        <v>79</v>
      </c>
      <c r="AW1557" s="13" t="s">
        <v>33</v>
      </c>
      <c r="AX1557" s="13" t="s">
        <v>72</v>
      </c>
      <c r="AY1557" s="204" t="s">
        <v>380</v>
      </c>
    </row>
    <row r="1558" spans="1:65" s="14" customFormat="1" ht="11.25">
      <c r="B1558" s="205"/>
      <c r="C1558" s="206"/>
      <c r="D1558" s="196" t="s">
        <v>388</v>
      </c>
      <c r="E1558" s="207" t="s">
        <v>19</v>
      </c>
      <c r="F1558" s="208" t="s">
        <v>2256</v>
      </c>
      <c r="G1558" s="206"/>
      <c r="H1558" s="209">
        <v>20.45</v>
      </c>
      <c r="I1558" s="210"/>
      <c r="J1558" s="206"/>
      <c r="K1558" s="206"/>
      <c r="L1558" s="211"/>
      <c r="M1558" s="212"/>
      <c r="N1558" s="213"/>
      <c r="O1558" s="213"/>
      <c r="P1558" s="213"/>
      <c r="Q1558" s="213"/>
      <c r="R1558" s="213"/>
      <c r="S1558" s="213"/>
      <c r="T1558" s="214"/>
      <c r="AT1558" s="215" t="s">
        <v>388</v>
      </c>
      <c r="AU1558" s="215" t="s">
        <v>82</v>
      </c>
      <c r="AV1558" s="14" t="s">
        <v>82</v>
      </c>
      <c r="AW1558" s="14" t="s">
        <v>33</v>
      </c>
      <c r="AX1558" s="14" t="s">
        <v>72</v>
      </c>
      <c r="AY1558" s="215" t="s">
        <v>380</v>
      </c>
    </row>
    <row r="1559" spans="1:65" s="16" customFormat="1" ht="11.25">
      <c r="B1559" s="237"/>
      <c r="C1559" s="238"/>
      <c r="D1559" s="196" t="s">
        <v>388</v>
      </c>
      <c r="E1559" s="239" t="s">
        <v>19</v>
      </c>
      <c r="F1559" s="240" t="s">
        <v>572</v>
      </c>
      <c r="G1559" s="238"/>
      <c r="H1559" s="241">
        <v>20.45</v>
      </c>
      <c r="I1559" s="242"/>
      <c r="J1559" s="238"/>
      <c r="K1559" s="238"/>
      <c r="L1559" s="243"/>
      <c r="M1559" s="244"/>
      <c r="N1559" s="245"/>
      <c r="O1559" s="245"/>
      <c r="P1559" s="245"/>
      <c r="Q1559" s="245"/>
      <c r="R1559" s="245"/>
      <c r="S1559" s="245"/>
      <c r="T1559" s="246"/>
      <c r="AT1559" s="247" t="s">
        <v>388</v>
      </c>
      <c r="AU1559" s="247" t="s">
        <v>82</v>
      </c>
      <c r="AV1559" s="16" t="s">
        <v>99</v>
      </c>
      <c r="AW1559" s="16" t="s">
        <v>33</v>
      </c>
      <c r="AX1559" s="16" t="s">
        <v>72</v>
      </c>
      <c r="AY1559" s="247" t="s">
        <v>380</v>
      </c>
    </row>
    <row r="1560" spans="1:65" s="15" customFormat="1" ht="11.25">
      <c r="B1560" s="216"/>
      <c r="C1560" s="217"/>
      <c r="D1560" s="196" t="s">
        <v>388</v>
      </c>
      <c r="E1560" s="218" t="s">
        <v>19</v>
      </c>
      <c r="F1560" s="219" t="s">
        <v>419</v>
      </c>
      <c r="G1560" s="217"/>
      <c r="H1560" s="220">
        <v>340.95</v>
      </c>
      <c r="I1560" s="221"/>
      <c r="J1560" s="217"/>
      <c r="K1560" s="217"/>
      <c r="L1560" s="222"/>
      <c r="M1560" s="223"/>
      <c r="N1560" s="224"/>
      <c r="O1560" s="224"/>
      <c r="P1560" s="224"/>
      <c r="Q1560" s="224"/>
      <c r="R1560" s="224"/>
      <c r="S1560" s="224"/>
      <c r="T1560" s="225"/>
      <c r="AT1560" s="226" t="s">
        <v>388</v>
      </c>
      <c r="AU1560" s="226" t="s">
        <v>82</v>
      </c>
      <c r="AV1560" s="15" t="s">
        <v>386</v>
      </c>
      <c r="AW1560" s="15" t="s">
        <v>33</v>
      </c>
      <c r="AX1560" s="15" t="s">
        <v>79</v>
      </c>
      <c r="AY1560" s="226" t="s">
        <v>380</v>
      </c>
    </row>
    <row r="1561" spans="1:65" s="2" customFormat="1" ht="24.2" customHeight="1">
      <c r="A1561" s="36"/>
      <c r="B1561" s="37"/>
      <c r="C1561" s="181" t="s">
        <v>2257</v>
      </c>
      <c r="D1561" s="181" t="s">
        <v>382</v>
      </c>
      <c r="E1561" s="182" t="s">
        <v>2258</v>
      </c>
      <c r="F1561" s="183" t="s">
        <v>2259</v>
      </c>
      <c r="G1561" s="184" t="s">
        <v>437</v>
      </c>
      <c r="H1561" s="185">
        <v>15.839</v>
      </c>
      <c r="I1561" s="186"/>
      <c r="J1561" s="187">
        <f>ROUND(I1561*H1561,2)</f>
        <v>0</v>
      </c>
      <c r="K1561" s="183" t="s">
        <v>399</v>
      </c>
      <c r="L1561" s="41"/>
      <c r="M1561" s="188" t="s">
        <v>19</v>
      </c>
      <c r="N1561" s="189" t="s">
        <v>43</v>
      </c>
      <c r="O1561" s="66"/>
      <c r="P1561" s="190">
        <f>O1561*H1561</f>
        <v>0</v>
      </c>
      <c r="Q1561" s="190">
        <v>0</v>
      </c>
      <c r="R1561" s="190">
        <f>Q1561*H1561</f>
        <v>0</v>
      </c>
      <c r="S1561" s="190">
        <v>0</v>
      </c>
      <c r="T1561" s="191">
        <f>S1561*H1561</f>
        <v>0</v>
      </c>
      <c r="U1561" s="36"/>
      <c r="V1561" s="36"/>
      <c r="W1561" s="36"/>
      <c r="X1561" s="36"/>
      <c r="Y1561" s="36"/>
      <c r="Z1561" s="36"/>
      <c r="AA1561" s="36"/>
      <c r="AB1561" s="36"/>
      <c r="AC1561" s="36"/>
      <c r="AD1561" s="36"/>
      <c r="AE1561" s="36"/>
      <c r="AR1561" s="192" t="s">
        <v>281</v>
      </c>
      <c r="AT1561" s="192" t="s">
        <v>382</v>
      </c>
      <c r="AU1561" s="192" t="s">
        <v>82</v>
      </c>
      <c r="AY1561" s="19" t="s">
        <v>380</v>
      </c>
      <c r="BE1561" s="193">
        <f>IF(N1561="základní",J1561,0)</f>
        <v>0</v>
      </c>
      <c r="BF1561" s="193">
        <f>IF(N1561="snížená",J1561,0)</f>
        <v>0</v>
      </c>
      <c r="BG1561" s="193">
        <f>IF(N1561="zákl. přenesená",J1561,0)</f>
        <v>0</v>
      </c>
      <c r="BH1561" s="193">
        <f>IF(N1561="sníž. přenesená",J1561,0)</f>
        <v>0</v>
      </c>
      <c r="BI1561" s="193">
        <f>IF(N1561="nulová",J1561,0)</f>
        <v>0</v>
      </c>
      <c r="BJ1561" s="19" t="s">
        <v>79</v>
      </c>
      <c r="BK1561" s="193">
        <f>ROUND(I1561*H1561,2)</f>
        <v>0</v>
      </c>
      <c r="BL1561" s="19" t="s">
        <v>281</v>
      </c>
      <c r="BM1561" s="192" t="s">
        <v>2260</v>
      </c>
    </row>
    <row r="1562" spans="1:65" s="12" customFormat="1" ht="22.9" customHeight="1">
      <c r="B1562" s="165"/>
      <c r="C1562" s="166"/>
      <c r="D1562" s="167" t="s">
        <v>71</v>
      </c>
      <c r="E1562" s="179" t="s">
        <v>2261</v>
      </c>
      <c r="F1562" s="179" t="s">
        <v>2262</v>
      </c>
      <c r="G1562" s="166"/>
      <c r="H1562" s="166"/>
      <c r="I1562" s="169"/>
      <c r="J1562" s="180">
        <f>BK1562</f>
        <v>0</v>
      </c>
      <c r="K1562" s="166"/>
      <c r="L1562" s="171"/>
      <c r="M1562" s="172"/>
      <c r="N1562" s="173"/>
      <c r="O1562" s="173"/>
      <c r="P1562" s="174">
        <f>SUM(P1563:P1572)</f>
        <v>0</v>
      </c>
      <c r="Q1562" s="173"/>
      <c r="R1562" s="174">
        <f>SUM(R1563:R1572)</f>
        <v>3.5577702000000002</v>
      </c>
      <c r="S1562" s="173"/>
      <c r="T1562" s="175">
        <f>SUM(T1563:T1572)</f>
        <v>0</v>
      </c>
      <c r="AR1562" s="176" t="s">
        <v>82</v>
      </c>
      <c r="AT1562" s="177" t="s">
        <v>71</v>
      </c>
      <c r="AU1562" s="177" t="s">
        <v>79</v>
      </c>
      <c r="AY1562" s="176" t="s">
        <v>380</v>
      </c>
      <c r="BK1562" s="178">
        <f>SUM(BK1563:BK1572)</f>
        <v>0</v>
      </c>
    </row>
    <row r="1563" spans="1:65" s="2" customFormat="1" ht="16.5" customHeight="1">
      <c r="A1563" s="36"/>
      <c r="B1563" s="37"/>
      <c r="C1563" s="181" t="s">
        <v>2263</v>
      </c>
      <c r="D1563" s="181" t="s">
        <v>382</v>
      </c>
      <c r="E1563" s="182" t="s">
        <v>2264</v>
      </c>
      <c r="F1563" s="183" t="s">
        <v>2265</v>
      </c>
      <c r="G1563" s="184" t="s">
        <v>398</v>
      </c>
      <c r="H1563" s="185">
        <v>139.80000000000001</v>
      </c>
      <c r="I1563" s="186"/>
      <c r="J1563" s="187">
        <f>ROUND(I1563*H1563,2)</f>
        <v>0</v>
      </c>
      <c r="K1563" s="183" t="s">
        <v>399</v>
      </c>
      <c r="L1563" s="41"/>
      <c r="M1563" s="188" t="s">
        <v>19</v>
      </c>
      <c r="N1563" s="189" t="s">
        <v>43</v>
      </c>
      <c r="O1563" s="66"/>
      <c r="P1563" s="190">
        <f>O1563*H1563</f>
        <v>0</v>
      </c>
      <c r="Q1563" s="190">
        <v>2.9999999999999997E-4</v>
      </c>
      <c r="R1563" s="190">
        <f>Q1563*H1563</f>
        <v>4.1939999999999998E-2</v>
      </c>
      <c r="S1563" s="190">
        <v>0</v>
      </c>
      <c r="T1563" s="191">
        <f>S1563*H1563</f>
        <v>0</v>
      </c>
      <c r="U1563" s="36"/>
      <c r="V1563" s="36"/>
      <c r="W1563" s="36"/>
      <c r="X1563" s="36"/>
      <c r="Y1563" s="36"/>
      <c r="Z1563" s="36"/>
      <c r="AA1563" s="36"/>
      <c r="AB1563" s="36"/>
      <c r="AC1563" s="36"/>
      <c r="AD1563" s="36"/>
      <c r="AE1563" s="36"/>
      <c r="AR1563" s="192" t="s">
        <v>281</v>
      </c>
      <c r="AT1563" s="192" t="s">
        <v>382</v>
      </c>
      <c r="AU1563" s="192" t="s">
        <v>82</v>
      </c>
      <c r="AY1563" s="19" t="s">
        <v>380</v>
      </c>
      <c r="BE1563" s="193">
        <f>IF(N1563="základní",J1563,0)</f>
        <v>0</v>
      </c>
      <c r="BF1563" s="193">
        <f>IF(N1563="snížená",J1563,0)</f>
        <v>0</v>
      </c>
      <c r="BG1563" s="193">
        <f>IF(N1563="zákl. přenesená",J1563,0)</f>
        <v>0</v>
      </c>
      <c r="BH1563" s="193">
        <f>IF(N1563="sníž. přenesená",J1563,0)</f>
        <v>0</v>
      </c>
      <c r="BI1563" s="193">
        <f>IF(N1563="nulová",J1563,0)</f>
        <v>0</v>
      </c>
      <c r="BJ1563" s="19" t="s">
        <v>79</v>
      </c>
      <c r="BK1563" s="193">
        <f>ROUND(I1563*H1563,2)</f>
        <v>0</v>
      </c>
      <c r="BL1563" s="19" t="s">
        <v>281</v>
      </c>
      <c r="BM1563" s="192" t="s">
        <v>2266</v>
      </c>
    </row>
    <row r="1564" spans="1:65" s="14" customFormat="1" ht="11.25">
      <c r="B1564" s="205"/>
      <c r="C1564" s="206"/>
      <c r="D1564" s="196" t="s">
        <v>388</v>
      </c>
      <c r="E1564" s="207" t="s">
        <v>19</v>
      </c>
      <c r="F1564" s="208" t="s">
        <v>2267</v>
      </c>
      <c r="G1564" s="206"/>
      <c r="H1564" s="209">
        <v>139.80000000000001</v>
      </c>
      <c r="I1564" s="210"/>
      <c r="J1564" s="206"/>
      <c r="K1564" s="206"/>
      <c r="L1564" s="211"/>
      <c r="M1564" s="212"/>
      <c r="N1564" s="213"/>
      <c r="O1564" s="213"/>
      <c r="P1564" s="213"/>
      <c r="Q1564" s="213"/>
      <c r="R1564" s="213"/>
      <c r="S1564" s="213"/>
      <c r="T1564" s="214"/>
      <c r="AT1564" s="215" t="s">
        <v>388</v>
      </c>
      <c r="AU1564" s="215" t="s">
        <v>82</v>
      </c>
      <c r="AV1564" s="14" t="s">
        <v>82</v>
      </c>
      <c r="AW1564" s="14" t="s">
        <v>33</v>
      </c>
      <c r="AX1564" s="14" t="s">
        <v>79</v>
      </c>
      <c r="AY1564" s="215" t="s">
        <v>380</v>
      </c>
    </row>
    <row r="1565" spans="1:65" s="2" customFormat="1" ht="24.2" customHeight="1">
      <c r="A1565" s="36"/>
      <c r="B1565" s="37"/>
      <c r="C1565" s="181" t="s">
        <v>2268</v>
      </c>
      <c r="D1565" s="181" t="s">
        <v>382</v>
      </c>
      <c r="E1565" s="182" t="s">
        <v>2269</v>
      </c>
      <c r="F1565" s="183" t="s">
        <v>2270</v>
      </c>
      <c r="G1565" s="184" t="s">
        <v>398</v>
      </c>
      <c r="H1565" s="185">
        <v>139.80000000000001</v>
      </c>
      <c r="I1565" s="186"/>
      <c r="J1565" s="187">
        <f>ROUND(I1565*H1565,2)</f>
        <v>0</v>
      </c>
      <c r="K1565" s="183" t="s">
        <v>399</v>
      </c>
      <c r="L1565" s="41"/>
      <c r="M1565" s="188" t="s">
        <v>19</v>
      </c>
      <c r="N1565" s="189" t="s">
        <v>43</v>
      </c>
      <c r="O1565" s="66"/>
      <c r="P1565" s="190">
        <f>O1565*H1565</f>
        <v>0</v>
      </c>
      <c r="Q1565" s="190">
        <v>8.9999999999999993E-3</v>
      </c>
      <c r="R1565" s="190">
        <f>Q1565*H1565</f>
        <v>1.2582</v>
      </c>
      <c r="S1565" s="190">
        <v>0</v>
      </c>
      <c r="T1565" s="191">
        <f>S1565*H1565</f>
        <v>0</v>
      </c>
      <c r="U1565" s="36"/>
      <c r="V1565" s="36"/>
      <c r="W1565" s="36"/>
      <c r="X1565" s="36"/>
      <c r="Y1565" s="36"/>
      <c r="Z1565" s="36"/>
      <c r="AA1565" s="36"/>
      <c r="AB1565" s="36"/>
      <c r="AC1565" s="36"/>
      <c r="AD1565" s="36"/>
      <c r="AE1565" s="36"/>
      <c r="AR1565" s="192" t="s">
        <v>281</v>
      </c>
      <c r="AT1565" s="192" t="s">
        <v>382</v>
      </c>
      <c r="AU1565" s="192" t="s">
        <v>82</v>
      </c>
      <c r="AY1565" s="19" t="s">
        <v>380</v>
      </c>
      <c r="BE1565" s="193">
        <f>IF(N1565="základní",J1565,0)</f>
        <v>0</v>
      </c>
      <c r="BF1565" s="193">
        <f>IF(N1565="snížená",J1565,0)</f>
        <v>0</v>
      </c>
      <c r="BG1565" s="193">
        <f>IF(N1565="zákl. přenesená",J1565,0)</f>
        <v>0</v>
      </c>
      <c r="BH1565" s="193">
        <f>IF(N1565="sníž. přenesená",J1565,0)</f>
        <v>0</v>
      </c>
      <c r="BI1565" s="193">
        <f>IF(N1565="nulová",J1565,0)</f>
        <v>0</v>
      </c>
      <c r="BJ1565" s="19" t="s">
        <v>79</v>
      </c>
      <c r="BK1565" s="193">
        <f>ROUND(I1565*H1565,2)</f>
        <v>0</v>
      </c>
      <c r="BL1565" s="19" t="s">
        <v>281</v>
      </c>
      <c r="BM1565" s="192" t="s">
        <v>2271</v>
      </c>
    </row>
    <row r="1566" spans="1:65" s="14" customFormat="1" ht="11.25">
      <c r="B1566" s="205"/>
      <c r="C1566" s="206"/>
      <c r="D1566" s="196" t="s">
        <v>388</v>
      </c>
      <c r="E1566" s="207" t="s">
        <v>19</v>
      </c>
      <c r="F1566" s="208" t="s">
        <v>317</v>
      </c>
      <c r="G1566" s="206"/>
      <c r="H1566" s="209">
        <v>139.80000000000001</v>
      </c>
      <c r="I1566" s="210"/>
      <c r="J1566" s="206"/>
      <c r="K1566" s="206"/>
      <c r="L1566" s="211"/>
      <c r="M1566" s="212"/>
      <c r="N1566" s="213"/>
      <c r="O1566" s="213"/>
      <c r="P1566" s="213"/>
      <c r="Q1566" s="213"/>
      <c r="R1566" s="213"/>
      <c r="S1566" s="213"/>
      <c r="T1566" s="214"/>
      <c r="AT1566" s="215" t="s">
        <v>388</v>
      </c>
      <c r="AU1566" s="215" t="s">
        <v>82</v>
      </c>
      <c r="AV1566" s="14" t="s">
        <v>82</v>
      </c>
      <c r="AW1566" s="14" t="s">
        <v>33</v>
      </c>
      <c r="AX1566" s="14" t="s">
        <v>79</v>
      </c>
      <c r="AY1566" s="215" t="s">
        <v>380</v>
      </c>
    </row>
    <row r="1567" spans="1:65" s="2" customFormat="1" ht="16.5" customHeight="1">
      <c r="A1567" s="36"/>
      <c r="B1567" s="37"/>
      <c r="C1567" s="227" t="s">
        <v>2272</v>
      </c>
      <c r="D1567" s="227" t="s">
        <v>465</v>
      </c>
      <c r="E1567" s="228" t="s">
        <v>2273</v>
      </c>
      <c r="F1567" s="229" t="s">
        <v>2274</v>
      </c>
      <c r="G1567" s="230" t="s">
        <v>398</v>
      </c>
      <c r="H1567" s="231">
        <v>160.77000000000001</v>
      </c>
      <c r="I1567" s="232"/>
      <c r="J1567" s="233">
        <f>ROUND(I1567*H1567,2)</f>
        <v>0</v>
      </c>
      <c r="K1567" s="229" t="s">
        <v>19</v>
      </c>
      <c r="L1567" s="234"/>
      <c r="M1567" s="235" t="s">
        <v>19</v>
      </c>
      <c r="N1567" s="236" t="s">
        <v>43</v>
      </c>
      <c r="O1567" s="66"/>
      <c r="P1567" s="190">
        <f>O1567*H1567</f>
        <v>0</v>
      </c>
      <c r="Q1567" s="190">
        <v>1.38E-2</v>
      </c>
      <c r="R1567" s="190">
        <f>Q1567*H1567</f>
        <v>2.218626</v>
      </c>
      <c r="S1567" s="190">
        <v>0</v>
      </c>
      <c r="T1567" s="191">
        <f>S1567*H1567</f>
        <v>0</v>
      </c>
      <c r="U1567" s="36"/>
      <c r="V1567" s="36"/>
      <c r="W1567" s="36"/>
      <c r="X1567" s="36"/>
      <c r="Y1567" s="36"/>
      <c r="Z1567" s="36"/>
      <c r="AA1567" s="36"/>
      <c r="AB1567" s="36"/>
      <c r="AC1567" s="36"/>
      <c r="AD1567" s="36"/>
      <c r="AE1567" s="36"/>
      <c r="AR1567" s="192" t="s">
        <v>546</v>
      </c>
      <c r="AT1567" s="192" t="s">
        <v>465</v>
      </c>
      <c r="AU1567" s="192" t="s">
        <v>82</v>
      </c>
      <c r="AY1567" s="19" t="s">
        <v>380</v>
      </c>
      <c r="BE1567" s="193">
        <f>IF(N1567="základní",J1567,0)</f>
        <v>0</v>
      </c>
      <c r="BF1567" s="193">
        <f>IF(N1567="snížená",J1567,0)</f>
        <v>0</v>
      </c>
      <c r="BG1567" s="193">
        <f>IF(N1567="zákl. přenesená",J1567,0)</f>
        <v>0</v>
      </c>
      <c r="BH1567" s="193">
        <f>IF(N1567="sníž. přenesená",J1567,0)</f>
        <v>0</v>
      </c>
      <c r="BI1567" s="193">
        <f>IF(N1567="nulová",J1567,0)</f>
        <v>0</v>
      </c>
      <c r="BJ1567" s="19" t="s">
        <v>79</v>
      </c>
      <c r="BK1567" s="193">
        <f>ROUND(I1567*H1567,2)</f>
        <v>0</v>
      </c>
      <c r="BL1567" s="19" t="s">
        <v>281</v>
      </c>
      <c r="BM1567" s="192" t="s">
        <v>2275</v>
      </c>
    </row>
    <row r="1568" spans="1:65" s="14" customFormat="1" ht="11.25">
      <c r="B1568" s="205"/>
      <c r="C1568" s="206"/>
      <c r="D1568" s="196" t="s">
        <v>388</v>
      </c>
      <c r="E1568" s="207" t="s">
        <v>19</v>
      </c>
      <c r="F1568" s="208" t="s">
        <v>2276</v>
      </c>
      <c r="G1568" s="206"/>
      <c r="H1568" s="209">
        <v>160.77000000000001</v>
      </c>
      <c r="I1568" s="210"/>
      <c r="J1568" s="206"/>
      <c r="K1568" s="206"/>
      <c r="L1568" s="211"/>
      <c r="M1568" s="212"/>
      <c r="N1568" s="213"/>
      <c r="O1568" s="213"/>
      <c r="P1568" s="213"/>
      <c r="Q1568" s="213"/>
      <c r="R1568" s="213"/>
      <c r="S1568" s="213"/>
      <c r="T1568" s="214"/>
      <c r="AT1568" s="215" t="s">
        <v>388</v>
      </c>
      <c r="AU1568" s="215" t="s">
        <v>82</v>
      </c>
      <c r="AV1568" s="14" t="s">
        <v>82</v>
      </c>
      <c r="AW1568" s="14" t="s">
        <v>33</v>
      </c>
      <c r="AX1568" s="14" t="s">
        <v>79</v>
      </c>
      <c r="AY1568" s="215" t="s">
        <v>380</v>
      </c>
    </row>
    <row r="1569" spans="1:65" s="2" customFormat="1" ht="16.5" customHeight="1">
      <c r="A1569" s="36"/>
      <c r="B1569" s="37"/>
      <c r="C1569" s="181" t="s">
        <v>2277</v>
      </c>
      <c r="D1569" s="181" t="s">
        <v>382</v>
      </c>
      <c r="E1569" s="182" t="s">
        <v>2278</v>
      </c>
      <c r="F1569" s="183" t="s">
        <v>2279</v>
      </c>
      <c r="G1569" s="184" t="s">
        <v>452</v>
      </c>
      <c r="H1569" s="185">
        <v>125.82</v>
      </c>
      <c r="I1569" s="186"/>
      <c r="J1569" s="187">
        <f>ROUND(I1569*H1569,2)</f>
        <v>0</v>
      </c>
      <c r="K1569" s="183" t="s">
        <v>19</v>
      </c>
      <c r="L1569" s="41"/>
      <c r="M1569" s="188" t="s">
        <v>19</v>
      </c>
      <c r="N1569" s="189" t="s">
        <v>43</v>
      </c>
      <c r="O1569" s="66"/>
      <c r="P1569" s="190">
        <f>O1569*H1569</f>
        <v>0</v>
      </c>
      <c r="Q1569" s="190">
        <v>3.1E-4</v>
      </c>
      <c r="R1569" s="190">
        <f>Q1569*H1569</f>
        <v>3.9004199999999996E-2</v>
      </c>
      <c r="S1569" s="190">
        <v>0</v>
      </c>
      <c r="T1569" s="191">
        <f>S1569*H1569</f>
        <v>0</v>
      </c>
      <c r="U1569" s="36"/>
      <c r="V1569" s="36"/>
      <c r="W1569" s="36"/>
      <c r="X1569" s="36"/>
      <c r="Y1569" s="36"/>
      <c r="Z1569" s="36"/>
      <c r="AA1569" s="36"/>
      <c r="AB1569" s="36"/>
      <c r="AC1569" s="36"/>
      <c r="AD1569" s="36"/>
      <c r="AE1569" s="36"/>
      <c r="AR1569" s="192" t="s">
        <v>281</v>
      </c>
      <c r="AT1569" s="192" t="s">
        <v>382</v>
      </c>
      <c r="AU1569" s="192" t="s">
        <v>82</v>
      </c>
      <c r="AY1569" s="19" t="s">
        <v>380</v>
      </c>
      <c r="BE1569" s="193">
        <f>IF(N1569="základní",J1569,0)</f>
        <v>0</v>
      </c>
      <c r="BF1569" s="193">
        <f>IF(N1569="snížená",J1569,0)</f>
        <v>0</v>
      </c>
      <c r="BG1569" s="193">
        <f>IF(N1569="zákl. přenesená",J1569,0)</f>
        <v>0</v>
      </c>
      <c r="BH1569" s="193">
        <f>IF(N1569="sníž. přenesená",J1569,0)</f>
        <v>0</v>
      </c>
      <c r="BI1569" s="193">
        <f>IF(N1569="nulová",J1569,0)</f>
        <v>0</v>
      </c>
      <c r="BJ1569" s="19" t="s">
        <v>79</v>
      </c>
      <c r="BK1569" s="193">
        <f>ROUND(I1569*H1569,2)</f>
        <v>0</v>
      </c>
      <c r="BL1569" s="19" t="s">
        <v>281</v>
      </c>
      <c r="BM1569" s="192" t="s">
        <v>2280</v>
      </c>
    </row>
    <row r="1570" spans="1:65" s="13" customFormat="1" ht="11.25">
      <c r="B1570" s="194"/>
      <c r="C1570" s="195"/>
      <c r="D1570" s="196" t="s">
        <v>388</v>
      </c>
      <c r="E1570" s="197" t="s">
        <v>19</v>
      </c>
      <c r="F1570" s="198" t="s">
        <v>2281</v>
      </c>
      <c r="G1570" s="195"/>
      <c r="H1570" s="197" t="s">
        <v>19</v>
      </c>
      <c r="I1570" s="199"/>
      <c r="J1570" s="195"/>
      <c r="K1570" s="195"/>
      <c r="L1570" s="200"/>
      <c r="M1570" s="201"/>
      <c r="N1570" s="202"/>
      <c r="O1570" s="202"/>
      <c r="P1570" s="202"/>
      <c r="Q1570" s="202"/>
      <c r="R1570" s="202"/>
      <c r="S1570" s="202"/>
      <c r="T1570" s="203"/>
      <c r="AT1570" s="204" t="s">
        <v>388</v>
      </c>
      <c r="AU1570" s="204" t="s">
        <v>82</v>
      </c>
      <c r="AV1570" s="13" t="s">
        <v>79</v>
      </c>
      <c r="AW1570" s="13" t="s">
        <v>33</v>
      </c>
      <c r="AX1570" s="13" t="s">
        <v>72</v>
      </c>
      <c r="AY1570" s="204" t="s">
        <v>380</v>
      </c>
    </row>
    <row r="1571" spans="1:65" s="14" customFormat="1" ht="11.25">
      <c r="B1571" s="205"/>
      <c r="C1571" s="206"/>
      <c r="D1571" s="196" t="s">
        <v>388</v>
      </c>
      <c r="E1571" s="207" t="s">
        <v>19</v>
      </c>
      <c r="F1571" s="208" t="s">
        <v>2282</v>
      </c>
      <c r="G1571" s="206"/>
      <c r="H1571" s="209">
        <v>125.82</v>
      </c>
      <c r="I1571" s="210"/>
      <c r="J1571" s="206"/>
      <c r="K1571" s="206"/>
      <c r="L1571" s="211"/>
      <c r="M1571" s="212"/>
      <c r="N1571" s="213"/>
      <c r="O1571" s="213"/>
      <c r="P1571" s="213"/>
      <c r="Q1571" s="213"/>
      <c r="R1571" s="213"/>
      <c r="S1571" s="213"/>
      <c r="T1571" s="214"/>
      <c r="AT1571" s="215" t="s">
        <v>388</v>
      </c>
      <c r="AU1571" s="215" t="s">
        <v>82</v>
      </c>
      <c r="AV1571" s="14" t="s">
        <v>82</v>
      </c>
      <c r="AW1571" s="14" t="s">
        <v>33</v>
      </c>
      <c r="AX1571" s="14" t="s">
        <v>79</v>
      </c>
      <c r="AY1571" s="215" t="s">
        <v>380</v>
      </c>
    </row>
    <row r="1572" spans="1:65" s="2" customFormat="1" ht="24.2" customHeight="1">
      <c r="A1572" s="36"/>
      <c r="B1572" s="37"/>
      <c r="C1572" s="181" t="s">
        <v>2283</v>
      </c>
      <c r="D1572" s="181" t="s">
        <v>382</v>
      </c>
      <c r="E1572" s="182" t="s">
        <v>2284</v>
      </c>
      <c r="F1572" s="183" t="s">
        <v>2285</v>
      </c>
      <c r="G1572" s="184" t="s">
        <v>437</v>
      </c>
      <c r="H1572" s="185">
        <v>3.5579999999999998</v>
      </c>
      <c r="I1572" s="186"/>
      <c r="J1572" s="187">
        <f>ROUND(I1572*H1572,2)</f>
        <v>0</v>
      </c>
      <c r="K1572" s="183" t="s">
        <v>399</v>
      </c>
      <c r="L1572" s="41"/>
      <c r="M1572" s="188" t="s">
        <v>19</v>
      </c>
      <c r="N1572" s="189" t="s">
        <v>43</v>
      </c>
      <c r="O1572" s="66"/>
      <c r="P1572" s="190">
        <f>O1572*H1572</f>
        <v>0</v>
      </c>
      <c r="Q1572" s="190">
        <v>0</v>
      </c>
      <c r="R1572" s="190">
        <f>Q1572*H1572</f>
        <v>0</v>
      </c>
      <c r="S1572" s="190">
        <v>0</v>
      </c>
      <c r="T1572" s="191">
        <f>S1572*H1572</f>
        <v>0</v>
      </c>
      <c r="U1572" s="36"/>
      <c r="V1572" s="36"/>
      <c r="W1572" s="36"/>
      <c r="X1572" s="36"/>
      <c r="Y1572" s="36"/>
      <c r="Z1572" s="36"/>
      <c r="AA1572" s="36"/>
      <c r="AB1572" s="36"/>
      <c r="AC1572" s="36"/>
      <c r="AD1572" s="36"/>
      <c r="AE1572" s="36"/>
      <c r="AR1572" s="192" t="s">
        <v>281</v>
      </c>
      <c r="AT1572" s="192" t="s">
        <v>382</v>
      </c>
      <c r="AU1572" s="192" t="s">
        <v>82</v>
      </c>
      <c r="AY1572" s="19" t="s">
        <v>380</v>
      </c>
      <c r="BE1572" s="193">
        <f>IF(N1572="základní",J1572,0)</f>
        <v>0</v>
      </c>
      <c r="BF1572" s="193">
        <f>IF(N1572="snížená",J1572,0)</f>
        <v>0</v>
      </c>
      <c r="BG1572" s="193">
        <f>IF(N1572="zákl. přenesená",J1572,0)</f>
        <v>0</v>
      </c>
      <c r="BH1572" s="193">
        <f>IF(N1572="sníž. přenesená",J1572,0)</f>
        <v>0</v>
      </c>
      <c r="BI1572" s="193">
        <f>IF(N1572="nulová",J1572,0)</f>
        <v>0</v>
      </c>
      <c r="BJ1572" s="19" t="s">
        <v>79</v>
      </c>
      <c r="BK1572" s="193">
        <f>ROUND(I1572*H1572,2)</f>
        <v>0</v>
      </c>
      <c r="BL1572" s="19" t="s">
        <v>281</v>
      </c>
      <c r="BM1572" s="192" t="s">
        <v>2286</v>
      </c>
    </row>
    <row r="1573" spans="1:65" s="12" customFormat="1" ht="22.9" customHeight="1">
      <c r="B1573" s="165"/>
      <c r="C1573" s="166"/>
      <c r="D1573" s="167" t="s">
        <v>71</v>
      </c>
      <c r="E1573" s="179" t="s">
        <v>2287</v>
      </c>
      <c r="F1573" s="179" t="s">
        <v>2288</v>
      </c>
      <c r="G1573" s="166"/>
      <c r="H1573" s="166"/>
      <c r="I1573" s="169"/>
      <c r="J1573" s="180">
        <f>BK1573</f>
        <v>0</v>
      </c>
      <c r="K1573" s="166"/>
      <c r="L1573" s="171"/>
      <c r="M1573" s="172"/>
      <c r="N1573" s="173"/>
      <c r="O1573" s="173"/>
      <c r="P1573" s="174">
        <f>SUM(P1574:P1595)</f>
        <v>0</v>
      </c>
      <c r="Q1573" s="173"/>
      <c r="R1573" s="174">
        <f>SUM(R1574:R1595)</f>
        <v>0</v>
      </c>
      <c r="S1573" s="173"/>
      <c r="T1573" s="175">
        <f>SUM(T1574:T1595)</f>
        <v>0</v>
      </c>
      <c r="AR1573" s="176" t="s">
        <v>82</v>
      </c>
      <c r="AT1573" s="177" t="s">
        <v>71</v>
      </c>
      <c r="AU1573" s="177" t="s">
        <v>79</v>
      </c>
      <c r="AY1573" s="176" t="s">
        <v>380</v>
      </c>
      <c r="BK1573" s="178">
        <f>SUM(BK1574:BK1595)</f>
        <v>0</v>
      </c>
    </row>
    <row r="1574" spans="1:65" s="2" customFormat="1" ht="24.2" customHeight="1">
      <c r="A1574" s="36"/>
      <c r="B1574" s="37"/>
      <c r="C1574" s="181" t="s">
        <v>2289</v>
      </c>
      <c r="D1574" s="181" t="s">
        <v>382</v>
      </c>
      <c r="E1574" s="182" t="s">
        <v>2290</v>
      </c>
      <c r="F1574" s="183" t="s">
        <v>2291</v>
      </c>
      <c r="G1574" s="184" t="s">
        <v>398</v>
      </c>
      <c r="H1574" s="185">
        <v>2951.2</v>
      </c>
      <c r="I1574" s="186"/>
      <c r="J1574" s="187">
        <f>ROUND(I1574*H1574,2)</f>
        <v>0</v>
      </c>
      <c r="K1574" s="183" t="s">
        <v>19</v>
      </c>
      <c r="L1574" s="41"/>
      <c r="M1574" s="188" t="s">
        <v>19</v>
      </c>
      <c r="N1574" s="189" t="s">
        <v>43</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281</v>
      </c>
      <c r="AT1574" s="192" t="s">
        <v>382</v>
      </c>
      <c r="AU1574" s="192" t="s">
        <v>82</v>
      </c>
      <c r="AY1574" s="19" t="s">
        <v>380</v>
      </c>
      <c r="BE1574" s="193">
        <f>IF(N1574="základní",J1574,0)</f>
        <v>0</v>
      </c>
      <c r="BF1574" s="193">
        <f>IF(N1574="snížená",J1574,0)</f>
        <v>0</v>
      </c>
      <c r="BG1574" s="193">
        <f>IF(N1574="zákl. přenesená",J1574,0)</f>
        <v>0</v>
      </c>
      <c r="BH1574" s="193">
        <f>IF(N1574="sníž. přenesená",J1574,0)</f>
        <v>0</v>
      </c>
      <c r="BI1574" s="193">
        <f>IF(N1574="nulová",J1574,0)</f>
        <v>0</v>
      </c>
      <c r="BJ1574" s="19" t="s">
        <v>79</v>
      </c>
      <c r="BK1574" s="193">
        <f>ROUND(I1574*H1574,2)</f>
        <v>0</v>
      </c>
      <c r="BL1574" s="19" t="s">
        <v>281</v>
      </c>
      <c r="BM1574" s="192" t="s">
        <v>2292</v>
      </c>
    </row>
    <row r="1575" spans="1:65" s="13" customFormat="1" ht="11.25">
      <c r="B1575" s="194"/>
      <c r="C1575" s="195"/>
      <c r="D1575" s="196" t="s">
        <v>388</v>
      </c>
      <c r="E1575" s="197" t="s">
        <v>19</v>
      </c>
      <c r="F1575" s="198" t="s">
        <v>2293</v>
      </c>
      <c r="G1575" s="195"/>
      <c r="H1575" s="197" t="s">
        <v>19</v>
      </c>
      <c r="I1575" s="199"/>
      <c r="J1575" s="195"/>
      <c r="K1575" s="195"/>
      <c r="L1575" s="200"/>
      <c r="M1575" s="201"/>
      <c r="N1575" s="202"/>
      <c r="O1575" s="202"/>
      <c r="P1575" s="202"/>
      <c r="Q1575" s="202"/>
      <c r="R1575" s="202"/>
      <c r="S1575" s="202"/>
      <c r="T1575" s="203"/>
      <c r="AT1575" s="204" t="s">
        <v>388</v>
      </c>
      <c r="AU1575" s="204" t="s">
        <v>82</v>
      </c>
      <c r="AV1575" s="13" t="s">
        <v>79</v>
      </c>
      <c r="AW1575" s="13" t="s">
        <v>33</v>
      </c>
      <c r="AX1575" s="13" t="s">
        <v>72</v>
      </c>
      <c r="AY1575" s="204" t="s">
        <v>380</v>
      </c>
    </row>
    <row r="1576" spans="1:65" s="13" customFormat="1" ht="11.25">
      <c r="B1576" s="194"/>
      <c r="C1576" s="195"/>
      <c r="D1576" s="196" t="s">
        <v>388</v>
      </c>
      <c r="E1576" s="197" t="s">
        <v>19</v>
      </c>
      <c r="F1576" s="198" t="s">
        <v>627</v>
      </c>
      <c r="G1576" s="195"/>
      <c r="H1576" s="197" t="s">
        <v>19</v>
      </c>
      <c r="I1576" s="199"/>
      <c r="J1576" s="195"/>
      <c r="K1576" s="195"/>
      <c r="L1576" s="200"/>
      <c r="M1576" s="201"/>
      <c r="N1576" s="202"/>
      <c r="O1576" s="202"/>
      <c r="P1576" s="202"/>
      <c r="Q1576" s="202"/>
      <c r="R1576" s="202"/>
      <c r="S1576" s="202"/>
      <c r="T1576" s="203"/>
      <c r="AT1576" s="204" t="s">
        <v>388</v>
      </c>
      <c r="AU1576" s="204" t="s">
        <v>82</v>
      </c>
      <c r="AV1576" s="13" t="s">
        <v>79</v>
      </c>
      <c r="AW1576" s="13" t="s">
        <v>33</v>
      </c>
      <c r="AX1576" s="13" t="s">
        <v>72</v>
      </c>
      <c r="AY1576" s="204" t="s">
        <v>380</v>
      </c>
    </row>
    <row r="1577" spans="1:65" s="14" customFormat="1" ht="11.25">
      <c r="B1577" s="205"/>
      <c r="C1577" s="206"/>
      <c r="D1577" s="196" t="s">
        <v>388</v>
      </c>
      <c r="E1577" s="207" t="s">
        <v>19</v>
      </c>
      <c r="F1577" s="208" t="s">
        <v>628</v>
      </c>
      <c r="G1577" s="206"/>
      <c r="H1577" s="209">
        <v>733.24800000000005</v>
      </c>
      <c r="I1577" s="210"/>
      <c r="J1577" s="206"/>
      <c r="K1577" s="206"/>
      <c r="L1577" s="211"/>
      <c r="M1577" s="212"/>
      <c r="N1577" s="213"/>
      <c r="O1577" s="213"/>
      <c r="P1577" s="213"/>
      <c r="Q1577" s="213"/>
      <c r="R1577" s="213"/>
      <c r="S1577" s="213"/>
      <c r="T1577" s="214"/>
      <c r="AT1577" s="215" t="s">
        <v>388</v>
      </c>
      <c r="AU1577" s="215" t="s">
        <v>82</v>
      </c>
      <c r="AV1577" s="14" t="s">
        <v>82</v>
      </c>
      <c r="AW1577" s="14" t="s">
        <v>33</v>
      </c>
      <c r="AX1577" s="14" t="s">
        <v>72</v>
      </c>
      <c r="AY1577" s="215" t="s">
        <v>380</v>
      </c>
    </row>
    <row r="1578" spans="1:65" s="14" customFormat="1" ht="11.25">
      <c r="B1578" s="205"/>
      <c r="C1578" s="206"/>
      <c r="D1578" s="196" t="s">
        <v>388</v>
      </c>
      <c r="E1578" s="207" t="s">
        <v>19</v>
      </c>
      <c r="F1578" s="208" t="s">
        <v>629</v>
      </c>
      <c r="G1578" s="206"/>
      <c r="H1578" s="209">
        <v>-8.4</v>
      </c>
      <c r="I1578" s="210"/>
      <c r="J1578" s="206"/>
      <c r="K1578" s="206"/>
      <c r="L1578" s="211"/>
      <c r="M1578" s="212"/>
      <c r="N1578" s="213"/>
      <c r="O1578" s="213"/>
      <c r="P1578" s="213"/>
      <c r="Q1578" s="213"/>
      <c r="R1578" s="213"/>
      <c r="S1578" s="213"/>
      <c r="T1578" s="214"/>
      <c r="AT1578" s="215" t="s">
        <v>388</v>
      </c>
      <c r="AU1578" s="215" t="s">
        <v>82</v>
      </c>
      <c r="AV1578" s="14" t="s">
        <v>82</v>
      </c>
      <c r="AW1578" s="14" t="s">
        <v>33</v>
      </c>
      <c r="AX1578" s="14" t="s">
        <v>72</v>
      </c>
      <c r="AY1578" s="215" t="s">
        <v>380</v>
      </c>
    </row>
    <row r="1579" spans="1:65" s="13" customFormat="1" ht="11.25">
      <c r="B1579" s="194"/>
      <c r="C1579" s="195"/>
      <c r="D1579" s="196" t="s">
        <v>388</v>
      </c>
      <c r="E1579" s="197" t="s">
        <v>19</v>
      </c>
      <c r="F1579" s="198" t="s">
        <v>630</v>
      </c>
      <c r="G1579" s="195"/>
      <c r="H1579" s="197" t="s">
        <v>19</v>
      </c>
      <c r="I1579" s="199"/>
      <c r="J1579" s="195"/>
      <c r="K1579" s="195"/>
      <c r="L1579" s="200"/>
      <c r="M1579" s="201"/>
      <c r="N1579" s="202"/>
      <c r="O1579" s="202"/>
      <c r="P1579" s="202"/>
      <c r="Q1579" s="202"/>
      <c r="R1579" s="202"/>
      <c r="S1579" s="202"/>
      <c r="T1579" s="203"/>
      <c r="AT1579" s="204" t="s">
        <v>388</v>
      </c>
      <c r="AU1579" s="204" t="s">
        <v>82</v>
      </c>
      <c r="AV1579" s="13" t="s">
        <v>79</v>
      </c>
      <c r="AW1579" s="13" t="s">
        <v>33</v>
      </c>
      <c r="AX1579" s="13" t="s">
        <v>72</v>
      </c>
      <c r="AY1579" s="204" t="s">
        <v>380</v>
      </c>
    </row>
    <row r="1580" spans="1:65" s="14" customFormat="1" ht="11.25">
      <c r="B1580" s="205"/>
      <c r="C1580" s="206"/>
      <c r="D1580" s="196" t="s">
        <v>388</v>
      </c>
      <c r="E1580" s="207" t="s">
        <v>19</v>
      </c>
      <c r="F1580" s="208" t="s">
        <v>628</v>
      </c>
      <c r="G1580" s="206"/>
      <c r="H1580" s="209">
        <v>733.24800000000005</v>
      </c>
      <c r="I1580" s="210"/>
      <c r="J1580" s="206"/>
      <c r="K1580" s="206"/>
      <c r="L1580" s="211"/>
      <c r="M1580" s="212"/>
      <c r="N1580" s="213"/>
      <c r="O1580" s="213"/>
      <c r="P1580" s="213"/>
      <c r="Q1580" s="213"/>
      <c r="R1580" s="213"/>
      <c r="S1580" s="213"/>
      <c r="T1580" s="214"/>
      <c r="AT1580" s="215" t="s">
        <v>388</v>
      </c>
      <c r="AU1580" s="215" t="s">
        <v>82</v>
      </c>
      <c r="AV1580" s="14" t="s">
        <v>82</v>
      </c>
      <c r="AW1580" s="14" t="s">
        <v>33</v>
      </c>
      <c r="AX1580" s="14" t="s">
        <v>72</v>
      </c>
      <c r="AY1580" s="215" t="s">
        <v>380</v>
      </c>
    </row>
    <row r="1581" spans="1:65" s="14" customFormat="1" ht="11.25">
      <c r="B1581" s="205"/>
      <c r="C1581" s="206"/>
      <c r="D1581" s="196" t="s">
        <v>388</v>
      </c>
      <c r="E1581" s="207" t="s">
        <v>19</v>
      </c>
      <c r="F1581" s="208" t="s">
        <v>629</v>
      </c>
      <c r="G1581" s="206"/>
      <c r="H1581" s="209">
        <v>-8.4</v>
      </c>
      <c r="I1581" s="210"/>
      <c r="J1581" s="206"/>
      <c r="K1581" s="206"/>
      <c r="L1581" s="211"/>
      <c r="M1581" s="212"/>
      <c r="N1581" s="213"/>
      <c r="O1581" s="213"/>
      <c r="P1581" s="213"/>
      <c r="Q1581" s="213"/>
      <c r="R1581" s="213"/>
      <c r="S1581" s="213"/>
      <c r="T1581" s="214"/>
      <c r="AT1581" s="215" t="s">
        <v>388</v>
      </c>
      <c r="AU1581" s="215" t="s">
        <v>82</v>
      </c>
      <c r="AV1581" s="14" t="s">
        <v>82</v>
      </c>
      <c r="AW1581" s="14" t="s">
        <v>33</v>
      </c>
      <c r="AX1581" s="14" t="s">
        <v>72</v>
      </c>
      <c r="AY1581" s="215" t="s">
        <v>380</v>
      </c>
    </row>
    <row r="1582" spans="1:65" s="16" customFormat="1" ht="11.25">
      <c r="B1582" s="237"/>
      <c r="C1582" s="238"/>
      <c r="D1582" s="196" t="s">
        <v>388</v>
      </c>
      <c r="E1582" s="239" t="s">
        <v>19</v>
      </c>
      <c r="F1582" s="240" t="s">
        <v>572</v>
      </c>
      <c r="G1582" s="238"/>
      <c r="H1582" s="241">
        <v>1449.6959999999999</v>
      </c>
      <c r="I1582" s="242"/>
      <c r="J1582" s="238"/>
      <c r="K1582" s="238"/>
      <c r="L1582" s="243"/>
      <c r="M1582" s="244"/>
      <c r="N1582" s="245"/>
      <c r="O1582" s="245"/>
      <c r="P1582" s="245"/>
      <c r="Q1582" s="245"/>
      <c r="R1582" s="245"/>
      <c r="S1582" s="245"/>
      <c r="T1582" s="246"/>
      <c r="AT1582" s="247" t="s">
        <v>388</v>
      </c>
      <c r="AU1582" s="247" t="s">
        <v>82</v>
      </c>
      <c r="AV1582" s="16" t="s">
        <v>99</v>
      </c>
      <c r="AW1582" s="16" t="s">
        <v>33</v>
      </c>
      <c r="AX1582" s="16" t="s">
        <v>72</v>
      </c>
      <c r="AY1582" s="247" t="s">
        <v>380</v>
      </c>
    </row>
    <row r="1583" spans="1:65" s="13" customFormat="1" ht="11.25">
      <c r="B1583" s="194"/>
      <c r="C1583" s="195"/>
      <c r="D1583" s="196" t="s">
        <v>388</v>
      </c>
      <c r="E1583" s="197" t="s">
        <v>19</v>
      </c>
      <c r="F1583" s="198" t="s">
        <v>2294</v>
      </c>
      <c r="G1583" s="195"/>
      <c r="H1583" s="197" t="s">
        <v>19</v>
      </c>
      <c r="I1583" s="199"/>
      <c r="J1583" s="195"/>
      <c r="K1583" s="195"/>
      <c r="L1583" s="200"/>
      <c r="M1583" s="201"/>
      <c r="N1583" s="202"/>
      <c r="O1583" s="202"/>
      <c r="P1583" s="202"/>
      <c r="Q1583" s="202"/>
      <c r="R1583" s="202"/>
      <c r="S1583" s="202"/>
      <c r="T1583" s="203"/>
      <c r="AT1583" s="204" t="s">
        <v>388</v>
      </c>
      <c r="AU1583" s="204" t="s">
        <v>82</v>
      </c>
      <c r="AV1583" s="13" t="s">
        <v>79</v>
      </c>
      <c r="AW1583" s="13" t="s">
        <v>33</v>
      </c>
      <c r="AX1583" s="13" t="s">
        <v>72</v>
      </c>
      <c r="AY1583" s="204" t="s">
        <v>380</v>
      </c>
    </row>
    <row r="1584" spans="1:65" s="13" customFormat="1" ht="11.25">
      <c r="B1584" s="194"/>
      <c r="C1584" s="195"/>
      <c r="D1584" s="196" t="s">
        <v>388</v>
      </c>
      <c r="E1584" s="197" t="s">
        <v>19</v>
      </c>
      <c r="F1584" s="198" t="s">
        <v>627</v>
      </c>
      <c r="G1584" s="195"/>
      <c r="H1584" s="197" t="s">
        <v>19</v>
      </c>
      <c r="I1584" s="199"/>
      <c r="J1584" s="195"/>
      <c r="K1584" s="195"/>
      <c r="L1584" s="200"/>
      <c r="M1584" s="201"/>
      <c r="N1584" s="202"/>
      <c r="O1584" s="202"/>
      <c r="P1584" s="202"/>
      <c r="Q1584" s="202"/>
      <c r="R1584" s="202"/>
      <c r="S1584" s="202"/>
      <c r="T1584" s="203"/>
      <c r="AT1584" s="204" t="s">
        <v>388</v>
      </c>
      <c r="AU1584" s="204" t="s">
        <v>82</v>
      </c>
      <c r="AV1584" s="13" t="s">
        <v>79</v>
      </c>
      <c r="AW1584" s="13" t="s">
        <v>33</v>
      </c>
      <c r="AX1584" s="13" t="s">
        <v>72</v>
      </c>
      <c r="AY1584" s="204" t="s">
        <v>380</v>
      </c>
    </row>
    <row r="1585" spans="1:65" s="14" customFormat="1" ht="11.25">
      <c r="B1585" s="205"/>
      <c r="C1585" s="206"/>
      <c r="D1585" s="196" t="s">
        <v>388</v>
      </c>
      <c r="E1585" s="207" t="s">
        <v>19</v>
      </c>
      <c r="F1585" s="208" t="s">
        <v>707</v>
      </c>
      <c r="G1585" s="206"/>
      <c r="H1585" s="209">
        <v>65.664000000000001</v>
      </c>
      <c r="I1585" s="210"/>
      <c r="J1585" s="206"/>
      <c r="K1585" s="206"/>
      <c r="L1585" s="211"/>
      <c r="M1585" s="212"/>
      <c r="N1585" s="213"/>
      <c r="O1585" s="213"/>
      <c r="P1585" s="213"/>
      <c r="Q1585" s="213"/>
      <c r="R1585" s="213"/>
      <c r="S1585" s="213"/>
      <c r="T1585" s="214"/>
      <c r="AT1585" s="215" t="s">
        <v>388</v>
      </c>
      <c r="AU1585" s="215" t="s">
        <v>82</v>
      </c>
      <c r="AV1585" s="14" t="s">
        <v>82</v>
      </c>
      <c r="AW1585" s="14" t="s">
        <v>33</v>
      </c>
      <c r="AX1585" s="14" t="s">
        <v>72</v>
      </c>
      <c r="AY1585" s="215" t="s">
        <v>380</v>
      </c>
    </row>
    <row r="1586" spans="1:65" s="13" customFormat="1" ht="11.25">
      <c r="B1586" s="194"/>
      <c r="C1586" s="195"/>
      <c r="D1586" s="196" t="s">
        <v>388</v>
      </c>
      <c r="E1586" s="197" t="s">
        <v>19</v>
      </c>
      <c r="F1586" s="198" t="s">
        <v>630</v>
      </c>
      <c r="G1586" s="195"/>
      <c r="H1586" s="197" t="s">
        <v>19</v>
      </c>
      <c r="I1586" s="199"/>
      <c r="J1586" s="195"/>
      <c r="K1586" s="195"/>
      <c r="L1586" s="200"/>
      <c r="M1586" s="201"/>
      <c r="N1586" s="202"/>
      <c r="O1586" s="202"/>
      <c r="P1586" s="202"/>
      <c r="Q1586" s="202"/>
      <c r="R1586" s="202"/>
      <c r="S1586" s="202"/>
      <c r="T1586" s="203"/>
      <c r="AT1586" s="204" t="s">
        <v>388</v>
      </c>
      <c r="AU1586" s="204" t="s">
        <v>82</v>
      </c>
      <c r="AV1586" s="13" t="s">
        <v>79</v>
      </c>
      <c r="AW1586" s="13" t="s">
        <v>33</v>
      </c>
      <c r="AX1586" s="13" t="s">
        <v>72</v>
      </c>
      <c r="AY1586" s="204" t="s">
        <v>380</v>
      </c>
    </row>
    <row r="1587" spans="1:65" s="14" customFormat="1" ht="11.25">
      <c r="B1587" s="205"/>
      <c r="C1587" s="206"/>
      <c r="D1587" s="196" t="s">
        <v>388</v>
      </c>
      <c r="E1587" s="207" t="s">
        <v>19</v>
      </c>
      <c r="F1587" s="208" t="s">
        <v>708</v>
      </c>
      <c r="G1587" s="206"/>
      <c r="H1587" s="209">
        <v>66.239999999999995</v>
      </c>
      <c r="I1587" s="210"/>
      <c r="J1587" s="206"/>
      <c r="K1587" s="206"/>
      <c r="L1587" s="211"/>
      <c r="M1587" s="212"/>
      <c r="N1587" s="213"/>
      <c r="O1587" s="213"/>
      <c r="P1587" s="213"/>
      <c r="Q1587" s="213"/>
      <c r="R1587" s="213"/>
      <c r="S1587" s="213"/>
      <c r="T1587" s="214"/>
      <c r="AT1587" s="215" t="s">
        <v>388</v>
      </c>
      <c r="AU1587" s="215" t="s">
        <v>82</v>
      </c>
      <c r="AV1587" s="14" t="s">
        <v>82</v>
      </c>
      <c r="AW1587" s="14" t="s">
        <v>33</v>
      </c>
      <c r="AX1587" s="14" t="s">
        <v>72</v>
      </c>
      <c r="AY1587" s="215" t="s">
        <v>380</v>
      </c>
    </row>
    <row r="1588" spans="1:65" s="16" customFormat="1" ht="11.25">
      <c r="B1588" s="237"/>
      <c r="C1588" s="238"/>
      <c r="D1588" s="196" t="s">
        <v>388</v>
      </c>
      <c r="E1588" s="239" t="s">
        <v>19</v>
      </c>
      <c r="F1588" s="240" t="s">
        <v>572</v>
      </c>
      <c r="G1588" s="238"/>
      <c r="H1588" s="241">
        <v>131.904</v>
      </c>
      <c r="I1588" s="242"/>
      <c r="J1588" s="238"/>
      <c r="K1588" s="238"/>
      <c r="L1588" s="243"/>
      <c r="M1588" s="244"/>
      <c r="N1588" s="245"/>
      <c r="O1588" s="245"/>
      <c r="P1588" s="245"/>
      <c r="Q1588" s="245"/>
      <c r="R1588" s="245"/>
      <c r="S1588" s="245"/>
      <c r="T1588" s="246"/>
      <c r="AT1588" s="247" t="s">
        <v>388</v>
      </c>
      <c r="AU1588" s="247" t="s">
        <v>82</v>
      </c>
      <c r="AV1588" s="16" t="s">
        <v>99</v>
      </c>
      <c r="AW1588" s="16" t="s">
        <v>33</v>
      </c>
      <c r="AX1588" s="16" t="s">
        <v>72</v>
      </c>
      <c r="AY1588" s="247" t="s">
        <v>380</v>
      </c>
    </row>
    <row r="1589" spans="1:65" s="13" customFormat="1" ht="11.25">
      <c r="B1589" s="194"/>
      <c r="C1589" s="195"/>
      <c r="D1589" s="196" t="s">
        <v>388</v>
      </c>
      <c r="E1589" s="197" t="s">
        <v>19</v>
      </c>
      <c r="F1589" s="198" t="s">
        <v>2295</v>
      </c>
      <c r="G1589" s="195"/>
      <c r="H1589" s="197" t="s">
        <v>19</v>
      </c>
      <c r="I1589" s="199"/>
      <c r="J1589" s="195"/>
      <c r="K1589" s="195"/>
      <c r="L1589" s="200"/>
      <c r="M1589" s="201"/>
      <c r="N1589" s="202"/>
      <c r="O1589" s="202"/>
      <c r="P1589" s="202"/>
      <c r="Q1589" s="202"/>
      <c r="R1589" s="202"/>
      <c r="S1589" s="202"/>
      <c r="T1589" s="203"/>
      <c r="AT1589" s="204" t="s">
        <v>388</v>
      </c>
      <c r="AU1589" s="204" t="s">
        <v>82</v>
      </c>
      <c r="AV1589" s="13" t="s">
        <v>79</v>
      </c>
      <c r="AW1589" s="13" t="s">
        <v>33</v>
      </c>
      <c r="AX1589" s="13" t="s">
        <v>72</v>
      </c>
      <c r="AY1589" s="204" t="s">
        <v>380</v>
      </c>
    </row>
    <row r="1590" spans="1:65" s="13" customFormat="1" ht="11.25">
      <c r="B1590" s="194"/>
      <c r="C1590" s="195"/>
      <c r="D1590" s="196" t="s">
        <v>388</v>
      </c>
      <c r="E1590" s="197" t="s">
        <v>19</v>
      </c>
      <c r="F1590" s="198" t="s">
        <v>627</v>
      </c>
      <c r="G1590" s="195"/>
      <c r="H1590" s="197" t="s">
        <v>19</v>
      </c>
      <c r="I1590" s="199"/>
      <c r="J1590" s="195"/>
      <c r="K1590" s="195"/>
      <c r="L1590" s="200"/>
      <c r="M1590" s="201"/>
      <c r="N1590" s="202"/>
      <c r="O1590" s="202"/>
      <c r="P1590" s="202"/>
      <c r="Q1590" s="202"/>
      <c r="R1590" s="202"/>
      <c r="S1590" s="202"/>
      <c r="T1590" s="203"/>
      <c r="AT1590" s="204" t="s">
        <v>388</v>
      </c>
      <c r="AU1590" s="204" t="s">
        <v>82</v>
      </c>
      <c r="AV1590" s="13" t="s">
        <v>79</v>
      </c>
      <c r="AW1590" s="13" t="s">
        <v>33</v>
      </c>
      <c r="AX1590" s="13" t="s">
        <v>72</v>
      </c>
      <c r="AY1590" s="204" t="s">
        <v>380</v>
      </c>
    </row>
    <row r="1591" spans="1:65" s="14" customFormat="1" ht="11.25">
      <c r="B1591" s="205"/>
      <c r="C1591" s="206"/>
      <c r="D1591" s="196" t="s">
        <v>388</v>
      </c>
      <c r="E1591" s="207" t="s">
        <v>19</v>
      </c>
      <c r="F1591" s="208" t="s">
        <v>871</v>
      </c>
      <c r="G1591" s="206"/>
      <c r="H1591" s="209">
        <v>684.8</v>
      </c>
      <c r="I1591" s="210"/>
      <c r="J1591" s="206"/>
      <c r="K1591" s="206"/>
      <c r="L1591" s="211"/>
      <c r="M1591" s="212"/>
      <c r="N1591" s="213"/>
      <c r="O1591" s="213"/>
      <c r="P1591" s="213"/>
      <c r="Q1591" s="213"/>
      <c r="R1591" s="213"/>
      <c r="S1591" s="213"/>
      <c r="T1591" s="214"/>
      <c r="AT1591" s="215" t="s">
        <v>388</v>
      </c>
      <c r="AU1591" s="215" t="s">
        <v>82</v>
      </c>
      <c r="AV1591" s="14" t="s">
        <v>82</v>
      </c>
      <c r="AW1591" s="14" t="s">
        <v>33</v>
      </c>
      <c r="AX1591" s="14" t="s">
        <v>72</v>
      </c>
      <c r="AY1591" s="215" t="s">
        <v>380</v>
      </c>
    </row>
    <row r="1592" spans="1:65" s="13" customFormat="1" ht="11.25">
      <c r="B1592" s="194"/>
      <c r="C1592" s="195"/>
      <c r="D1592" s="196" t="s">
        <v>388</v>
      </c>
      <c r="E1592" s="197" t="s">
        <v>19</v>
      </c>
      <c r="F1592" s="198" t="s">
        <v>630</v>
      </c>
      <c r="G1592" s="195"/>
      <c r="H1592" s="197" t="s">
        <v>19</v>
      </c>
      <c r="I1592" s="199"/>
      <c r="J1592" s="195"/>
      <c r="K1592" s="195"/>
      <c r="L1592" s="200"/>
      <c r="M1592" s="201"/>
      <c r="N1592" s="202"/>
      <c r="O1592" s="202"/>
      <c r="P1592" s="202"/>
      <c r="Q1592" s="202"/>
      <c r="R1592" s="202"/>
      <c r="S1592" s="202"/>
      <c r="T1592" s="203"/>
      <c r="AT1592" s="204" t="s">
        <v>388</v>
      </c>
      <c r="AU1592" s="204" t="s">
        <v>82</v>
      </c>
      <c r="AV1592" s="13" t="s">
        <v>79</v>
      </c>
      <c r="AW1592" s="13" t="s">
        <v>33</v>
      </c>
      <c r="AX1592" s="13" t="s">
        <v>72</v>
      </c>
      <c r="AY1592" s="204" t="s">
        <v>380</v>
      </c>
    </row>
    <row r="1593" spans="1:65" s="14" customFormat="1" ht="11.25">
      <c r="B1593" s="205"/>
      <c r="C1593" s="206"/>
      <c r="D1593" s="196" t="s">
        <v>388</v>
      </c>
      <c r="E1593" s="207" t="s">
        <v>19</v>
      </c>
      <c r="F1593" s="208" t="s">
        <v>871</v>
      </c>
      <c r="G1593" s="206"/>
      <c r="H1593" s="209">
        <v>684.8</v>
      </c>
      <c r="I1593" s="210"/>
      <c r="J1593" s="206"/>
      <c r="K1593" s="206"/>
      <c r="L1593" s="211"/>
      <c r="M1593" s="212"/>
      <c r="N1593" s="213"/>
      <c r="O1593" s="213"/>
      <c r="P1593" s="213"/>
      <c r="Q1593" s="213"/>
      <c r="R1593" s="213"/>
      <c r="S1593" s="213"/>
      <c r="T1593" s="214"/>
      <c r="AT1593" s="215" t="s">
        <v>388</v>
      </c>
      <c r="AU1593" s="215" t="s">
        <v>82</v>
      </c>
      <c r="AV1593" s="14" t="s">
        <v>82</v>
      </c>
      <c r="AW1593" s="14" t="s">
        <v>33</v>
      </c>
      <c r="AX1593" s="14" t="s">
        <v>72</v>
      </c>
      <c r="AY1593" s="215" t="s">
        <v>380</v>
      </c>
    </row>
    <row r="1594" spans="1:65" s="16" customFormat="1" ht="11.25">
      <c r="B1594" s="237"/>
      <c r="C1594" s="238"/>
      <c r="D1594" s="196" t="s">
        <v>388</v>
      </c>
      <c r="E1594" s="239" t="s">
        <v>19</v>
      </c>
      <c r="F1594" s="240" t="s">
        <v>572</v>
      </c>
      <c r="G1594" s="238"/>
      <c r="H1594" s="241">
        <v>1369.6</v>
      </c>
      <c r="I1594" s="242"/>
      <c r="J1594" s="238"/>
      <c r="K1594" s="238"/>
      <c r="L1594" s="243"/>
      <c r="M1594" s="244"/>
      <c r="N1594" s="245"/>
      <c r="O1594" s="245"/>
      <c r="P1594" s="245"/>
      <c r="Q1594" s="245"/>
      <c r="R1594" s="245"/>
      <c r="S1594" s="245"/>
      <c r="T1594" s="246"/>
      <c r="AT1594" s="247" t="s">
        <v>388</v>
      </c>
      <c r="AU1594" s="247" t="s">
        <v>82</v>
      </c>
      <c r="AV1594" s="16" t="s">
        <v>99</v>
      </c>
      <c r="AW1594" s="16" t="s">
        <v>33</v>
      </c>
      <c r="AX1594" s="16" t="s">
        <v>72</v>
      </c>
      <c r="AY1594" s="247" t="s">
        <v>380</v>
      </c>
    </row>
    <row r="1595" spans="1:65" s="15" customFormat="1" ht="11.25">
      <c r="B1595" s="216"/>
      <c r="C1595" s="217"/>
      <c r="D1595" s="196" t="s">
        <v>388</v>
      </c>
      <c r="E1595" s="218" t="s">
        <v>19</v>
      </c>
      <c r="F1595" s="219" t="s">
        <v>419</v>
      </c>
      <c r="G1595" s="217"/>
      <c r="H1595" s="220">
        <v>2951.2</v>
      </c>
      <c r="I1595" s="221"/>
      <c r="J1595" s="217"/>
      <c r="K1595" s="217"/>
      <c r="L1595" s="222"/>
      <c r="M1595" s="223"/>
      <c r="N1595" s="224"/>
      <c r="O1595" s="224"/>
      <c r="P1595" s="224"/>
      <c r="Q1595" s="224"/>
      <c r="R1595" s="224"/>
      <c r="S1595" s="224"/>
      <c r="T1595" s="225"/>
      <c r="AT1595" s="226" t="s">
        <v>388</v>
      </c>
      <c r="AU1595" s="226" t="s">
        <v>82</v>
      </c>
      <c r="AV1595" s="15" t="s">
        <v>386</v>
      </c>
      <c r="AW1595" s="15" t="s">
        <v>33</v>
      </c>
      <c r="AX1595" s="15" t="s">
        <v>79</v>
      </c>
      <c r="AY1595" s="226" t="s">
        <v>380</v>
      </c>
    </row>
    <row r="1596" spans="1:65" s="12" customFormat="1" ht="22.9" customHeight="1">
      <c r="B1596" s="165"/>
      <c r="C1596" s="166"/>
      <c r="D1596" s="167" t="s">
        <v>71</v>
      </c>
      <c r="E1596" s="179" t="s">
        <v>2296</v>
      </c>
      <c r="F1596" s="179" t="s">
        <v>2297</v>
      </c>
      <c r="G1596" s="166"/>
      <c r="H1596" s="166"/>
      <c r="I1596" s="169"/>
      <c r="J1596" s="180">
        <f>BK1596</f>
        <v>0</v>
      </c>
      <c r="K1596" s="166"/>
      <c r="L1596" s="171"/>
      <c r="M1596" s="172"/>
      <c r="N1596" s="173"/>
      <c r="O1596" s="173"/>
      <c r="P1596" s="174">
        <f>SUM(P1597:P1629)</f>
        <v>0</v>
      </c>
      <c r="Q1596" s="173"/>
      <c r="R1596" s="174">
        <f>SUM(R1597:R1629)</f>
        <v>2.4293684000000004</v>
      </c>
      <c r="S1596" s="173"/>
      <c r="T1596" s="175">
        <f>SUM(T1597:T1629)</f>
        <v>0</v>
      </c>
      <c r="AR1596" s="176" t="s">
        <v>82</v>
      </c>
      <c r="AT1596" s="177" t="s">
        <v>71</v>
      </c>
      <c r="AU1596" s="177" t="s">
        <v>79</v>
      </c>
      <c r="AY1596" s="176" t="s">
        <v>380</v>
      </c>
      <c r="BK1596" s="178">
        <f>SUM(BK1597:BK1629)</f>
        <v>0</v>
      </c>
    </row>
    <row r="1597" spans="1:65" s="2" customFormat="1" ht="16.5" customHeight="1">
      <c r="A1597" s="36"/>
      <c r="B1597" s="37"/>
      <c r="C1597" s="181" t="s">
        <v>2298</v>
      </c>
      <c r="D1597" s="181" t="s">
        <v>382</v>
      </c>
      <c r="E1597" s="182" t="s">
        <v>2299</v>
      </c>
      <c r="F1597" s="183" t="s">
        <v>2300</v>
      </c>
      <c r="G1597" s="184" t="s">
        <v>398</v>
      </c>
      <c r="H1597" s="185">
        <v>551.6</v>
      </c>
      <c r="I1597" s="186"/>
      <c r="J1597" s="187">
        <f>ROUND(I1597*H1597,2)</f>
        <v>0</v>
      </c>
      <c r="K1597" s="183" t="s">
        <v>399</v>
      </c>
      <c r="L1597" s="41"/>
      <c r="M1597" s="188" t="s">
        <v>19</v>
      </c>
      <c r="N1597" s="189" t="s">
        <v>43</v>
      </c>
      <c r="O1597" s="66"/>
      <c r="P1597" s="190">
        <f>O1597*H1597</f>
        <v>0</v>
      </c>
      <c r="Q1597" s="190">
        <v>2.0120000000000001E-4</v>
      </c>
      <c r="R1597" s="190">
        <f>Q1597*H1597</f>
        <v>0.11098192000000001</v>
      </c>
      <c r="S1597" s="190">
        <v>0</v>
      </c>
      <c r="T1597" s="191">
        <f>S1597*H1597</f>
        <v>0</v>
      </c>
      <c r="U1597" s="36"/>
      <c r="V1597" s="36"/>
      <c r="W1597" s="36"/>
      <c r="X1597" s="36"/>
      <c r="Y1597" s="36"/>
      <c r="Z1597" s="36"/>
      <c r="AA1597" s="36"/>
      <c r="AB1597" s="36"/>
      <c r="AC1597" s="36"/>
      <c r="AD1597" s="36"/>
      <c r="AE1597" s="36"/>
      <c r="AR1597" s="192" t="s">
        <v>281</v>
      </c>
      <c r="AT1597" s="192" t="s">
        <v>382</v>
      </c>
      <c r="AU1597" s="192" t="s">
        <v>82</v>
      </c>
      <c r="AY1597" s="19" t="s">
        <v>380</v>
      </c>
      <c r="BE1597" s="193">
        <f>IF(N1597="základní",J1597,0)</f>
        <v>0</v>
      </c>
      <c r="BF1597" s="193">
        <f>IF(N1597="snížená",J1597,0)</f>
        <v>0</v>
      </c>
      <c r="BG1597" s="193">
        <f>IF(N1597="zákl. přenesená",J1597,0)</f>
        <v>0</v>
      </c>
      <c r="BH1597" s="193">
        <f>IF(N1597="sníž. přenesená",J1597,0)</f>
        <v>0</v>
      </c>
      <c r="BI1597" s="193">
        <f>IF(N1597="nulová",J1597,0)</f>
        <v>0</v>
      </c>
      <c r="BJ1597" s="19" t="s">
        <v>79</v>
      </c>
      <c r="BK1597" s="193">
        <f>ROUND(I1597*H1597,2)</f>
        <v>0</v>
      </c>
      <c r="BL1597" s="19" t="s">
        <v>281</v>
      </c>
      <c r="BM1597" s="192" t="s">
        <v>2301</v>
      </c>
    </row>
    <row r="1598" spans="1:65" s="14" customFormat="1" ht="11.25">
      <c r="B1598" s="205"/>
      <c r="C1598" s="206"/>
      <c r="D1598" s="196" t="s">
        <v>388</v>
      </c>
      <c r="E1598" s="207" t="s">
        <v>19</v>
      </c>
      <c r="F1598" s="208" t="s">
        <v>2302</v>
      </c>
      <c r="G1598" s="206"/>
      <c r="H1598" s="209">
        <v>551.6</v>
      </c>
      <c r="I1598" s="210"/>
      <c r="J1598" s="206"/>
      <c r="K1598" s="206"/>
      <c r="L1598" s="211"/>
      <c r="M1598" s="212"/>
      <c r="N1598" s="213"/>
      <c r="O1598" s="213"/>
      <c r="P1598" s="213"/>
      <c r="Q1598" s="213"/>
      <c r="R1598" s="213"/>
      <c r="S1598" s="213"/>
      <c r="T1598" s="214"/>
      <c r="AT1598" s="215" t="s">
        <v>388</v>
      </c>
      <c r="AU1598" s="215" t="s">
        <v>82</v>
      </c>
      <c r="AV1598" s="14" t="s">
        <v>82</v>
      </c>
      <c r="AW1598" s="14" t="s">
        <v>33</v>
      </c>
      <c r="AX1598" s="14" t="s">
        <v>79</v>
      </c>
      <c r="AY1598" s="215" t="s">
        <v>380</v>
      </c>
    </row>
    <row r="1599" spans="1:65" s="2" customFormat="1" ht="16.5" customHeight="1">
      <c r="A1599" s="36"/>
      <c r="B1599" s="37"/>
      <c r="C1599" s="181" t="s">
        <v>2303</v>
      </c>
      <c r="D1599" s="181" t="s">
        <v>382</v>
      </c>
      <c r="E1599" s="182" t="s">
        <v>2304</v>
      </c>
      <c r="F1599" s="183" t="s">
        <v>2305</v>
      </c>
      <c r="G1599" s="184" t="s">
        <v>398</v>
      </c>
      <c r="H1599" s="185">
        <v>4744.7</v>
      </c>
      <c r="I1599" s="186"/>
      <c r="J1599" s="187">
        <f>ROUND(I1599*H1599,2)</f>
        <v>0</v>
      </c>
      <c r="K1599" s="183" t="s">
        <v>399</v>
      </c>
      <c r="L1599" s="41"/>
      <c r="M1599" s="188" t="s">
        <v>19</v>
      </c>
      <c r="N1599" s="189" t="s">
        <v>43</v>
      </c>
      <c r="O1599" s="66"/>
      <c r="P1599" s="190">
        <f>O1599*H1599</f>
        <v>0</v>
      </c>
      <c r="Q1599" s="190">
        <v>2.0000000000000001E-4</v>
      </c>
      <c r="R1599" s="190">
        <f>Q1599*H1599</f>
        <v>0.94894000000000001</v>
      </c>
      <c r="S1599" s="190">
        <v>0</v>
      </c>
      <c r="T1599" s="191">
        <f>S1599*H1599</f>
        <v>0</v>
      </c>
      <c r="U1599" s="36"/>
      <c r="V1599" s="36"/>
      <c r="W1599" s="36"/>
      <c r="X1599" s="36"/>
      <c r="Y1599" s="36"/>
      <c r="Z1599" s="36"/>
      <c r="AA1599" s="36"/>
      <c r="AB1599" s="36"/>
      <c r="AC1599" s="36"/>
      <c r="AD1599" s="36"/>
      <c r="AE1599" s="36"/>
      <c r="AR1599" s="192" t="s">
        <v>281</v>
      </c>
      <c r="AT1599" s="192" t="s">
        <v>382</v>
      </c>
      <c r="AU1599" s="192" t="s">
        <v>82</v>
      </c>
      <c r="AY1599" s="19" t="s">
        <v>380</v>
      </c>
      <c r="BE1599" s="193">
        <f>IF(N1599="základní",J1599,0)</f>
        <v>0</v>
      </c>
      <c r="BF1599" s="193">
        <f>IF(N1599="snížená",J1599,0)</f>
        <v>0</v>
      </c>
      <c r="BG1599" s="193">
        <f>IF(N1599="zákl. přenesená",J1599,0)</f>
        <v>0</v>
      </c>
      <c r="BH1599" s="193">
        <f>IF(N1599="sníž. přenesená",J1599,0)</f>
        <v>0</v>
      </c>
      <c r="BI1599" s="193">
        <f>IF(N1599="nulová",J1599,0)</f>
        <v>0</v>
      </c>
      <c r="BJ1599" s="19" t="s">
        <v>79</v>
      </c>
      <c r="BK1599" s="193">
        <f>ROUND(I1599*H1599,2)</f>
        <v>0</v>
      </c>
      <c r="BL1599" s="19" t="s">
        <v>281</v>
      </c>
      <c r="BM1599" s="192" t="s">
        <v>2306</v>
      </c>
    </row>
    <row r="1600" spans="1:65" s="13" customFormat="1" ht="11.25">
      <c r="B1600" s="194"/>
      <c r="C1600" s="195"/>
      <c r="D1600" s="196" t="s">
        <v>388</v>
      </c>
      <c r="E1600" s="197" t="s">
        <v>19</v>
      </c>
      <c r="F1600" s="198" t="s">
        <v>2307</v>
      </c>
      <c r="G1600" s="195"/>
      <c r="H1600" s="197" t="s">
        <v>19</v>
      </c>
      <c r="I1600" s="199"/>
      <c r="J1600" s="195"/>
      <c r="K1600" s="195"/>
      <c r="L1600" s="200"/>
      <c r="M1600" s="201"/>
      <c r="N1600" s="202"/>
      <c r="O1600" s="202"/>
      <c r="P1600" s="202"/>
      <c r="Q1600" s="202"/>
      <c r="R1600" s="202"/>
      <c r="S1600" s="202"/>
      <c r="T1600" s="203"/>
      <c r="AT1600" s="204" t="s">
        <v>388</v>
      </c>
      <c r="AU1600" s="204" t="s">
        <v>82</v>
      </c>
      <c r="AV1600" s="13" t="s">
        <v>79</v>
      </c>
      <c r="AW1600" s="13" t="s">
        <v>33</v>
      </c>
      <c r="AX1600" s="13" t="s">
        <v>72</v>
      </c>
      <c r="AY1600" s="204" t="s">
        <v>380</v>
      </c>
    </row>
    <row r="1601" spans="1:65" s="14" customFormat="1" ht="11.25">
      <c r="B1601" s="205"/>
      <c r="C1601" s="206"/>
      <c r="D1601" s="196" t="s">
        <v>388</v>
      </c>
      <c r="E1601" s="207" t="s">
        <v>19</v>
      </c>
      <c r="F1601" s="208" t="s">
        <v>2308</v>
      </c>
      <c r="G1601" s="206"/>
      <c r="H1601" s="209">
        <v>757.2</v>
      </c>
      <c r="I1601" s="210"/>
      <c r="J1601" s="206"/>
      <c r="K1601" s="206"/>
      <c r="L1601" s="211"/>
      <c r="M1601" s="212"/>
      <c r="N1601" s="213"/>
      <c r="O1601" s="213"/>
      <c r="P1601" s="213"/>
      <c r="Q1601" s="213"/>
      <c r="R1601" s="213"/>
      <c r="S1601" s="213"/>
      <c r="T1601" s="214"/>
      <c r="AT1601" s="215" t="s">
        <v>388</v>
      </c>
      <c r="AU1601" s="215" t="s">
        <v>82</v>
      </c>
      <c r="AV1601" s="14" t="s">
        <v>82</v>
      </c>
      <c r="AW1601" s="14" t="s">
        <v>33</v>
      </c>
      <c r="AX1601" s="14" t="s">
        <v>72</v>
      </c>
      <c r="AY1601" s="215" t="s">
        <v>380</v>
      </c>
    </row>
    <row r="1602" spans="1:65" s="13" customFormat="1" ht="11.25">
      <c r="B1602" s="194"/>
      <c r="C1602" s="195"/>
      <c r="D1602" s="196" t="s">
        <v>388</v>
      </c>
      <c r="E1602" s="197" t="s">
        <v>19</v>
      </c>
      <c r="F1602" s="198" t="s">
        <v>1402</v>
      </c>
      <c r="G1602" s="195"/>
      <c r="H1602" s="197" t="s">
        <v>19</v>
      </c>
      <c r="I1602" s="199"/>
      <c r="J1602" s="195"/>
      <c r="K1602" s="195"/>
      <c r="L1602" s="200"/>
      <c r="M1602" s="201"/>
      <c r="N1602" s="202"/>
      <c r="O1602" s="202"/>
      <c r="P1602" s="202"/>
      <c r="Q1602" s="202"/>
      <c r="R1602" s="202"/>
      <c r="S1602" s="202"/>
      <c r="T1602" s="203"/>
      <c r="AT1602" s="204" t="s">
        <v>388</v>
      </c>
      <c r="AU1602" s="204" t="s">
        <v>82</v>
      </c>
      <c r="AV1602" s="13" t="s">
        <v>79</v>
      </c>
      <c r="AW1602" s="13" t="s">
        <v>33</v>
      </c>
      <c r="AX1602" s="13" t="s">
        <v>72</v>
      </c>
      <c r="AY1602" s="204" t="s">
        <v>380</v>
      </c>
    </row>
    <row r="1603" spans="1:65" s="14" customFormat="1" ht="11.25">
      <c r="B1603" s="205"/>
      <c r="C1603" s="206"/>
      <c r="D1603" s="196" t="s">
        <v>388</v>
      </c>
      <c r="E1603" s="207" t="s">
        <v>19</v>
      </c>
      <c r="F1603" s="208" t="s">
        <v>2309</v>
      </c>
      <c r="G1603" s="206"/>
      <c r="H1603" s="209">
        <v>3376.5</v>
      </c>
      <c r="I1603" s="210"/>
      <c r="J1603" s="206"/>
      <c r="K1603" s="206"/>
      <c r="L1603" s="211"/>
      <c r="M1603" s="212"/>
      <c r="N1603" s="213"/>
      <c r="O1603" s="213"/>
      <c r="P1603" s="213"/>
      <c r="Q1603" s="213"/>
      <c r="R1603" s="213"/>
      <c r="S1603" s="213"/>
      <c r="T1603" s="214"/>
      <c r="AT1603" s="215" t="s">
        <v>388</v>
      </c>
      <c r="AU1603" s="215" t="s">
        <v>82</v>
      </c>
      <c r="AV1603" s="14" t="s">
        <v>82</v>
      </c>
      <c r="AW1603" s="14" t="s">
        <v>33</v>
      </c>
      <c r="AX1603" s="14" t="s">
        <v>72</v>
      </c>
      <c r="AY1603" s="215" t="s">
        <v>380</v>
      </c>
    </row>
    <row r="1604" spans="1:65" s="13" customFormat="1" ht="11.25">
      <c r="B1604" s="194"/>
      <c r="C1604" s="195"/>
      <c r="D1604" s="196" t="s">
        <v>388</v>
      </c>
      <c r="E1604" s="197" t="s">
        <v>19</v>
      </c>
      <c r="F1604" s="198" t="s">
        <v>2310</v>
      </c>
      <c r="G1604" s="195"/>
      <c r="H1604" s="197" t="s">
        <v>19</v>
      </c>
      <c r="I1604" s="199"/>
      <c r="J1604" s="195"/>
      <c r="K1604" s="195"/>
      <c r="L1604" s="200"/>
      <c r="M1604" s="201"/>
      <c r="N1604" s="202"/>
      <c r="O1604" s="202"/>
      <c r="P1604" s="202"/>
      <c r="Q1604" s="202"/>
      <c r="R1604" s="202"/>
      <c r="S1604" s="202"/>
      <c r="T1604" s="203"/>
      <c r="AT1604" s="204" t="s">
        <v>388</v>
      </c>
      <c r="AU1604" s="204" t="s">
        <v>82</v>
      </c>
      <c r="AV1604" s="13" t="s">
        <v>79</v>
      </c>
      <c r="AW1604" s="13" t="s">
        <v>33</v>
      </c>
      <c r="AX1604" s="13" t="s">
        <v>72</v>
      </c>
      <c r="AY1604" s="204" t="s">
        <v>380</v>
      </c>
    </row>
    <row r="1605" spans="1:65" s="14" customFormat="1" ht="11.25">
      <c r="B1605" s="205"/>
      <c r="C1605" s="206"/>
      <c r="D1605" s="196" t="s">
        <v>388</v>
      </c>
      <c r="E1605" s="207" t="s">
        <v>19</v>
      </c>
      <c r="F1605" s="208" t="s">
        <v>2311</v>
      </c>
      <c r="G1605" s="206"/>
      <c r="H1605" s="209">
        <v>573.20000000000005</v>
      </c>
      <c r="I1605" s="210"/>
      <c r="J1605" s="206"/>
      <c r="K1605" s="206"/>
      <c r="L1605" s="211"/>
      <c r="M1605" s="212"/>
      <c r="N1605" s="213"/>
      <c r="O1605" s="213"/>
      <c r="P1605" s="213"/>
      <c r="Q1605" s="213"/>
      <c r="R1605" s="213"/>
      <c r="S1605" s="213"/>
      <c r="T1605" s="214"/>
      <c r="AT1605" s="215" t="s">
        <v>388</v>
      </c>
      <c r="AU1605" s="215" t="s">
        <v>82</v>
      </c>
      <c r="AV1605" s="14" t="s">
        <v>82</v>
      </c>
      <c r="AW1605" s="14" t="s">
        <v>33</v>
      </c>
      <c r="AX1605" s="14" t="s">
        <v>72</v>
      </c>
      <c r="AY1605" s="215" t="s">
        <v>380</v>
      </c>
    </row>
    <row r="1606" spans="1:65" s="13" customFormat="1" ht="11.25">
      <c r="B1606" s="194"/>
      <c r="C1606" s="195"/>
      <c r="D1606" s="196" t="s">
        <v>388</v>
      </c>
      <c r="E1606" s="197" t="s">
        <v>19</v>
      </c>
      <c r="F1606" s="198" t="s">
        <v>2312</v>
      </c>
      <c r="G1606" s="195"/>
      <c r="H1606" s="197" t="s">
        <v>19</v>
      </c>
      <c r="I1606" s="199"/>
      <c r="J1606" s="195"/>
      <c r="K1606" s="195"/>
      <c r="L1606" s="200"/>
      <c r="M1606" s="201"/>
      <c r="N1606" s="202"/>
      <c r="O1606" s="202"/>
      <c r="P1606" s="202"/>
      <c r="Q1606" s="202"/>
      <c r="R1606" s="202"/>
      <c r="S1606" s="202"/>
      <c r="T1606" s="203"/>
      <c r="AT1606" s="204" t="s">
        <v>388</v>
      </c>
      <c r="AU1606" s="204" t="s">
        <v>82</v>
      </c>
      <c r="AV1606" s="13" t="s">
        <v>79</v>
      </c>
      <c r="AW1606" s="13" t="s">
        <v>33</v>
      </c>
      <c r="AX1606" s="13" t="s">
        <v>72</v>
      </c>
      <c r="AY1606" s="204" t="s">
        <v>380</v>
      </c>
    </row>
    <row r="1607" spans="1:65" s="14" customFormat="1" ht="11.25">
      <c r="B1607" s="205"/>
      <c r="C1607" s="206"/>
      <c r="D1607" s="196" t="s">
        <v>388</v>
      </c>
      <c r="E1607" s="207" t="s">
        <v>19</v>
      </c>
      <c r="F1607" s="208" t="s">
        <v>2313</v>
      </c>
      <c r="G1607" s="206"/>
      <c r="H1607" s="209">
        <v>37.799999999999997</v>
      </c>
      <c r="I1607" s="210"/>
      <c r="J1607" s="206"/>
      <c r="K1607" s="206"/>
      <c r="L1607" s="211"/>
      <c r="M1607" s="212"/>
      <c r="N1607" s="213"/>
      <c r="O1607" s="213"/>
      <c r="P1607" s="213"/>
      <c r="Q1607" s="213"/>
      <c r="R1607" s="213"/>
      <c r="S1607" s="213"/>
      <c r="T1607" s="214"/>
      <c r="AT1607" s="215" t="s">
        <v>388</v>
      </c>
      <c r="AU1607" s="215" t="s">
        <v>82</v>
      </c>
      <c r="AV1607" s="14" t="s">
        <v>82</v>
      </c>
      <c r="AW1607" s="14" t="s">
        <v>33</v>
      </c>
      <c r="AX1607" s="14" t="s">
        <v>72</v>
      </c>
      <c r="AY1607" s="215" t="s">
        <v>380</v>
      </c>
    </row>
    <row r="1608" spans="1:65" s="15" customFormat="1" ht="11.25">
      <c r="B1608" s="216"/>
      <c r="C1608" s="217"/>
      <c r="D1608" s="196" t="s">
        <v>388</v>
      </c>
      <c r="E1608" s="218" t="s">
        <v>19</v>
      </c>
      <c r="F1608" s="219" t="s">
        <v>419</v>
      </c>
      <c r="G1608" s="217"/>
      <c r="H1608" s="220">
        <v>4744.7</v>
      </c>
      <c r="I1608" s="221"/>
      <c r="J1608" s="217"/>
      <c r="K1608" s="217"/>
      <c r="L1608" s="222"/>
      <c r="M1608" s="223"/>
      <c r="N1608" s="224"/>
      <c r="O1608" s="224"/>
      <c r="P1608" s="224"/>
      <c r="Q1608" s="224"/>
      <c r="R1608" s="224"/>
      <c r="S1608" s="224"/>
      <c r="T1608" s="225"/>
      <c r="AT1608" s="226" t="s">
        <v>388</v>
      </c>
      <c r="AU1608" s="226" t="s">
        <v>82</v>
      </c>
      <c r="AV1608" s="15" t="s">
        <v>386</v>
      </c>
      <c r="AW1608" s="15" t="s">
        <v>33</v>
      </c>
      <c r="AX1608" s="15" t="s">
        <v>79</v>
      </c>
      <c r="AY1608" s="226" t="s">
        <v>380</v>
      </c>
    </row>
    <row r="1609" spans="1:65" s="2" customFormat="1" ht="24.2" customHeight="1">
      <c r="A1609" s="36"/>
      <c r="B1609" s="37"/>
      <c r="C1609" s="181" t="s">
        <v>2314</v>
      </c>
      <c r="D1609" s="181" t="s">
        <v>382</v>
      </c>
      <c r="E1609" s="182" t="s">
        <v>2315</v>
      </c>
      <c r="F1609" s="183" t="s">
        <v>2316</v>
      </c>
      <c r="G1609" s="184" t="s">
        <v>398</v>
      </c>
      <c r="H1609" s="185">
        <v>4744.7</v>
      </c>
      <c r="I1609" s="186"/>
      <c r="J1609" s="187">
        <f>ROUND(I1609*H1609,2)</f>
        <v>0</v>
      </c>
      <c r="K1609" s="183" t="s">
        <v>399</v>
      </c>
      <c r="L1609" s="41"/>
      <c r="M1609" s="188" t="s">
        <v>19</v>
      </c>
      <c r="N1609" s="189" t="s">
        <v>43</v>
      </c>
      <c r="O1609" s="66"/>
      <c r="P1609" s="190">
        <f>O1609*H1609</f>
        <v>0</v>
      </c>
      <c r="Q1609" s="190">
        <v>2.5839999999999999E-4</v>
      </c>
      <c r="R1609" s="190">
        <f>Q1609*H1609</f>
        <v>1.2260304799999999</v>
      </c>
      <c r="S1609" s="190">
        <v>0</v>
      </c>
      <c r="T1609" s="191">
        <f>S1609*H1609</f>
        <v>0</v>
      </c>
      <c r="U1609" s="36"/>
      <c r="V1609" s="36"/>
      <c r="W1609" s="36"/>
      <c r="X1609" s="36"/>
      <c r="Y1609" s="36"/>
      <c r="Z1609" s="36"/>
      <c r="AA1609" s="36"/>
      <c r="AB1609" s="36"/>
      <c r="AC1609" s="36"/>
      <c r="AD1609" s="36"/>
      <c r="AE1609" s="36"/>
      <c r="AR1609" s="192" t="s">
        <v>281</v>
      </c>
      <c r="AT1609" s="192" t="s">
        <v>382</v>
      </c>
      <c r="AU1609" s="192" t="s">
        <v>82</v>
      </c>
      <c r="AY1609" s="19" t="s">
        <v>380</v>
      </c>
      <c r="BE1609" s="193">
        <f>IF(N1609="základní",J1609,0)</f>
        <v>0</v>
      </c>
      <c r="BF1609" s="193">
        <f>IF(N1609="snížená",J1609,0)</f>
        <v>0</v>
      </c>
      <c r="BG1609" s="193">
        <f>IF(N1609="zákl. přenesená",J1609,0)</f>
        <v>0</v>
      </c>
      <c r="BH1609" s="193">
        <f>IF(N1609="sníž. přenesená",J1609,0)</f>
        <v>0</v>
      </c>
      <c r="BI1609" s="193">
        <f>IF(N1609="nulová",J1609,0)</f>
        <v>0</v>
      </c>
      <c r="BJ1609" s="19" t="s">
        <v>79</v>
      </c>
      <c r="BK1609" s="193">
        <f>ROUND(I1609*H1609,2)</f>
        <v>0</v>
      </c>
      <c r="BL1609" s="19" t="s">
        <v>281</v>
      </c>
      <c r="BM1609" s="192" t="s">
        <v>2317</v>
      </c>
    </row>
    <row r="1610" spans="1:65" s="13" customFormat="1" ht="11.25">
      <c r="B1610" s="194"/>
      <c r="C1610" s="195"/>
      <c r="D1610" s="196" t="s">
        <v>388</v>
      </c>
      <c r="E1610" s="197" t="s">
        <v>19</v>
      </c>
      <c r="F1610" s="198" t="s">
        <v>2295</v>
      </c>
      <c r="G1610" s="195"/>
      <c r="H1610" s="197" t="s">
        <v>19</v>
      </c>
      <c r="I1610" s="199"/>
      <c r="J1610" s="195"/>
      <c r="K1610" s="195"/>
      <c r="L1610" s="200"/>
      <c r="M1610" s="201"/>
      <c r="N1610" s="202"/>
      <c r="O1610" s="202"/>
      <c r="P1610" s="202"/>
      <c r="Q1610" s="202"/>
      <c r="R1610" s="202"/>
      <c r="S1610" s="202"/>
      <c r="T1610" s="203"/>
      <c r="AT1610" s="204" t="s">
        <v>388</v>
      </c>
      <c r="AU1610" s="204" t="s">
        <v>82</v>
      </c>
      <c r="AV1610" s="13" t="s">
        <v>79</v>
      </c>
      <c r="AW1610" s="13" t="s">
        <v>33</v>
      </c>
      <c r="AX1610" s="13" t="s">
        <v>72</v>
      </c>
      <c r="AY1610" s="204" t="s">
        <v>380</v>
      </c>
    </row>
    <row r="1611" spans="1:65" s="14" customFormat="1" ht="11.25">
      <c r="B1611" s="205"/>
      <c r="C1611" s="206"/>
      <c r="D1611" s="196" t="s">
        <v>388</v>
      </c>
      <c r="E1611" s="207" t="s">
        <v>19</v>
      </c>
      <c r="F1611" s="208" t="s">
        <v>2308</v>
      </c>
      <c r="G1611" s="206"/>
      <c r="H1611" s="209">
        <v>757.2</v>
      </c>
      <c r="I1611" s="210"/>
      <c r="J1611" s="206"/>
      <c r="K1611" s="206"/>
      <c r="L1611" s="211"/>
      <c r="M1611" s="212"/>
      <c r="N1611" s="213"/>
      <c r="O1611" s="213"/>
      <c r="P1611" s="213"/>
      <c r="Q1611" s="213"/>
      <c r="R1611" s="213"/>
      <c r="S1611" s="213"/>
      <c r="T1611" s="214"/>
      <c r="AT1611" s="215" t="s">
        <v>388</v>
      </c>
      <c r="AU1611" s="215" t="s">
        <v>82</v>
      </c>
      <c r="AV1611" s="14" t="s">
        <v>82</v>
      </c>
      <c r="AW1611" s="14" t="s">
        <v>33</v>
      </c>
      <c r="AX1611" s="14" t="s">
        <v>72</v>
      </c>
      <c r="AY1611" s="215" t="s">
        <v>380</v>
      </c>
    </row>
    <row r="1612" spans="1:65" s="13" customFormat="1" ht="11.25">
      <c r="B1612" s="194"/>
      <c r="C1612" s="195"/>
      <c r="D1612" s="196" t="s">
        <v>388</v>
      </c>
      <c r="E1612" s="197" t="s">
        <v>19</v>
      </c>
      <c r="F1612" s="198" t="s">
        <v>2318</v>
      </c>
      <c r="G1612" s="195"/>
      <c r="H1612" s="197" t="s">
        <v>19</v>
      </c>
      <c r="I1612" s="199"/>
      <c r="J1612" s="195"/>
      <c r="K1612" s="195"/>
      <c r="L1612" s="200"/>
      <c r="M1612" s="201"/>
      <c r="N1612" s="202"/>
      <c r="O1612" s="202"/>
      <c r="P1612" s="202"/>
      <c r="Q1612" s="202"/>
      <c r="R1612" s="202"/>
      <c r="S1612" s="202"/>
      <c r="T1612" s="203"/>
      <c r="AT1612" s="204" t="s">
        <v>388</v>
      </c>
      <c r="AU1612" s="204" t="s">
        <v>82</v>
      </c>
      <c r="AV1612" s="13" t="s">
        <v>79</v>
      </c>
      <c r="AW1612" s="13" t="s">
        <v>33</v>
      </c>
      <c r="AX1612" s="13" t="s">
        <v>72</v>
      </c>
      <c r="AY1612" s="204" t="s">
        <v>380</v>
      </c>
    </row>
    <row r="1613" spans="1:65" s="14" customFormat="1" ht="11.25">
      <c r="B1613" s="205"/>
      <c r="C1613" s="206"/>
      <c r="D1613" s="196" t="s">
        <v>388</v>
      </c>
      <c r="E1613" s="207" t="s">
        <v>19</v>
      </c>
      <c r="F1613" s="208" t="s">
        <v>2309</v>
      </c>
      <c r="G1613" s="206"/>
      <c r="H1613" s="209">
        <v>3376.5</v>
      </c>
      <c r="I1613" s="210"/>
      <c r="J1613" s="206"/>
      <c r="K1613" s="206"/>
      <c r="L1613" s="211"/>
      <c r="M1613" s="212"/>
      <c r="N1613" s="213"/>
      <c r="O1613" s="213"/>
      <c r="P1613" s="213"/>
      <c r="Q1613" s="213"/>
      <c r="R1613" s="213"/>
      <c r="S1613" s="213"/>
      <c r="T1613" s="214"/>
      <c r="AT1613" s="215" t="s">
        <v>388</v>
      </c>
      <c r="AU1613" s="215" t="s">
        <v>82</v>
      </c>
      <c r="AV1613" s="14" t="s">
        <v>82</v>
      </c>
      <c r="AW1613" s="14" t="s">
        <v>33</v>
      </c>
      <c r="AX1613" s="14" t="s">
        <v>72</v>
      </c>
      <c r="AY1613" s="215" t="s">
        <v>380</v>
      </c>
    </row>
    <row r="1614" spans="1:65" s="13" customFormat="1" ht="11.25">
      <c r="B1614" s="194"/>
      <c r="C1614" s="195"/>
      <c r="D1614" s="196" t="s">
        <v>388</v>
      </c>
      <c r="E1614" s="197" t="s">
        <v>19</v>
      </c>
      <c r="F1614" s="198" t="s">
        <v>2310</v>
      </c>
      <c r="G1614" s="195"/>
      <c r="H1614" s="197" t="s">
        <v>19</v>
      </c>
      <c r="I1614" s="199"/>
      <c r="J1614" s="195"/>
      <c r="K1614" s="195"/>
      <c r="L1614" s="200"/>
      <c r="M1614" s="201"/>
      <c r="N1614" s="202"/>
      <c r="O1614" s="202"/>
      <c r="P1614" s="202"/>
      <c r="Q1614" s="202"/>
      <c r="R1614" s="202"/>
      <c r="S1614" s="202"/>
      <c r="T1614" s="203"/>
      <c r="AT1614" s="204" t="s">
        <v>388</v>
      </c>
      <c r="AU1614" s="204" t="s">
        <v>82</v>
      </c>
      <c r="AV1614" s="13" t="s">
        <v>79</v>
      </c>
      <c r="AW1614" s="13" t="s">
        <v>33</v>
      </c>
      <c r="AX1614" s="13" t="s">
        <v>72</v>
      </c>
      <c r="AY1614" s="204" t="s">
        <v>380</v>
      </c>
    </row>
    <row r="1615" spans="1:65" s="14" customFormat="1" ht="11.25">
      <c r="B1615" s="205"/>
      <c r="C1615" s="206"/>
      <c r="D1615" s="196" t="s">
        <v>388</v>
      </c>
      <c r="E1615" s="207" t="s">
        <v>19</v>
      </c>
      <c r="F1615" s="208" t="s">
        <v>2311</v>
      </c>
      <c r="G1615" s="206"/>
      <c r="H1615" s="209">
        <v>573.20000000000005</v>
      </c>
      <c r="I1615" s="210"/>
      <c r="J1615" s="206"/>
      <c r="K1615" s="206"/>
      <c r="L1615" s="211"/>
      <c r="M1615" s="212"/>
      <c r="N1615" s="213"/>
      <c r="O1615" s="213"/>
      <c r="P1615" s="213"/>
      <c r="Q1615" s="213"/>
      <c r="R1615" s="213"/>
      <c r="S1615" s="213"/>
      <c r="T1615" s="214"/>
      <c r="AT1615" s="215" t="s">
        <v>388</v>
      </c>
      <c r="AU1615" s="215" t="s">
        <v>82</v>
      </c>
      <c r="AV1615" s="14" t="s">
        <v>82</v>
      </c>
      <c r="AW1615" s="14" t="s">
        <v>33</v>
      </c>
      <c r="AX1615" s="14" t="s">
        <v>72</v>
      </c>
      <c r="AY1615" s="215" t="s">
        <v>380</v>
      </c>
    </row>
    <row r="1616" spans="1:65" s="13" customFormat="1" ht="11.25">
      <c r="B1616" s="194"/>
      <c r="C1616" s="195"/>
      <c r="D1616" s="196" t="s">
        <v>388</v>
      </c>
      <c r="E1616" s="197" t="s">
        <v>19</v>
      </c>
      <c r="F1616" s="198" t="s">
        <v>2312</v>
      </c>
      <c r="G1616" s="195"/>
      <c r="H1616" s="197" t="s">
        <v>19</v>
      </c>
      <c r="I1616" s="199"/>
      <c r="J1616" s="195"/>
      <c r="K1616" s="195"/>
      <c r="L1616" s="200"/>
      <c r="M1616" s="201"/>
      <c r="N1616" s="202"/>
      <c r="O1616" s="202"/>
      <c r="P1616" s="202"/>
      <c r="Q1616" s="202"/>
      <c r="R1616" s="202"/>
      <c r="S1616" s="202"/>
      <c r="T1616" s="203"/>
      <c r="AT1616" s="204" t="s">
        <v>388</v>
      </c>
      <c r="AU1616" s="204" t="s">
        <v>82</v>
      </c>
      <c r="AV1616" s="13" t="s">
        <v>79</v>
      </c>
      <c r="AW1616" s="13" t="s">
        <v>33</v>
      </c>
      <c r="AX1616" s="13" t="s">
        <v>72</v>
      </c>
      <c r="AY1616" s="204" t="s">
        <v>380</v>
      </c>
    </row>
    <row r="1617" spans="1:65" s="14" customFormat="1" ht="11.25">
      <c r="B1617" s="205"/>
      <c r="C1617" s="206"/>
      <c r="D1617" s="196" t="s">
        <v>388</v>
      </c>
      <c r="E1617" s="207" t="s">
        <v>19</v>
      </c>
      <c r="F1617" s="208" t="s">
        <v>2313</v>
      </c>
      <c r="G1617" s="206"/>
      <c r="H1617" s="209">
        <v>37.799999999999997</v>
      </c>
      <c r="I1617" s="210"/>
      <c r="J1617" s="206"/>
      <c r="K1617" s="206"/>
      <c r="L1617" s="211"/>
      <c r="M1617" s="212"/>
      <c r="N1617" s="213"/>
      <c r="O1617" s="213"/>
      <c r="P1617" s="213"/>
      <c r="Q1617" s="213"/>
      <c r="R1617" s="213"/>
      <c r="S1617" s="213"/>
      <c r="T1617" s="214"/>
      <c r="AT1617" s="215" t="s">
        <v>388</v>
      </c>
      <c r="AU1617" s="215" t="s">
        <v>82</v>
      </c>
      <c r="AV1617" s="14" t="s">
        <v>82</v>
      </c>
      <c r="AW1617" s="14" t="s">
        <v>33</v>
      </c>
      <c r="AX1617" s="14" t="s">
        <v>72</v>
      </c>
      <c r="AY1617" s="215" t="s">
        <v>380</v>
      </c>
    </row>
    <row r="1618" spans="1:65" s="15" customFormat="1" ht="11.25">
      <c r="B1618" s="216"/>
      <c r="C1618" s="217"/>
      <c r="D1618" s="196" t="s">
        <v>388</v>
      </c>
      <c r="E1618" s="218" t="s">
        <v>19</v>
      </c>
      <c r="F1618" s="219" t="s">
        <v>419</v>
      </c>
      <c r="G1618" s="217"/>
      <c r="H1618" s="220">
        <v>4744.7</v>
      </c>
      <c r="I1618" s="221"/>
      <c r="J1618" s="217"/>
      <c r="K1618" s="217"/>
      <c r="L1618" s="222"/>
      <c r="M1618" s="223"/>
      <c r="N1618" s="224"/>
      <c r="O1618" s="224"/>
      <c r="P1618" s="224"/>
      <c r="Q1618" s="224"/>
      <c r="R1618" s="224"/>
      <c r="S1618" s="224"/>
      <c r="T1618" s="225"/>
      <c r="AT1618" s="226" t="s">
        <v>388</v>
      </c>
      <c r="AU1618" s="226" t="s">
        <v>82</v>
      </c>
      <c r="AV1618" s="15" t="s">
        <v>386</v>
      </c>
      <c r="AW1618" s="15" t="s">
        <v>33</v>
      </c>
      <c r="AX1618" s="15" t="s">
        <v>79</v>
      </c>
      <c r="AY1618" s="226" t="s">
        <v>380</v>
      </c>
    </row>
    <row r="1619" spans="1:65" s="2" customFormat="1" ht="24.2" customHeight="1">
      <c r="A1619" s="36"/>
      <c r="B1619" s="37"/>
      <c r="C1619" s="181" t="s">
        <v>2319</v>
      </c>
      <c r="D1619" s="181" t="s">
        <v>382</v>
      </c>
      <c r="E1619" s="182" t="s">
        <v>2320</v>
      </c>
      <c r="F1619" s="183" t="s">
        <v>2321</v>
      </c>
      <c r="G1619" s="184" t="s">
        <v>398</v>
      </c>
      <c r="H1619" s="185">
        <v>551.6</v>
      </c>
      <c r="I1619" s="186"/>
      <c r="J1619" s="187">
        <f>ROUND(I1619*H1619,2)</f>
        <v>0</v>
      </c>
      <c r="K1619" s="183" t="s">
        <v>19</v>
      </c>
      <c r="L1619" s="41"/>
      <c r="M1619" s="188" t="s">
        <v>19</v>
      </c>
      <c r="N1619" s="189" t="s">
        <v>43</v>
      </c>
      <c r="O1619" s="66"/>
      <c r="P1619" s="190">
        <f>O1619*H1619</f>
        <v>0</v>
      </c>
      <c r="Q1619" s="190">
        <v>2.5999999999999998E-4</v>
      </c>
      <c r="R1619" s="190">
        <f>Q1619*H1619</f>
        <v>0.14341599999999999</v>
      </c>
      <c r="S1619" s="190">
        <v>0</v>
      </c>
      <c r="T1619" s="191">
        <f>S1619*H1619</f>
        <v>0</v>
      </c>
      <c r="U1619" s="36"/>
      <c r="V1619" s="36"/>
      <c r="W1619" s="36"/>
      <c r="X1619" s="36"/>
      <c r="Y1619" s="36"/>
      <c r="Z1619" s="36"/>
      <c r="AA1619" s="36"/>
      <c r="AB1619" s="36"/>
      <c r="AC1619" s="36"/>
      <c r="AD1619" s="36"/>
      <c r="AE1619" s="36"/>
      <c r="AR1619" s="192" t="s">
        <v>281</v>
      </c>
      <c r="AT1619" s="192" t="s">
        <v>382</v>
      </c>
      <c r="AU1619" s="192" t="s">
        <v>82</v>
      </c>
      <c r="AY1619" s="19" t="s">
        <v>380</v>
      </c>
      <c r="BE1619" s="193">
        <f>IF(N1619="základní",J1619,0)</f>
        <v>0</v>
      </c>
      <c r="BF1619" s="193">
        <f>IF(N1619="snížená",J1619,0)</f>
        <v>0</v>
      </c>
      <c r="BG1619" s="193">
        <f>IF(N1619="zákl. přenesená",J1619,0)</f>
        <v>0</v>
      </c>
      <c r="BH1619" s="193">
        <f>IF(N1619="sníž. přenesená",J1619,0)</f>
        <v>0</v>
      </c>
      <c r="BI1619" s="193">
        <f>IF(N1619="nulová",J1619,0)</f>
        <v>0</v>
      </c>
      <c r="BJ1619" s="19" t="s">
        <v>79</v>
      </c>
      <c r="BK1619" s="193">
        <f>ROUND(I1619*H1619,2)</f>
        <v>0</v>
      </c>
      <c r="BL1619" s="19" t="s">
        <v>281</v>
      </c>
      <c r="BM1619" s="192" t="s">
        <v>2322</v>
      </c>
    </row>
    <row r="1620" spans="1:65" s="13" customFormat="1" ht="11.25">
      <c r="B1620" s="194"/>
      <c r="C1620" s="195"/>
      <c r="D1620" s="196" t="s">
        <v>388</v>
      </c>
      <c r="E1620" s="197" t="s">
        <v>19</v>
      </c>
      <c r="F1620" s="198" t="s">
        <v>2295</v>
      </c>
      <c r="G1620" s="195"/>
      <c r="H1620" s="197" t="s">
        <v>19</v>
      </c>
      <c r="I1620" s="199"/>
      <c r="J1620" s="195"/>
      <c r="K1620" s="195"/>
      <c r="L1620" s="200"/>
      <c r="M1620" s="201"/>
      <c r="N1620" s="202"/>
      <c r="O1620" s="202"/>
      <c r="P1620" s="202"/>
      <c r="Q1620" s="202"/>
      <c r="R1620" s="202"/>
      <c r="S1620" s="202"/>
      <c r="T1620" s="203"/>
      <c r="AT1620" s="204" t="s">
        <v>388</v>
      </c>
      <c r="AU1620" s="204" t="s">
        <v>82</v>
      </c>
      <c r="AV1620" s="13" t="s">
        <v>79</v>
      </c>
      <c r="AW1620" s="13" t="s">
        <v>33</v>
      </c>
      <c r="AX1620" s="13" t="s">
        <v>72</v>
      </c>
      <c r="AY1620" s="204" t="s">
        <v>380</v>
      </c>
    </row>
    <row r="1621" spans="1:65" s="14" customFormat="1" ht="11.25">
      <c r="B1621" s="205"/>
      <c r="C1621" s="206"/>
      <c r="D1621" s="196" t="s">
        <v>388</v>
      </c>
      <c r="E1621" s="207" t="s">
        <v>19</v>
      </c>
      <c r="F1621" s="208" t="s">
        <v>313</v>
      </c>
      <c r="G1621" s="206"/>
      <c r="H1621" s="209">
        <v>218.4</v>
      </c>
      <c r="I1621" s="210"/>
      <c r="J1621" s="206"/>
      <c r="K1621" s="206"/>
      <c r="L1621" s="211"/>
      <c r="M1621" s="212"/>
      <c r="N1621" s="213"/>
      <c r="O1621" s="213"/>
      <c r="P1621" s="213"/>
      <c r="Q1621" s="213"/>
      <c r="R1621" s="213"/>
      <c r="S1621" s="213"/>
      <c r="T1621" s="214"/>
      <c r="AT1621" s="215" t="s">
        <v>388</v>
      </c>
      <c r="AU1621" s="215" t="s">
        <v>82</v>
      </c>
      <c r="AV1621" s="14" t="s">
        <v>82</v>
      </c>
      <c r="AW1621" s="14" t="s">
        <v>33</v>
      </c>
      <c r="AX1621" s="14" t="s">
        <v>72</v>
      </c>
      <c r="AY1621" s="215" t="s">
        <v>380</v>
      </c>
    </row>
    <row r="1622" spans="1:65" s="16" customFormat="1" ht="11.25">
      <c r="B1622" s="237"/>
      <c r="C1622" s="238"/>
      <c r="D1622" s="196" t="s">
        <v>388</v>
      </c>
      <c r="E1622" s="239" t="s">
        <v>311</v>
      </c>
      <c r="F1622" s="240" t="s">
        <v>572</v>
      </c>
      <c r="G1622" s="238"/>
      <c r="H1622" s="241">
        <v>218.4</v>
      </c>
      <c r="I1622" s="242"/>
      <c r="J1622" s="238"/>
      <c r="K1622" s="238"/>
      <c r="L1622" s="243"/>
      <c r="M1622" s="244"/>
      <c r="N1622" s="245"/>
      <c r="O1622" s="245"/>
      <c r="P1622" s="245"/>
      <c r="Q1622" s="245"/>
      <c r="R1622" s="245"/>
      <c r="S1622" s="245"/>
      <c r="T1622" s="246"/>
      <c r="AT1622" s="247" t="s">
        <v>388</v>
      </c>
      <c r="AU1622" s="247" t="s">
        <v>82</v>
      </c>
      <c r="AV1622" s="16" t="s">
        <v>99</v>
      </c>
      <c r="AW1622" s="16" t="s">
        <v>33</v>
      </c>
      <c r="AX1622" s="16" t="s">
        <v>72</v>
      </c>
      <c r="AY1622" s="247" t="s">
        <v>380</v>
      </c>
    </row>
    <row r="1623" spans="1:65" s="13" customFormat="1" ht="11.25">
      <c r="B1623" s="194"/>
      <c r="C1623" s="195"/>
      <c r="D1623" s="196" t="s">
        <v>388</v>
      </c>
      <c r="E1623" s="197" t="s">
        <v>19</v>
      </c>
      <c r="F1623" s="198" t="s">
        <v>2323</v>
      </c>
      <c r="G1623" s="195"/>
      <c r="H1623" s="197" t="s">
        <v>19</v>
      </c>
      <c r="I1623" s="199"/>
      <c r="J1623" s="195"/>
      <c r="K1623" s="195"/>
      <c r="L1623" s="200"/>
      <c r="M1623" s="201"/>
      <c r="N1623" s="202"/>
      <c r="O1623" s="202"/>
      <c r="P1623" s="202"/>
      <c r="Q1623" s="202"/>
      <c r="R1623" s="202"/>
      <c r="S1623" s="202"/>
      <c r="T1623" s="203"/>
      <c r="AT1623" s="204" t="s">
        <v>388</v>
      </c>
      <c r="AU1623" s="204" t="s">
        <v>82</v>
      </c>
      <c r="AV1623" s="13" t="s">
        <v>79</v>
      </c>
      <c r="AW1623" s="13" t="s">
        <v>33</v>
      </c>
      <c r="AX1623" s="13" t="s">
        <v>72</v>
      </c>
      <c r="AY1623" s="204" t="s">
        <v>380</v>
      </c>
    </row>
    <row r="1624" spans="1:65" s="14" customFormat="1" ht="11.25">
      <c r="B1624" s="205"/>
      <c r="C1624" s="206"/>
      <c r="D1624" s="196" t="s">
        <v>388</v>
      </c>
      <c r="E1624" s="207" t="s">
        <v>19</v>
      </c>
      <c r="F1624" s="208" t="s">
        <v>316</v>
      </c>
      <c r="G1624" s="206"/>
      <c r="H1624" s="209">
        <v>11.6</v>
      </c>
      <c r="I1624" s="210"/>
      <c r="J1624" s="206"/>
      <c r="K1624" s="206"/>
      <c r="L1624" s="211"/>
      <c r="M1624" s="212"/>
      <c r="N1624" s="213"/>
      <c r="O1624" s="213"/>
      <c r="P1624" s="213"/>
      <c r="Q1624" s="213"/>
      <c r="R1624" s="213"/>
      <c r="S1624" s="213"/>
      <c r="T1624" s="214"/>
      <c r="AT1624" s="215" t="s">
        <v>388</v>
      </c>
      <c r="AU1624" s="215" t="s">
        <v>82</v>
      </c>
      <c r="AV1624" s="14" t="s">
        <v>82</v>
      </c>
      <c r="AW1624" s="14" t="s">
        <v>33</v>
      </c>
      <c r="AX1624" s="14" t="s">
        <v>72</v>
      </c>
      <c r="AY1624" s="215" t="s">
        <v>380</v>
      </c>
    </row>
    <row r="1625" spans="1:65" s="16" customFormat="1" ht="11.25">
      <c r="B1625" s="237"/>
      <c r="C1625" s="238"/>
      <c r="D1625" s="196" t="s">
        <v>388</v>
      </c>
      <c r="E1625" s="239" t="s">
        <v>314</v>
      </c>
      <c r="F1625" s="240" t="s">
        <v>572</v>
      </c>
      <c r="G1625" s="238"/>
      <c r="H1625" s="241">
        <v>11.6</v>
      </c>
      <c r="I1625" s="242"/>
      <c r="J1625" s="238"/>
      <c r="K1625" s="238"/>
      <c r="L1625" s="243"/>
      <c r="M1625" s="244"/>
      <c r="N1625" s="245"/>
      <c r="O1625" s="245"/>
      <c r="P1625" s="245"/>
      <c r="Q1625" s="245"/>
      <c r="R1625" s="245"/>
      <c r="S1625" s="245"/>
      <c r="T1625" s="246"/>
      <c r="AT1625" s="247" t="s">
        <v>388</v>
      </c>
      <c r="AU1625" s="247" t="s">
        <v>82</v>
      </c>
      <c r="AV1625" s="16" t="s">
        <v>99</v>
      </c>
      <c r="AW1625" s="16" t="s">
        <v>33</v>
      </c>
      <c r="AX1625" s="16" t="s">
        <v>72</v>
      </c>
      <c r="AY1625" s="247" t="s">
        <v>380</v>
      </c>
    </row>
    <row r="1626" spans="1:65" s="13" customFormat="1" ht="11.25">
      <c r="B1626" s="194"/>
      <c r="C1626" s="195"/>
      <c r="D1626" s="196" t="s">
        <v>388</v>
      </c>
      <c r="E1626" s="197" t="s">
        <v>19</v>
      </c>
      <c r="F1626" s="198" t="s">
        <v>2318</v>
      </c>
      <c r="G1626" s="195"/>
      <c r="H1626" s="197" t="s">
        <v>19</v>
      </c>
      <c r="I1626" s="199"/>
      <c r="J1626" s="195"/>
      <c r="K1626" s="195"/>
      <c r="L1626" s="200"/>
      <c r="M1626" s="201"/>
      <c r="N1626" s="202"/>
      <c r="O1626" s="202"/>
      <c r="P1626" s="202"/>
      <c r="Q1626" s="202"/>
      <c r="R1626" s="202"/>
      <c r="S1626" s="202"/>
      <c r="T1626" s="203"/>
      <c r="AT1626" s="204" t="s">
        <v>388</v>
      </c>
      <c r="AU1626" s="204" t="s">
        <v>82</v>
      </c>
      <c r="AV1626" s="13" t="s">
        <v>79</v>
      </c>
      <c r="AW1626" s="13" t="s">
        <v>33</v>
      </c>
      <c r="AX1626" s="13" t="s">
        <v>72</v>
      </c>
      <c r="AY1626" s="204" t="s">
        <v>380</v>
      </c>
    </row>
    <row r="1627" spans="1:65" s="14" customFormat="1" ht="11.25">
      <c r="B1627" s="205"/>
      <c r="C1627" s="206"/>
      <c r="D1627" s="196" t="s">
        <v>388</v>
      </c>
      <c r="E1627" s="207" t="s">
        <v>19</v>
      </c>
      <c r="F1627" s="208" t="s">
        <v>310</v>
      </c>
      <c r="G1627" s="206"/>
      <c r="H1627" s="209">
        <v>321.60000000000002</v>
      </c>
      <c r="I1627" s="210"/>
      <c r="J1627" s="206"/>
      <c r="K1627" s="206"/>
      <c r="L1627" s="211"/>
      <c r="M1627" s="212"/>
      <c r="N1627" s="213"/>
      <c r="O1627" s="213"/>
      <c r="P1627" s="213"/>
      <c r="Q1627" s="213"/>
      <c r="R1627" s="213"/>
      <c r="S1627" s="213"/>
      <c r="T1627" s="214"/>
      <c r="AT1627" s="215" t="s">
        <v>388</v>
      </c>
      <c r="AU1627" s="215" t="s">
        <v>82</v>
      </c>
      <c r="AV1627" s="14" t="s">
        <v>82</v>
      </c>
      <c r="AW1627" s="14" t="s">
        <v>33</v>
      </c>
      <c r="AX1627" s="14" t="s">
        <v>72</v>
      </c>
      <c r="AY1627" s="215" t="s">
        <v>380</v>
      </c>
    </row>
    <row r="1628" spans="1:65" s="16" customFormat="1" ht="11.25">
      <c r="B1628" s="237"/>
      <c r="C1628" s="238"/>
      <c r="D1628" s="196" t="s">
        <v>388</v>
      </c>
      <c r="E1628" s="239" t="s">
        <v>308</v>
      </c>
      <c r="F1628" s="240" t="s">
        <v>572</v>
      </c>
      <c r="G1628" s="238"/>
      <c r="H1628" s="241">
        <v>321.60000000000002</v>
      </c>
      <c r="I1628" s="242"/>
      <c r="J1628" s="238"/>
      <c r="K1628" s="238"/>
      <c r="L1628" s="243"/>
      <c r="M1628" s="244"/>
      <c r="N1628" s="245"/>
      <c r="O1628" s="245"/>
      <c r="P1628" s="245"/>
      <c r="Q1628" s="245"/>
      <c r="R1628" s="245"/>
      <c r="S1628" s="245"/>
      <c r="T1628" s="246"/>
      <c r="AT1628" s="247" t="s">
        <v>388</v>
      </c>
      <c r="AU1628" s="247" t="s">
        <v>82</v>
      </c>
      <c r="AV1628" s="16" t="s">
        <v>99</v>
      </c>
      <c r="AW1628" s="16" t="s">
        <v>33</v>
      </c>
      <c r="AX1628" s="16" t="s">
        <v>72</v>
      </c>
      <c r="AY1628" s="247" t="s">
        <v>380</v>
      </c>
    </row>
    <row r="1629" spans="1:65" s="15" customFormat="1" ht="11.25">
      <c r="B1629" s="216"/>
      <c r="C1629" s="217"/>
      <c r="D1629" s="196" t="s">
        <v>388</v>
      </c>
      <c r="E1629" s="218" t="s">
        <v>19</v>
      </c>
      <c r="F1629" s="219" t="s">
        <v>419</v>
      </c>
      <c r="G1629" s="217"/>
      <c r="H1629" s="220">
        <v>551.6</v>
      </c>
      <c r="I1629" s="221"/>
      <c r="J1629" s="217"/>
      <c r="K1629" s="217"/>
      <c r="L1629" s="222"/>
      <c r="M1629" s="223"/>
      <c r="N1629" s="224"/>
      <c r="O1629" s="224"/>
      <c r="P1629" s="224"/>
      <c r="Q1629" s="224"/>
      <c r="R1629" s="224"/>
      <c r="S1629" s="224"/>
      <c r="T1629" s="225"/>
      <c r="AT1629" s="226" t="s">
        <v>388</v>
      </c>
      <c r="AU1629" s="226" t="s">
        <v>82</v>
      </c>
      <c r="AV1629" s="15" t="s">
        <v>386</v>
      </c>
      <c r="AW1629" s="15" t="s">
        <v>33</v>
      </c>
      <c r="AX1629" s="15" t="s">
        <v>79</v>
      </c>
      <c r="AY1629" s="226" t="s">
        <v>380</v>
      </c>
    </row>
    <row r="1630" spans="1:65" s="12" customFormat="1" ht="25.9" customHeight="1">
      <c r="B1630" s="165"/>
      <c r="C1630" s="166"/>
      <c r="D1630" s="167" t="s">
        <v>71</v>
      </c>
      <c r="E1630" s="168" t="s">
        <v>465</v>
      </c>
      <c r="F1630" s="168" t="s">
        <v>2324</v>
      </c>
      <c r="G1630" s="166"/>
      <c r="H1630" s="166"/>
      <c r="I1630" s="169"/>
      <c r="J1630" s="170">
        <f>BK1630</f>
        <v>0</v>
      </c>
      <c r="K1630" s="166"/>
      <c r="L1630" s="171"/>
      <c r="M1630" s="172"/>
      <c r="N1630" s="173"/>
      <c r="O1630" s="173"/>
      <c r="P1630" s="174">
        <f>P1631</f>
        <v>0</v>
      </c>
      <c r="Q1630" s="173"/>
      <c r="R1630" s="174">
        <f>R1631</f>
        <v>0</v>
      </c>
      <c r="S1630" s="173"/>
      <c r="T1630" s="175">
        <f>T1631</f>
        <v>0</v>
      </c>
      <c r="AR1630" s="176" t="s">
        <v>99</v>
      </c>
      <c r="AT1630" s="177" t="s">
        <v>71</v>
      </c>
      <c r="AU1630" s="177" t="s">
        <v>72</v>
      </c>
      <c r="AY1630" s="176" t="s">
        <v>380</v>
      </c>
      <c r="BK1630" s="178">
        <f>BK1631</f>
        <v>0</v>
      </c>
    </row>
    <row r="1631" spans="1:65" s="12" customFormat="1" ht="22.9" customHeight="1">
      <c r="B1631" s="165"/>
      <c r="C1631" s="166"/>
      <c r="D1631" s="167" t="s">
        <v>71</v>
      </c>
      <c r="E1631" s="179" t="s">
        <v>2325</v>
      </c>
      <c r="F1631" s="179" t="s">
        <v>2326</v>
      </c>
      <c r="G1631" s="166"/>
      <c r="H1631" s="166"/>
      <c r="I1631" s="169"/>
      <c r="J1631" s="180">
        <f>BK1631</f>
        <v>0</v>
      </c>
      <c r="K1631" s="166"/>
      <c r="L1631" s="171"/>
      <c r="M1631" s="172"/>
      <c r="N1631" s="173"/>
      <c r="O1631" s="173"/>
      <c r="P1631" s="174">
        <f>P1632</f>
        <v>0</v>
      </c>
      <c r="Q1631" s="173"/>
      <c r="R1631" s="174">
        <f>R1632</f>
        <v>0</v>
      </c>
      <c r="S1631" s="173"/>
      <c r="T1631" s="175">
        <f>T1632</f>
        <v>0</v>
      </c>
      <c r="AR1631" s="176" t="s">
        <v>99</v>
      </c>
      <c r="AT1631" s="177" t="s">
        <v>71</v>
      </c>
      <c r="AU1631" s="177" t="s">
        <v>79</v>
      </c>
      <c r="AY1631" s="176" t="s">
        <v>380</v>
      </c>
      <c r="BK1631" s="178">
        <f>BK1632</f>
        <v>0</v>
      </c>
    </row>
    <row r="1632" spans="1:65" s="2" customFormat="1" ht="21.75" customHeight="1">
      <c r="A1632" s="36"/>
      <c r="B1632" s="37"/>
      <c r="C1632" s="181" t="s">
        <v>2327</v>
      </c>
      <c r="D1632" s="181" t="s">
        <v>382</v>
      </c>
      <c r="E1632" s="182" t="s">
        <v>2328</v>
      </c>
      <c r="F1632" s="183" t="s">
        <v>2329</v>
      </c>
      <c r="G1632" s="184" t="s">
        <v>2006</v>
      </c>
      <c r="H1632" s="185">
        <v>2</v>
      </c>
      <c r="I1632" s="186"/>
      <c r="J1632" s="187">
        <f>ROUND(I1632*H1632,2)</f>
        <v>0</v>
      </c>
      <c r="K1632" s="183" t="s">
        <v>19</v>
      </c>
      <c r="L1632" s="41"/>
      <c r="M1632" s="252" t="s">
        <v>19</v>
      </c>
      <c r="N1632" s="253" t="s">
        <v>43</v>
      </c>
      <c r="O1632" s="254"/>
      <c r="P1632" s="255">
        <f>O1632*H1632</f>
        <v>0</v>
      </c>
      <c r="Q1632" s="255">
        <v>0</v>
      </c>
      <c r="R1632" s="255">
        <f>Q1632*H1632</f>
        <v>0</v>
      </c>
      <c r="S1632" s="255">
        <v>0</v>
      </c>
      <c r="T1632" s="256">
        <f>S1632*H1632</f>
        <v>0</v>
      </c>
      <c r="U1632" s="36"/>
      <c r="V1632" s="36"/>
      <c r="W1632" s="36"/>
      <c r="X1632" s="36"/>
      <c r="Y1632" s="36"/>
      <c r="Z1632" s="36"/>
      <c r="AA1632" s="36"/>
      <c r="AB1632" s="36"/>
      <c r="AC1632" s="36"/>
      <c r="AD1632" s="36"/>
      <c r="AE1632" s="36"/>
      <c r="AR1632" s="192" t="s">
        <v>787</v>
      </c>
      <c r="AT1632" s="192" t="s">
        <v>382</v>
      </c>
      <c r="AU1632" s="192" t="s">
        <v>82</v>
      </c>
      <c r="AY1632" s="19" t="s">
        <v>380</v>
      </c>
      <c r="BE1632" s="193">
        <f>IF(N1632="základní",J1632,0)</f>
        <v>0</v>
      </c>
      <c r="BF1632" s="193">
        <f>IF(N1632="snížená",J1632,0)</f>
        <v>0</v>
      </c>
      <c r="BG1632" s="193">
        <f>IF(N1632="zákl. přenesená",J1632,0)</f>
        <v>0</v>
      </c>
      <c r="BH1632" s="193">
        <f>IF(N1632="sníž. přenesená",J1632,0)</f>
        <v>0</v>
      </c>
      <c r="BI1632" s="193">
        <f>IF(N1632="nulová",J1632,0)</f>
        <v>0</v>
      </c>
      <c r="BJ1632" s="19" t="s">
        <v>79</v>
      </c>
      <c r="BK1632" s="193">
        <f>ROUND(I1632*H1632,2)</f>
        <v>0</v>
      </c>
      <c r="BL1632" s="19" t="s">
        <v>787</v>
      </c>
      <c r="BM1632" s="192" t="s">
        <v>2330</v>
      </c>
    </row>
    <row r="1633" spans="1:31" s="2" customFormat="1" ht="6.95" customHeight="1">
      <c r="A1633" s="36"/>
      <c r="B1633" s="49"/>
      <c r="C1633" s="50"/>
      <c r="D1633" s="50"/>
      <c r="E1633" s="50"/>
      <c r="F1633" s="50"/>
      <c r="G1633" s="50"/>
      <c r="H1633" s="50"/>
      <c r="I1633" s="50"/>
      <c r="J1633" s="50"/>
      <c r="K1633" s="50"/>
      <c r="L1633" s="41"/>
      <c r="M1633" s="36"/>
      <c r="O1633" s="36"/>
      <c r="P1633" s="36"/>
      <c r="Q1633" s="36"/>
      <c r="R1633" s="36"/>
      <c r="S1633" s="36"/>
      <c r="T1633" s="36"/>
      <c r="U1633" s="36"/>
      <c r="V1633" s="36"/>
      <c r="W1633" s="36"/>
      <c r="X1633" s="36"/>
      <c r="Y1633" s="36"/>
      <c r="Z1633" s="36"/>
      <c r="AA1633" s="36"/>
      <c r="AB1633" s="36"/>
      <c r="AC1633" s="36"/>
      <c r="AD1633" s="36"/>
      <c r="AE1633" s="36"/>
    </row>
  </sheetData>
  <sheetProtection algorithmName="SHA-512" hashValue="D/sP+NUQsPa4rp1jhclLV7L+LRVWTVKEn2DlYZJovQv3uJdcUI6HVCmn4OGI+TItjlQd3ffGbqB8/DHCRQVIEw==" saltValue="Usr5BnLY4ZkaF07l1IIpyb6JcbpLQv3fIqB3orRnlD+Uwmz9L4ZdaHYMJH6IBWd80N/dFAqNzUXh1z5NDqkJVg==" spinCount="100000" sheet="1" objects="1" scenarios="1" formatColumns="0" formatRows="0" autoFilter="0"/>
  <autoFilter ref="C113:K1632"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2331</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ROUND(J100,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ROUND((SUM(BE100:BE438)),  2)</f>
        <v>0</v>
      </c>
      <c r="G35" s="36"/>
      <c r="H35" s="36"/>
      <c r="I35" s="127">
        <v>0.21</v>
      </c>
      <c r="J35" s="126">
        <f>ROUND(((SUM(BE100:BE438))*I35),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ROUND((SUM(BF100:BF438)),  2)</f>
        <v>0</v>
      </c>
      <c r="G36" s="36"/>
      <c r="H36" s="36"/>
      <c r="I36" s="127">
        <v>0.15</v>
      </c>
      <c r="J36" s="126">
        <f>ROUND(((SUM(BF100:BF438))*I36),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ROUND((SUM(BG100:BG438)),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ROUND((SUM(BH100:BH438)),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ROUND((SUM(BI100:BI438)),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ÚT - ZAŘÍZENÍ PRO VYTÁPĚNÍ STAVEB</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J100</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2333</v>
      </c>
      <c r="E64" s="146"/>
      <c r="F64" s="146"/>
      <c r="G64" s="146"/>
      <c r="H64" s="146"/>
      <c r="I64" s="146"/>
      <c r="J64" s="147">
        <f>J101</f>
        <v>0</v>
      </c>
      <c r="K64" s="144"/>
      <c r="L64" s="148"/>
    </row>
    <row r="65" spans="1:31" s="10" customFormat="1" ht="19.899999999999999" customHeight="1">
      <c r="B65" s="149"/>
      <c r="C65" s="99"/>
      <c r="D65" s="150" t="s">
        <v>2334</v>
      </c>
      <c r="E65" s="151"/>
      <c r="F65" s="151"/>
      <c r="G65" s="151"/>
      <c r="H65" s="151"/>
      <c r="I65" s="151"/>
      <c r="J65" s="152">
        <f>J102</f>
        <v>0</v>
      </c>
      <c r="K65" s="99"/>
      <c r="L65" s="153"/>
    </row>
    <row r="66" spans="1:31" s="10" customFormat="1" ht="19.899999999999999" customHeight="1">
      <c r="B66" s="149"/>
      <c r="C66" s="99"/>
      <c r="D66" s="150" t="s">
        <v>2335</v>
      </c>
      <c r="E66" s="151"/>
      <c r="F66" s="151"/>
      <c r="G66" s="151"/>
      <c r="H66" s="151"/>
      <c r="I66" s="151"/>
      <c r="J66" s="152">
        <f>J139</f>
        <v>0</v>
      </c>
      <c r="K66" s="99"/>
      <c r="L66" s="153"/>
    </row>
    <row r="67" spans="1:31" s="10" customFormat="1" ht="19.899999999999999" customHeight="1">
      <c r="B67" s="149"/>
      <c r="C67" s="99"/>
      <c r="D67" s="150" t="s">
        <v>2336</v>
      </c>
      <c r="E67" s="151"/>
      <c r="F67" s="151"/>
      <c r="G67" s="151"/>
      <c r="H67" s="151"/>
      <c r="I67" s="151"/>
      <c r="J67" s="152">
        <f>J158</f>
        <v>0</v>
      </c>
      <c r="K67" s="99"/>
      <c r="L67" s="153"/>
    </row>
    <row r="68" spans="1:31" s="10" customFormat="1" ht="19.899999999999999" customHeight="1">
      <c r="B68" s="149"/>
      <c r="C68" s="99"/>
      <c r="D68" s="150" t="s">
        <v>2337</v>
      </c>
      <c r="E68" s="151"/>
      <c r="F68" s="151"/>
      <c r="G68" s="151"/>
      <c r="H68" s="151"/>
      <c r="I68" s="151"/>
      <c r="J68" s="152">
        <f>J191</f>
        <v>0</v>
      </c>
      <c r="K68" s="99"/>
      <c r="L68" s="153"/>
    </row>
    <row r="69" spans="1:31" s="10" customFormat="1" ht="19.899999999999999" customHeight="1">
      <c r="B69" s="149"/>
      <c r="C69" s="99"/>
      <c r="D69" s="150" t="s">
        <v>2338</v>
      </c>
      <c r="E69" s="151"/>
      <c r="F69" s="151"/>
      <c r="G69" s="151"/>
      <c r="H69" s="151"/>
      <c r="I69" s="151"/>
      <c r="J69" s="152">
        <f>J227</f>
        <v>0</v>
      </c>
      <c r="K69" s="99"/>
      <c r="L69" s="153"/>
    </row>
    <row r="70" spans="1:31" s="10" customFormat="1" ht="19.899999999999999" customHeight="1">
      <c r="B70" s="149"/>
      <c r="C70" s="99"/>
      <c r="D70" s="150" t="s">
        <v>2339</v>
      </c>
      <c r="E70" s="151"/>
      <c r="F70" s="151"/>
      <c r="G70" s="151"/>
      <c r="H70" s="151"/>
      <c r="I70" s="151"/>
      <c r="J70" s="152">
        <f>J280</f>
        <v>0</v>
      </c>
      <c r="K70" s="99"/>
      <c r="L70" s="153"/>
    </row>
    <row r="71" spans="1:31" s="10" customFormat="1" ht="19.899999999999999" customHeight="1">
      <c r="B71" s="149"/>
      <c r="C71" s="99"/>
      <c r="D71" s="150" t="s">
        <v>2340</v>
      </c>
      <c r="E71" s="151"/>
      <c r="F71" s="151"/>
      <c r="G71" s="151"/>
      <c r="H71" s="151"/>
      <c r="I71" s="151"/>
      <c r="J71" s="152">
        <f>J332</f>
        <v>0</v>
      </c>
      <c r="K71" s="99"/>
      <c r="L71" s="153"/>
    </row>
    <row r="72" spans="1:31" s="10" customFormat="1" ht="19.899999999999999" customHeight="1">
      <c r="B72" s="149"/>
      <c r="C72" s="99"/>
      <c r="D72" s="150" t="s">
        <v>2341</v>
      </c>
      <c r="E72" s="151"/>
      <c r="F72" s="151"/>
      <c r="G72" s="151"/>
      <c r="H72" s="151"/>
      <c r="I72" s="151"/>
      <c r="J72" s="152">
        <f>J339</f>
        <v>0</v>
      </c>
      <c r="K72" s="99"/>
      <c r="L72" s="153"/>
    </row>
    <row r="73" spans="1:31" s="10" customFormat="1" ht="19.899999999999999" customHeight="1">
      <c r="B73" s="149"/>
      <c r="C73" s="99"/>
      <c r="D73" s="150" t="s">
        <v>2342</v>
      </c>
      <c r="E73" s="151"/>
      <c r="F73" s="151"/>
      <c r="G73" s="151"/>
      <c r="H73" s="151"/>
      <c r="I73" s="151"/>
      <c r="J73" s="152">
        <f>J349</f>
        <v>0</v>
      </c>
      <c r="K73" s="99"/>
      <c r="L73" s="153"/>
    </row>
    <row r="74" spans="1:31" s="10" customFormat="1" ht="19.899999999999999" customHeight="1">
      <c r="B74" s="149"/>
      <c r="C74" s="99"/>
      <c r="D74" s="150" t="s">
        <v>2343</v>
      </c>
      <c r="E74" s="151"/>
      <c r="F74" s="151"/>
      <c r="G74" s="151"/>
      <c r="H74" s="151"/>
      <c r="I74" s="151"/>
      <c r="J74" s="152">
        <f>J354</f>
        <v>0</v>
      </c>
      <c r="K74" s="99"/>
      <c r="L74" s="153"/>
    </row>
    <row r="75" spans="1:31" s="10" customFormat="1" ht="19.899999999999999" customHeight="1">
      <c r="B75" s="149"/>
      <c r="C75" s="99"/>
      <c r="D75" s="150" t="s">
        <v>2344</v>
      </c>
      <c r="E75" s="151"/>
      <c r="F75" s="151"/>
      <c r="G75" s="151"/>
      <c r="H75" s="151"/>
      <c r="I75" s="151"/>
      <c r="J75" s="152">
        <f>J363</f>
        <v>0</v>
      </c>
      <c r="K75" s="99"/>
      <c r="L75" s="153"/>
    </row>
    <row r="76" spans="1:31" s="10" customFormat="1" ht="19.899999999999999" customHeight="1">
      <c r="B76" s="149"/>
      <c r="C76" s="99"/>
      <c r="D76" s="150" t="s">
        <v>2345</v>
      </c>
      <c r="E76" s="151"/>
      <c r="F76" s="151"/>
      <c r="G76" s="151"/>
      <c r="H76" s="151"/>
      <c r="I76" s="151"/>
      <c r="J76" s="152">
        <f>J396</f>
        <v>0</v>
      </c>
      <c r="K76" s="99"/>
      <c r="L76" s="153"/>
    </row>
    <row r="77" spans="1:31" s="10" customFormat="1" ht="19.899999999999999" customHeight="1">
      <c r="B77" s="149"/>
      <c r="C77" s="99"/>
      <c r="D77" s="150" t="s">
        <v>2346</v>
      </c>
      <c r="E77" s="151"/>
      <c r="F77" s="151"/>
      <c r="G77" s="151"/>
      <c r="H77" s="151"/>
      <c r="I77" s="151"/>
      <c r="J77" s="152">
        <f>J429</f>
        <v>0</v>
      </c>
      <c r="K77" s="99"/>
      <c r="L77" s="153"/>
    </row>
    <row r="78" spans="1:31" s="10" customFormat="1" ht="19.899999999999999" customHeight="1">
      <c r="B78" s="149"/>
      <c r="C78" s="99"/>
      <c r="D78" s="150" t="s">
        <v>2347</v>
      </c>
      <c r="E78" s="151"/>
      <c r="F78" s="151"/>
      <c r="G78" s="151"/>
      <c r="H78" s="151"/>
      <c r="I78" s="151"/>
      <c r="J78" s="152">
        <f>J434</f>
        <v>0</v>
      </c>
      <c r="K78" s="99"/>
      <c r="L78" s="153"/>
    </row>
    <row r="79" spans="1:31" s="2" customFormat="1" ht="21.7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6"/>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6"/>
      <c r="S84" s="36"/>
      <c r="T84" s="36"/>
      <c r="U84" s="36"/>
      <c r="V84" s="36"/>
      <c r="W84" s="36"/>
      <c r="X84" s="36"/>
      <c r="Y84" s="36"/>
      <c r="Z84" s="36"/>
      <c r="AA84" s="36"/>
      <c r="AB84" s="36"/>
      <c r="AC84" s="36"/>
      <c r="AD84" s="36"/>
      <c r="AE84" s="36"/>
    </row>
    <row r="85" spans="1:31" s="2" customFormat="1" ht="24.95" customHeight="1">
      <c r="A85" s="36"/>
      <c r="B85" s="37"/>
      <c r="C85" s="25" t="s">
        <v>365</v>
      </c>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16.5" customHeight="1">
      <c r="A88" s="36"/>
      <c r="B88" s="37"/>
      <c r="C88" s="38"/>
      <c r="D88" s="38"/>
      <c r="E88" s="416" t="str">
        <f>E7</f>
        <v>ARCHIV UP V OLOMOUCI - BEZ VYBAVENÍ INTERIÉRU</v>
      </c>
      <c r="F88" s="417"/>
      <c r="G88" s="417"/>
      <c r="H88" s="417"/>
      <c r="I88" s="38"/>
      <c r="J88" s="38"/>
      <c r="K88" s="38"/>
      <c r="L88" s="116"/>
      <c r="S88" s="36"/>
      <c r="T88" s="36"/>
      <c r="U88" s="36"/>
      <c r="V88" s="36"/>
      <c r="W88" s="36"/>
      <c r="X88" s="36"/>
      <c r="Y88" s="36"/>
      <c r="Z88" s="36"/>
      <c r="AA88" s="36"/>
      <c r="AB88" s="36"/>
      <c r="AC88" s="36"/>
      <c r="AD88" s="36"/>
      <c r="AE88" s="36"/>
    </row>
    <row r="89" spans="1:31" s="1" customFormat="1" ht="12" customHeight="1">
      <c r="B89" s="23"/>
      <c r="C89" s="31" t="s">
        <v>282</v>
      </c>
      <c r="D89" s="24"/>
      <c r="E89" s="24"/>
      <c r="F89" s="24"/>
      <c r="G89" s="24"/>
      <c r="H89" s="24"/>
      <c r="I89" s="24"/>
      <c r="J89" s="24"/>
      <c r="K89" s="24"/>
      <c r="L89" s="22"/>
    </row>
    <row r="90" spans="1:31" s="2" customFormat="1" ht="16.5" customHeight="1">
      <c r="A90" s="36"/>
      <c r="B90" s="37"/>
      <c r="C90" s="38"/>
      <c r="D90" s="38"/>
      <c r="E90" s="416" t="s">
        <v>285</v>
      </c>
      <c r="F90" s="418"/>
      <c r="G90" s="418"/>
      <c r="H90" s="41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288</v>
      </c>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6.5" customHeight="1">
      <c r="A92" s="36"/>
      <c r="B92" s="37"/>
      <c r="C92" s="38"/>
      <c r="D92" s="38"/>
      <c r="E92" s="387" t="str">
        <f>E11</f>
        <v>ÚT - ZAŘÍZENÍ PRO VYTÁPĚNÍ STAVEB</v>
      </c>
      <c r="F92" s="418"/>
      <c r="G92" s="418"/>
      <c r="H92" s="418"/>
      <c r="I92" s="38"/>
      <c r="J92" s="38"/>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F14</f>
        <v xml:space="preserve"> </v>
      </c>
      <c r="G94" s="38"/>
      <c r="H94" s="38"/>
      <c r="I94" s="31" t="s">
        <v>23</v>
      </c>
      <c r="J94" s="61" t="str">
        <f>IF(J14="","",J14)</f>
        <v>4. 8. 2021</v>
      </c>
      <c r="K94" s="38"/>
      <c r="L94" s="116"/>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25.7" customHeight="1">
      <c r="A96" s="36"/>
      <c r="B96" s="37"/>
      <c r="C96" s="31" t="s">
        <v>25</v>
      </c>
      <c r="D96" s="38"/>
      <c r="E96" s="38"/>
      <c r="F96" s="29" t="str">
        <f>E17</f>
        <v>UP V OLOMOUCI, KŘÍŽOVSKÉHO 511/8, 779 00</v>
      </c>
      <c r="G96" s="38"/>
      <c r="H96" s="38"/>
      <c r="I96" s="31" t="s">
        <v>31</v>
      </c>
      <c r="J96" s="34" t="str">
        <f>E23</f>
        <v>ALFAPROJEKT OLOMOUC a.s.</v>
      </c>
      <c r="K96" s="38"/>
      <c r="L96" s="116"/>
      <c r="S96" s="36"/>
      <c r="T96" s="36"/>
      <c r="U96" s="36"/>
      <c r="V96" s="36"/>
      <c r="W96" s="36"/>
      <c r="X96" s="36"/>
      <c r="Y96" s="36"/>
      <c r="Z96" s="36"/>
      <c r="AA96" s="36"/>
      <c r="AB96" s="36"/>
      <c r="AC96" s="36"/>
      <c r="AD96" s="36"/>
      <c r="AE96" s="36"/>
    </row>
    <row r="97" spans="1:65" s="2" customFormat="1" ht="25.7" customHeight="1">
      <c r="A97" s="36"/>
      <c r="B97" s="37"/>
      <c r="C97" s="31" t="s">
        <v>29</v>
      </c>
      <c r="D97" s="38"/>
      <c r="E97" s="38"/>
      <c r="F97" s="29" t="str">
        <f>IF(E20="","",E20)</f>
        <v>Vyplň údaj</v>
      </c>
      <c r="G97" s="38"/>
      <c r="H97" s="38"/>
      <c r="I97" s="31" t="s">
        <v>34</v>
      </c>
      <c r="J97" s="34" t="str">
        <f>E26</f>
        <v>PROPOS LIBEREC s.r.o.</v>
      </c>
      <c r="K97" s="38"/>
      <c r="L97" s="116"/>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6"/>
      <c r="S98" s="36"/>
      <c r="T98" s="36"/>
      <c r="U98" s="36"/>
      <c r="V98" s="36"/>
      <c r="W98" s="36"/>
      <c r="X98" s="36"/>
      <c r="Y98" s="36"/>
      <c r="Z98" s="36"/>
      <c r="AA98" s="36"/>
      <c r="AB98" s="36"/>
      <c r="AC98" s="36"/>
      <c r="AD98" s="36"/>
      <c r="AE98" s="36"/>
    </row>
    <row r="99" spans="1:65" s="11" customFormat="1" ht="29.25" customHeight="1">
      <c r="A99" s="154"/>
      <c r="B99" s="155"/>
      <c r="C99" s="156" t="s">
        <v>366</v>
      </c>
      <c r="D99" s="157" t="s">
        <v>57</v>
      </c>
      <c r="E99" s="157" t="s">
        <v>53</v>
      </c>
      <c r="F99" s="157" t="s">
        <v>54</v>
      </c>
      <c r="G99" s="157" t="s">
        <v>367</v>
      </c>
      <c r="H99" s="157" t="s">
        <v>368</v>
      </c>
      <c r="I99" s="157" t="s">
        <v>369</v>
      </c>
      <c r="J99" s="157" t="s">
        <v>334</v>
      </c>
      <c r="K99" s="158" t="s">
        <v>370</v>
      </c>
      <c r="L99" s="159"/>
      <c r="M99" s="70" t="s">
        <v>19</v>
      </c>
      <c r="N99" s="71" t="s">
        <v>42</v>
      </c>
      <c r="O99" s="71" t="s">
        <v>371</v>
      </c>
      <c r="P99" s="71" t="s">
        <v>372</v>
      </c>
      <c r="Q99" s="71" t="s">
        <v>373</v>
      </c>
      <c r="R99" s="71" t="s">
        <v>374</v>
      </c>
      <c r="S99" s="71" t="s">
        <v>375</v>
      </c>
      <c r="T99" s="72" t="s">
        <v>376</v>
      </c>
      <c r="U99" s="154"/>
      <c r="V99" s="154"/>
      <c r="W99" s="154"/>
      <c r="X99" s="154"/>
      <c r="Y99" s="154"/>
      <c r="Z99" s="154"/>
      <c r="AA99" s="154"/>
      <c r="AB99" s="154"/>
      <c r="AC99" s="154"/>
      <c r="AD99" s="154"/>
      <c r="AE99" s="154"/>
    </row>
    <row r="100" spans="1:65" s="2" customFormat="1" ht="22.9" customHeight="1">
      <c r="A100" s="36"/>
      <c r="B100" s="37"/>
      <c r="C100" s="77" t="s">
        <v>377</v>
      </c>
      <c r="D100" s="38"/>
      <c r="E100" s="38"/>
      <c r="F100" s="38"/>
      <c r="G100" s="38"/>
      <c r="H100" s="38"/>
      <c r="I100" s="38"/>
      <c r="J100" s="160">
        <f>BK100</f>
        <v>0</v>
      </c>
      <c r="K100" s="38"/>
      <c r="L100" s="41"/>
      <c r="M100" s="73"/>
      <c r="N100" s="161"/>
      <c r="O100" s="74"/>
      <c r="P100" s="162">
        <f>P101</f>
        <v>0</v>
      </c>
      <c r="Q100" s="74"/>
      <c r="R100" s="162">
        <f>R101</f>
        <v>0</v>
      </c>
      <c r="S100" s="74"/>
      <c r="T100" s="163">
        <f>T101</f>
        <v>0</v>
      </c>
      <c r="U100" s="36"/>
      <c r="V100" s="36"/>
      <c r="W100" s="36"/>
      <c r="X100" s="36"/>
      <c r="Y100" s="36"/>
      <c r="Z100" s="36"/>
      <c r="AA100" s="36"/>
      <c r="AB100" s="36"/>
      <c r="AC100" s="36"/>
      <c r="AD100" s="36"/>
      <c r="AE100" s="36"/>
      <c r="AT100" s="19" t="s">
        <v>71</v>
      </c>
      <c r="AU100" s="19" t="s">
        <v>335</v>
      </c>
      <c r="BK100" s="164">
        <f>BK101</f>
        <v>0</v>
      </c>
    </row>
    <row r="101" spans="1:65" s="12" customFormat="1" ht="25.9" customHeight="1">
      <c r="B101" s="165"/>
      <c r="C101" s="166"/>
      <c r="D101" s="167" t="s">
        <v>71</v>
      </c>
      <c r="E101" s="168" t="s">
        <v>1344</v>
      </c>
      <c r="F101" s="168" t="s">
        <v>2348</v>
      </c>
      <c r="G101" s="166"/>
      <c r="H101" s="166"/>
      <c r="I101" s="169"/>
      <c r="J101" s="170">
        <f>BK101</f>
        <v>0</v>
      </c>
      <c r="K101" s="166"/>
      <c r="L101" s="171"/>
      <c r="M101" s="172"/>
      <c r="N101" s="173"/>
      <c r="O101" s="173"/>
      <c r="P101" s="174">
        <f>P102+P139+P158+P191+P227+P280+P332+P339+P349+P354+P363+P396+P429+P434</f>
        <v>0</v>
      </c>
      <c r="Q101" s="173"/>
      <c r="R101" s="174">
        <f>R102+R139+R158+R191+R227+R280+R332+R339+R349+R354+R363+R396+R429+R434</f>
        <v>0</v>
      </c>
      <c r="S101" s="173"/>
      <c r="T101" s="175">
        <f>T102+T139+T158+T191+T227+T280+T332+T339+T349+T354+T363+T396+T429+T434</f>
        <v>0</v>
      </c>
      <c r="AR101" s="176" t="s">
        <v>82</v>
      </c>
      <c r="AT101" s="177" t="s">
        <v>71</v>
      </c>
      <c r="AU101" s="177" t="s">
        <v>72</v>
      </c>
      <c r="AY101" s="176" t="s">
        <v>380</v>
      </c>
      <c r="BK101" s="178">
        <f>BK102+BK139+BK158+BK191+BK227+BK280+BK332+BK339+BK349+BK354+BK363+BK396+BK429+BK434</f>
        <v>0</v>
      </c>
    </row>
    <row r="102" spans="1:65" s="12" customFormat="1" ht="22.9" customHeight="1">
      <c r="B102" s="165"/>
      <c r="C102" s="166"/>
      <c r="D102" s="167" t="s">
        <v>71</v>
      </c>
      <c r="E102" s="179" t="s">
        <v>1523</v>
      </c>
      <c r="F102" s="179" t="s">
        <v>2349</v>
      </c>
      <c r="G102" s="166"/>
      <c r="H102" s="166"/>
      <c r="I102" s="169"/>
      <c r="J102" s="180">
        <f>BK102</f>
        <v>0</v>
      </c>
      <c r="K102" s="166"/>
      <c r="L102" s="171"/>
      <c r="M102" s="172"/>
      <c r="N102" s="173"/>
      <c r="O102" s="173"/>
      <c r="P102" s="174">
        <f>SUM(P103:P138)</f>
        <v>0</v>
      </c>
      <c r="Q102" s="173"/>
      <c r="R102" s="174">
        <f>SUM(R103:R138)</f>
        <v>0</v>
      </c>
      <c r="S102" s="173"/>
      <c r="T102" s="175">
        <f>SUM(T103:T138)</f>
        <v>0</v>
      </c>
      <c r="AR102" s="176" t="s">
        <v>82</v>
      </c>
      <c r="AT102" s="177" t="s">
        <v>71</v>
      </c>
      <c r="AU102" s="177" t="s">
        <v>79</v>
      </c>
      <c r="AY102" s="176" t="s">
        <v>380</v>
      </c>
      <c r="BK102" s="178">
        <f>SUM(BK103:BK138)</f>
        <v>0</v>
      </c>
    </row>
    <row r="103" spans="1:65" s="2" customFormat="1" ht="16.5" customHeight="1">
      <c r="A103" s="36"/>
      <c r="B103" s="37"/>
      <c r="C103" s="181" t="s">
        <v>79</v>
      </c>
      <c r="D103" s="181" t="s">
        <v>382</v>
      </c>
      <c r="E103" s="182" t="s">
        <v>2350</v>
      </c>
      <c r="F103" s="183" t="s">
        <v>2351</v>
      </c>
      <c r="G103" s="184" t="s">
        <v>452</v>
      </c>
      <c r="H103" s="185">
        <v>688</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82</v>
      </c>
    </row>
    <row r="104" spans="1:65" s="2" customFormat="1" ht="16.5" customHeight="1">
      <c r="A104" s="36"/>
      <c r="B104" s="37"/>
      <c r="C104" s="227" t="s">
        <v>82</v>
      </c>
      <c r="D104" s="227" t="s">
        <v>465</v>
      </c>
      <c r="E104" s="228" t="s">
        <v>2352</v>
      </c>
      <c r="F104" s="229" t="s">
        <v>2353</v>
      </c>
      <c r="G104" s="230" t="s">
        <v>452</v>
      </c>
      <c r="H104" s="231">
        <v>624.45000000000005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386</v>
      </c>
    </row>
    <row r="105" spans="1:65" s="2" customFormat="1" ht="19.5">
      <c r="A105" s="36"/>
      <c r="B105" s="37"/>
      <c r="C105" s="38"/>
      <c r="D105" s="196" t="s">
        <v>1226</v>
      </c>
      <c r="E105" s="38"/>
      <c r="F105" s="248" t="s">
        <v>2354</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2355</v>
      </c>
      <c r="G106" s="206"/>
      <c r="H106" s="209">
        <v>624.45000000000005</v>
      </c>
      <c r="I106" s="210"/>
      <c r="J106" s="206"/>
      <c r="K106" s="206"/>
      <c r="L106" s="211"/>
      <c r="M106" s="212"/>
      <c r="N106" s="213"/>
      <c r="O106" s="213"/>
      <c r="P106" s="213"/>
      <c r="Q106" s="213"/>
      <c r="R106" s="213"/>
      <c r="S106" s="213"/>
      <c r="T106" s="214"/>
      <c r="AT106" s="215" t="s">
        <v>388</v>
      </c>
      <c r="AU106" s="215" t="s">
        <v>82</v>
      </c>
      <c r="AV106" s="14" t="s">
        <v>82</v>
      </c>
      <c r="AW106" s="14" t="s">
        <v>33</v>
      </c>
      <c r="AX106" s="14" t="s">
        <v>72</v>
      </c>
      <c r="AY106" s="215" t="s">
        <v>380</v>
      </c>
    </row>
    <row r="107" spans="1:65" s="15" customFormat="1" ht="11.25">
      <c r="B107" s="216"/>
      <c r="C107" s="217"/>
      <c r="D107" s="196" t="s">
        <v>388</v>
      </c>
      <c r="E107" s="218" t="s">
        <v>19</v>
      </c>
      <c r="F107" s="219" t="s">
        <v>419</v>
      </c>
      <c r="G107" s="217"/>
      <c r="H107" s="220">
        <v>624.45000000000005</v>
      </c>
      <c r="I107" s="221"/>
      <c r="J107" s="217"/>
      <c r="K107" s="217"/>
      <c r="L107" s="222"/>
      <c r="M107" s="223"/>
      <c r="N107" s="224"/>
      <c r="O107" s="224"/>
      <c r="P107" s="224"/>
      <c r="Q107" s="224"/>
      <c r="R107" s="224"/>
      <c r="S107" s="224"/>
      <c r="T107" s="225"/>
      <c r="AT107" s="226" t="s">
        <v>388</v>
      </c>
      <c r="AU107" s="226" t="s">
        <v>82</v>
      </c>
      <c r="AV107" s="15" t="s">
        <v>386</v>
      </c>
      <c r="AW107" s="15" t="s">
        <v>33</v>
      </c>
      <c r="AX107" s="15" t="s">
        <v>79</v>
      </c>
      <c r="AY107" s="226" t="s">
        <v>380</v>
      </c>
    </row>
    <row r="108" spans="1:65" s="2" customFormat="1" ht="16.5" customHeight="1">
      <c r="A108" s="36"/>
      <c r="B108" s="37"/>
      <c r="C108" s="227" t="s">
        <v>99</v>
      </c>
      <c r="D108" s="227" t="s">
        <v>465</v>
      </c>
      <c r="E108" s="228" t="s">
        <v>2356</v>
      </c>
      <c r="F108" s="229" t="s">
        <v>2357</v>
      </c>
      <c r="G108" s="230" t="s">
        <v>452</v>
      </c>
      <c r="H108" s="231">
        <v>21.85</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411</v>
      </c>
    </row>
    <row r="109" spans="1:65" s="2" customFormat="1" ht="19.5">
      <c r="A109" s="36"/>
      <c r="B109" s="37"/>
      <c r="C109" s="38"/>
      <c r="D109" s="196" t="s">
        <v>1226</v>
      </c>
      <c r="E109" s="38"/>
      <c r="F109" s="248" t="s">
        <v>2354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14" customFormat="1" ht="11.25">
      <c r="B110" s="205"/>
      <c r="C110" s="206"/>
      <c r="D110" s="196" t="s">
        <v>388</v>
      </c>
      <c r="E110" s="207" t="s">
        <v>19</v>
      </c>
      <c r="F110" s="208" t="s">
        <v>2358</v>
      </c>
      <c r="G110" s="206"/>
      <c r="H110" s="209">
        <v>21.85</v>
      </c>
      <c r="I110" s="210"/>
      <c r="J110" s="206"/>
      <c r="K110" s="206"/>
      <c r="L110" s="211"/>
      <c r="M110" s="212"/>
      <c r="N110" s="213"/>
      <c r="O110" s="213"/>
      <c r="P110" s="213"/>
      <c r="Q110" s="213"/>
      <c r="R110" s="213"/>
      <c r="S110" s="213"/>
      <c r="T110" s="214"/>
      <c r="AT110" s="215" t="s">
        <v>388</v>
      </c>
      <c r="AU110" s="215" t="s">
        <v>82</v>
      </c>
      <c r="AV110" s="14" t="s">
        <v>82</v>
      </c>
      <c r="AW110" s="14" t="s">
        <v>33</v>
      </c>
      <c r="AX110" s="14" t="s">
        <v>72</v>
      </c>
      <c r="AY110" s="215" t="s">
        <v>380</v>
      </c>
    </row>
    <row r="111" spans="1:65" s="15" customFormat="1" ht="11.25">
      <c r="B111" s="216"/>
      <c r="C111" s="217"/>
      <c r="D111" s="196" t="s">
        <v>388</v>
      </c>
      <c r="E111" s="218" t="s">
        <v>19</v>
      </c>
      <c r="F111" s="219" t="s">
        <v>419</v>
      </c>
      <c r="G111" s="217"/>
      <c r="H111" s="220">
        <v>21.85</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227" t="s">
        <v>386</v>
      </c>
      <c r="D112" s="227" t="s">
        <v>465</v>
      </c>
      <c r="E112" s="228" t="s">
        <v>2359</v>
      </c>
      <c r="F112" s="229" t="s">
        <v>2360</v>
      </c>
      <c r="G112" s="230" t="s">
        <v>452</v>
      </c>
      <c r="H112" s="231">
        <v>41.4</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546</v>
      </c>
      <c r="AT112" s="192" t="s">
        <v>465</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424</v>
      </c>
    </row>
    <row r="113" spans="1:65" s="2" customFormat="1" ht="19.5">
      <c r="A113" s="36"/>
      <c r="B113" s="37"/>
      <c r="C113" s="38"/>
      <c r="D113" s="196" t="s">
        <v>1226</v>
      </c>
      <c r="E113" s="38"/>
      <c r="F113" s="248" t="s">
        <v>2354</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14" customFormat="1" ht="11.25">
      <c r="B114" s="205"/>
      <c r="C114" s="206"/>
      <c r="D114" s="196" t="s">
        <v>388</v>
      </c>
      <c r="E114" s="207" t="s">
        <v>19</v>
      </c>
      <c r="F114" s="208" t="s">
        <v>2361</v>
      </c>
      <c r="G114" s="206"/>
      <c r="H114" s="209">
        <v>41.4</v>
      </c>
      <c r="I114" s="210"/>
      <c r="J114" s="206"/>
      <c r="K114" s="206"/>
      <c r="L114" s="211"/>
      <c r="M114" s="212"/>
      <c r="N114" s="213"/>
      <c r="O114" s="213"/>
      <c r="P114" s="213"/>
      <c r="Q114" s="213"/>
      <c r="R114" s="213"/>
      <c r="S114" s="213"/>
      <c r="T114" s="214"/>
      <c r="AT114" s="215" t="s">
        <v>388</v>
      </c>
      <c r="AU114" s="215" t="s">
        <v>82</v>
      </c>
      <c r="AV114" s="14" t="s">
        <v>82</v>
      </c>
      <c r="AW114" s="14" t="s">
        <v>33</v>
      </c>
      <c r="AX114" s="14" t="s">
        <v>72</v>
      </c>
      <c r="AY114" s="215" t="s">
        <v>380</v>
      </c>
    </row>
    <row r="115" spans="1:65" s="15" customFormat="1" ht="11.25">
      <c r="B115" s="216"/>
      <c r="C115" s="217"/>
      <c r="D115" s="196" t="s">
        <v>388</v>
      </c>
      <c r="E115" s="218" t="s">
        <v>19</v>
      </c>
      <c r="F115" s="219" t="s">
        <v>419</v>
      </c>
      <c r="G115" s="217"/>
      <c r="H115" s="220">
        <v>41.4</v>
      </c>
      <c r="I115" s="221"/>
      <c r="J115" s="217"/>
      <c r="K115" s="217"/>
      <c r="L115" s="222"/>
      <c r="M115" s="223"/>
      <c r="N115" s="224"/>
      <c r="O115" s="224"/>
      <c r="P115" s="224"/>
      <c r="Q115" s="224"/>
      <c r="R115" s="224"/>
      <c r="S115" s="224"/>
      <c r="T115" s="225"/>
      <c r="AT115" s="226" t="s">
        <v>388</v>
      </c>
      <c r="AU115" s="226" t="s">
        <v>82</v>
      </c>
      <c r="AV115" s="15" t="s">
        <v>386</v>
      </c>
      <c r="AW115" s="15" t="s">
        <v>33</v>
      </c>
      <c r="AX115" s="15" t="s">
        <v>79</v>
      </c>
      <c r="AY115" s="226" t="s">
        <v>380</v>
      </c>
    </row>
    <row r="116" spans="1:65" s="2" customFormat="1" ht="21.75" customHeight="1">
      <c r="A116" s="36"/>
      <c r="B116" s="37"/>
      <c r="C116" s="181" t="s">
        <v>405</v>
      </c>
      <c r="D116" s="181" t="s">
        <v>382</v>
      </c>
      <c r="E116" s="182" t="s">
        <v>2362</v>
      </c>
      <c r="F116" s="183" t="s">
        <v>2363</v>
      </c>
      <c r="G116" s="184" t="s">
        <v>452</v>
      </c>
      <c r="H116" s="185">
        <v>271</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122</v>
      </c>
    </row>
    <row r="117" spans="1:65" s="2" customFormat="1" ht="16.5" customHeight="1">
      <c r="A117" s="36"/>
      <c r="B117" s="37"/>
      <c r="C117" s="227" t="s">
        <v>411</v>
      </c>
      <c r="D117" s="227" t="s">
        <v>465</v>
      </c>
      <c r="E117" s="228" t="s">
        <v>2364</v>
      </c>
      <c r="F117" s="229" t="s">
        <v>2365</v>
      </c>
      <c r="G117" s="230" t="s">
        <v>452</v>
      </c>
      <c r="H117" s="231">
        <v>41.4</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546</v>
      </c>
      <c r="AT117" s="192" t="s">
        <v>465</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128</v>
      </c>
    </row>
    <row r="118" spans="1:65" s="2" customFormat="1" ht="19.5">
      <c r="A118" s="36"/>
      <c r="B118" s="37"/>
      <c r="C118" s="38"/>
      <c r="D118" s="196" t="s">
        <v>1226</v>
      </c>
      <c r="E118" s="38"/>
      <c r="F118" s="248" t="s">
        <v>2366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2361</v>
      </c>
      <c r="G119" s="206"/>
      <c r="H119" s="209">
        <v>41.4</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5" customFormat="1" ht="11.25">
      <c r="B120" s="216"/>
      <c r="C120" s="217"/>
      <c r="D120" s="196" t="s">
        <v>388</v>
      </c>
      <c r="E120" s="218" t="s">
        <v>19</v>
      </c>
      <c r="F120" s="219" t="s">
        <v>419</v>
      </c>
      <c r="G120" s="217"/>
      <c r="H120" s="220">
        <v>41.4</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227" t="s">
        <v>420</v>
      </c>
      <c r="D121" s="227" t="s">
        <v>465</v>
      </c>
      <c r="E121" s="228" t="s">
        <v>2367</v>
      </c>
      <c r="F121" s="229" t="s">
        <v>2368</v>
      </c>
      <c r="G121" s="230" t="s">
        <v>452</v>
      </c>
      <c r="H121" s="231">
        <v>96.6</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134</v>
      </c>
    </row>
    <row r="122" spans="1:65" s="2" customFormat="1" ht="19.5">
      <c r="A122" s="36"/>
      <c r="B122" s="37"/>
      <c r="C122" s="38"/>
      <c r="D122" s="196" t="s">
        <v>1226</v>
      </c>
      <c r="E122" s="38"/>
      <c r="F122" s="248" t="s">
        <v>2366</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4" customFormat="1" ht="11.25">
      <c r="B123" s="205"/>
      <c r="C123" s="206"/>
      <c r="D123" s="196" t="s">
        <v>388</v>
      </c>
      <c r="E123" s="207" t="s">
        <v>19</v>
      </c>
      <c r="F123" s="208" t="s">
        <v>2369</v>
      </c>
      <c r="G123" s="206"/>
      <c r="H123" s="209">
        <v>96.6</v>
      </c>
      <c r="I123" s="210"/>
      <c r="J123" s="206"/>
      <c r="K123" s="206"/>
      <c r="L123" s="211"/>
      <c r="M123" s="212"/>
      <c r="N123" s="213"/>
      <c r="O123" s="213"/>
      <c r="P123" s="213"/>
      <c r="Q123" s="213"/>
      <c r="R123" s="213"/>
      <c r="S123" s="213"/>
      <c r="T123" s="214"/>
      <c r="AT123" s="215" t="s">
        <v>388</v>
      </c>
      <c r="AU123" s="215" t="s">
        <v>82</v>
      </c>
      <c r="AV123" s="14" t="s">
        <v>82</v>
      </c>
      <c r="AW123" s="14" t="s">
        <v>33</v>
      </c>
      <c r="AX123" s="14" t="s">
        <v>72</v>
      </c>
      <c r="AY123" s="215" t="s">
        <v>380</v>
      </c>
    </row>
    <row r="124" spans="1:65" s="15" customFormat="1" ht="11.25">
      <c r="B124" s="216"/>
      <c r="C124" s="217"/>
      <c r="D124" s="196" t="s">
        <v>388</v>
      </c>
      <c r="E124" s="218" t="s">
        <v>19</v>
      </c>
      <c r="F124" s="219" t="s">
        <v>419</v>
      </c>
      <c r="G124" s="217"/>
      <c r="H124" s="220">
        <v>96.6</v>
      </c>
      <c r="I124" s="221"/>
      <c r="J124" s="217"/>
      <c r="K124" s="217"/>
      <c r="L124" s="222"/>
      <c r="M124" s="223"/>
      <c r="N124" s="224"/>
      <c r="O124" s="224"/>
      <c r="P124" s="224"/>
      <c r="Q124" s="224"/>
      <c r="R124" s="224"/>
      <c r="S124" s="224"/>
      <c r="T124" s="225"/>
      <c r="AT124" s="226" t="s">
        <v>388</v>
      </c>
      <c r="AU124" s="226" t="s">
        <v>82</v>
      </c>
      <c r="AV124" s="15" t="s">
        <v>386</v>
      </c>
      <c r="AW124" s="15" t="s">
        <v>33</v>
      </c>
      <c r="AX124" s="15" t="s">
        <v>79</v>
      </c>
      <c r="AY124" s="226" t="s">
        <v>380</v>
      </c>
    </row>
    <row r="125" spans="1:65" s="2" customFormat="1" ht="16.5" customHeight="1">
      <c r="A125" s="36"/>
      <c r="B125" s="37"/>
      <c r="C125" s="227" t="s">
        <v>424</v>
      </c>
      <c r="D125" s="227" t="s">
        <v>465</v>
      </c>
      <c r="E125" s="228" t="s">
        <v>2370</v>
      </c>
      <c r="F125" s="229" t="s">
        <v>2371</v>
      </c>
      <c r="G125" s="230" t="s">
        <v>452</v>
      </c>
      <c r="H125" s="231">
        <v>96.6</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546</v>
      </c>
      <c r="AT125" s="192" t="s">
        <v>465</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281</v>
      </c>
    </row>
    <row r="126" spans="1:65" s="2" customFormat="1" ht="19.5">
      <c r="A126" s="36"/>
      <c r="B126" s="37"/>
      <c r="C126" s="38"/>
      <c r="D126" s="196" t="s">
        <v>1226</v>
      </c>
      <c r="E126" s="38"/>
      <c r="F126" s="248" t="s">
        <v>2366</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14" customFormat="1" ht="11.25">
      <c r="B127" s="205"/>
      <c r="C127" s="206"/>
      <c r="D127" s="196" t="s">
        <v>388</v>
      </c>
      <c r="E127" s="207" t="s">
        <v>19</v>
      </c>
      <c r="F127" s="208" t="s">
        <v>2372</v>
      </c>
      <c r="G127" s="206"/>
      <c r="H127" s="209">
        <v>96.6</v>
      </c>
      <c r="I127" s="210"/>
      <c r="J127" s="206"/>
      <c r="K127" s="206"/>
      <c r="L127" s="211"/>
      <c r="M127" s="212"/>
      <c r="N127" s="213"/>
      <c r="O127" s="213"/>
      <c r="P127" s="213"/>
      <c r="Q127" s="213"/>
      <c r="R127" s="213"/>
      <c r="S127" s="213"/>
      <c r="T127" s="214"/>
      <c r="AT127" s="215" t="s">
        <v>388</v>
      </c>
      <c r="AU127" s="215" t="s">
        <v>82</v>
      </c>
      <c r="AV127" s="14" t="s">
        <v>82</v>
      </c>
      <c r="AW127" s="14" t="s">
        <v>33</v>
      </c>
      <c r="AX127" s="14" t="s">
        <v>72</v>
      </c>
      <c r="AY127" s="215" t="s">
        <v>380</v>
      </c>
    </row>
    <row r="128" spans="1:65" s="15" customFormat="1" ht="11.25">
      <c r="B128" s="216"/>
      <c r="C128" s="217"/>
      <c r="D128" s="196" t="s">
        <v>388</v>
      </c>
      <c r="E128" s="218" t="s">
        <v>19</v>
      </c>
      <c r="F128" s="219" t="s">
        <v>419</v>
      </c>
      <c r="G128" s="217"/>
      <c r="H128" s="220">
        <v>96.6</v>
      </c>
      <c r="I128" s="221"/>
      <c r="J128" s="217"/>
      <c r="K128" s="217"/>
      <c r="L128" s="222"/>
      <c r="M128" s="223"/>
      <c r="N128" s="224"/>
      <c r="O128" s="224"/>
      <c r="P128" s="224"/>
      <c r="Q128" s="224"/>
      <c r="R128" s="224"/>
      <c r="S128" s="224"/>
      <c r="T128" s="225"/>
      <c r="AT128" s="226" t="s">
        <v>388</v>
      </c>
      <c r="AU128" s="226" t="s">
        <v>82</v>
      </c>
      <c r="AV128" s="15" t="s">
        <v>386</v>
      </c>
      <c r="AW128" s="15" t="s">
        <v>33</v>
      </c>
      <c r="AX128" s="15" t="s">
        <v>79</v>
      </c>
      <c r="AY128" s="226" t="s">
        <v>380</v>
      </c>
    </row>
    <row r="129" spans="1:65" s="2" customFormat="1" ht="16.5" customHeight="1">
      <c r="A129" s="36"/>
      <c r="B129" s="37"/>
      <c r="C129" s="227" t="s">
        <v>430</v>
      </c>
      <c r="D129" s="227" t="s">
        <v>465</v>
      </c>
      <c r="E129" s="228" t="s">
        <v>2373</v>
      </c>
      <c r="F129" s="229" t="s">
        <v>2374</v>
      </c>
      <c r="G129" s="230" t="s">
        <v>452</v>
      </c>
      <c r="H129" s="231">
        <v>13.8</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546</v>
      </c>
      <c r="AT129" s="192" t="s">
        <v>465</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477</v>
      </c>
    </row>
    <row r="130" spans="1:65" s="2" customFormat="1" ht="19.5">
      <c r="A130" s="36"/>
      <c r="B130" s="37"/>
      <c r="C130" s="38"/>
      <c r="D130" s="196" t="s">
        <v>1226</v>
      </c>
      <c r="E130" s="38"/>
      <c r="F130" s="248" t="s">
        <v>2366</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14" customFormat="1" ht="11.25">
      <c r="B131" s="205"/>
      <c r="C131" s="206"/>
      <c r="D131" s="196" t="s">
        <v>388</v>
      </c>
      <c r="E131" s="207" t="s">
        <v>19</v>
      </c>
      <c r="F131" s="208" t="s">
        <v>2375</v>
      </c>
      <c r="G131" s="206"/>
      <c r="H131" s="209">
        <v>13.8</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13.8</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16.5" customHeight="1">
      <c r="A133" s="36"/>
      <c r="B133" s="37"/>
      <c r="C133" s="227" t="s">
        <v>122</v>
      </c>
      <c r="D133" s="227" t="s">
        <v>465</v>
      </c>
      <c r="E133" s="228" t="s">
        <v>2376</v>
      </c>
      <c r="F133" s="229" t="s">
        <v>2377</v>
      </c>
      <c r="G133" s="230" t="s">
        <v>452</v>
      </c>
      <c r="H133" s="231">
        <v>21.85</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546</v>
      </c>
      <c r="AT133" s="192" t="s">
        <v>465</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486</v>
      </c>
    </row>
    <row r="134" spans="1:65" s="2" customFormat="1" ht="19.5">
      <c r="A134" s="36"/>
      <c r="B134" s="37"/>
      <c r="C134" s="38"/>
      <c r="D134" s="196" t="s">
        <v>1226</v>
      </c>
      <c r="E134" s="38"/>
      <c r="F134" s="248" t="s">
        <v>2366</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4" customFormat="1" ht="11.25">
      <c r="B135" s="205"/>
      <c r="C135" s="206"/>
      <c r="D135" s="196" t="s">
        <v>388</v>
      </c>
      <c r="E135" s="207" t="s">
        <v>19</v>
      </c>
      <c r="F135" s="208" t="s">
        <v>2378</v>
      </c>
      <c r="G135" s="206"/>
      <c r="H135" s="209">
        <v>21.85</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5" customFormat="1" ht="11.25">
      <c r="B136" s="216"/>
      <c r="C136" s="217"/>
      <c r="D136" s="196" t="s">
        <v>388</v>
      </c>
      <c r="E136" s="218" t="s">
        <v>19</v>
      </c>
      <c r="F136" s="219" t="s">
        <v>419</v>
      </c>
      <c r="G136" s="217"/>
      <c r="H136" s="220">
        <v>21.85</v>
      </c>
      <c r="I136" s="221"/>
      <c r="J136" s="217"/>
      <c r="K136" s="217"/>
      <c r="L136" s="222"/>
      <c r="M136" s="223"/>
      <c r="N136" s="224"/>
      <c r="O136" s="224"/>
      <c r="P136" s="224"/>
      <c r="Q136" s="224"/>
      <c r="R136" s="224"/>
      <c r="S136" s="224"/>
      <c r="T136" s="225"/>
      <c r="AT136" s="226" t="s">
        <v>388</v>
      </c>
      <c r="AU136" s="226" t="s">
        <v>82</v>
      </c>
      <c r="AV136" s="15" t="s">
        <v>386</v>
      </c>
      <c r="AW136" s="15" t="s">
        <v>33</v>
      </c>
      <c r="AX136" s="15" t="s">
        <v>79</v>
      </c>
      <c r="AY136" s="226" t="s">
        <v>380</v>
      </c>
    </row>
    <row r="137" spans="1:65" s="2" customFormat="1" ht="16.5" customHeight="1">
      <c r="A137" s="36"/>
      <c r="B137" s="37"/>
      <c r="C137" s="181" t="s">
        <v>125</v>
      </c>
      <c r="D137" s="181" t="s">
        <v>382</v>
      </c>
      <c r="E137" s="182" t="s">
        <v>2379</v>
      </c>
      <c r="F137" s="183" t="s">
        <v>2380</v>
      </c>
      <c r="G137" s="184" t="s">
        <v>437</v>
      </c>
      <c r="H137" s="185">
        <v>9.5000000000000001E-2</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495</v>
      </c>
    </row>
    <row r="138" spans="1:65" s="2" customFormat="1" ht="16.5" customHeight="1">
      <c r="A138" s="36"/>
      <c r="B138" s="37"/>
      <c r="C138" s="181" t="s">
        <v>128</v>
      </c>
      <c r="D138" s="181" t="s">
        <v>382</v>
      </c>
      <c r="E138" s="182" t="s">
        <v>2381</v>
      </c>
      <c r="F138" s="183" t="s">
        <v>2382</v>
      </c>
      <c r="G138" s="184" t="s">
        <v>437</v>
      </c>
      <c r="H138" s="185">
        <v>9.5000000000000001E-2</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505</v>
      </c>
    </row>
    <row r="139" spans="1:65" s="12" customFormat="1" ht="22.9" customHeight="1">
      <c r="B139" s="165"/>
      <c r="C139" s="166"/>
      <c r="D139" s="167" t="s">
        <v>71</v>
      </c>
      <c r="E139" s="179" t="s">
        <v>2383</v>
      </c>
      <c r="F139" s="179" t="s">
        <v>2384</v>
      </c>
      <c r="G139" s="166"/>
      <c r="H139" s="166"/>
      <c r="I139" s="169"/>
      <c r="J139" s="180">
        <f>BK139</f>
        <v>0</v>
      </c>
      <c r="K139" s="166"/>
      <c r="L139" s="171"/>
      <c r="M139" s="172"/>
      <c r="N139" s="173"/>
      <c r="O139" s="173"/>
      <c r="P139" s="174">
        <f>SUM(P140:P157)</f>
        <v>0</v>
      </c>
      <c r="Q139" s="173"/>
      <c r="R139" s="174">
        <f>SUM(R140:R157)</f>
        <v>0</v>
      </c>
      <c r="S139" s="173"/>
      <c r="T139" s="175">
        <f>SUM(T140:T157)</f>
        <v>0</v>
      </c>
      <c r="AR139" s="176" t="s">
        <v>82</v>
      </c>
      <c r="AT139" s="177" t="s">
        <v>71</v>
      </c>
      <c r="AU139" s="177" t="s">
        <v>79</v>
      </c>
      <c r="AY139" s="176" t="s">
        <v>380</v>
      </c>
      <c r="BK139" s="178">
        <f>SUM(BK140:BK157)</f>
        <v>0</v>
      </c>
    </row>
    <row r="140" spans="1:65" s="2" customFormat="1" ht="16.5" customHeight="1">
      <c r="A140" s="36"/>
      <c r="B140" s="37"/>
      <c r="C140" s="181" t="s">
        <v>131</v>
      </c>
      <c r="D140" s="181" t="s">
        <v>382</v>
      </c>
      <c r="E140" s="182" t="s">
        <v>2385</v>
      </c>
      <c r="F140" s="183" t="s">
        <v>2386</v>
      </c>
      <c r="G140" s="184" t="s">
        <v>2006</v>
      </c>
      <c r="H140" s="185">
        <v>2</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514</v>
      </c>
    </row>
    <row r="141" spans="1:65" s="2" customFormat="1" ht="16.5" customHeight="1">
      <c r="A141" s="36"/>
      <c r="B141" s="37"/>
      <c r="C141" s="181" t="s">
        <v>134</v>
      </c>
      <c r="D141" s="181" t="s">
        <v>382</v>
      </c>
      <c r="E141" s="182" t="s">
        <v>2387</v>
      </c>
      <c r="F141" s="183" t="s">
        <v>2388</v>
      </c>
      <c r="G141" s="184" t="s">
        <v>2389</v>
      </c>
      <c r="H141" s="185">
        <v>10</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281</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525</v>
      </c>
    </row>
    <row r="142" spans="1:65" s="2" customFormat="1" ht="19.5">
      <c r="A142" s="36"/>
      <c r="B142" s="37"/>
      <c r="C142" s="38"/>
      <c r="D142" s="196" t="s">
        <v>1226</v>
      </c>
      <c r="E142" s="38"/>
      <c r="F142" s="248" t="s">
        <v>2390</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2" customFormat="1" ht="16.5" customHeight="1">
      <c r="A143" s="36"/>
      <c r="B143" s="37"/>
      <c r="C143" s="227" t="s">
        <v>8</v>
      </c>
      <c r="D143" s="227" t="s">
        <v>465</v>
      </c>
      <c r="E143" s="228" t="s">
        <v>2391</v>
      </c>
      <c r="F143" s="229" t="s">
        <v>2392</v>
      </c>
      <c r="G143" s="230" t="s">
        <v>2393</v>
      </c>
      <c r="H143" s="231">
        <v>1</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546</v>
      </c>
      <c r="AT143" s="192" t="s">
        <v>465</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534</v>
      </c>
    </row>
    <row r="144" spans="1:65" s="2" customFormat="1" ht="48.75">
      <c r="A144" s="36"/>
      <c r="B144" s="37"/>
      <c r="C144" s="38"/>
      <c r="D144" s="196" t="s">
        <v>1226</v>
      </c>
      <c r="E144" s="38"/>
      <c r="F144" s="248" t="s">
        <v>2394</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1226</v>
      </c>
      <c r="AU144" s="19" t="s">
        <v>82</v>
      </c>
    </row>
    <row r="145" spans="1:65" s="2" customFormat="1" ht="16.5" customHeight="1">
      <c r="A145" s="36"/>
      <c r="B145" s="37"/>
      <c r="C145" s="227" t="s">
        <v>281</v>
      </c>
      <c r="D145" s="227" t="s">
        <v>465</v>
      </c>
      <c r="E145" s="228" t="s">
        <v>2395</v>
      </c>
      <c r="F145" s="229" t="s">
        <v>2396</v>
      </c>
      <c r="G145" s="230" t="s">
        <v>2393</v>
      </c>
      <c r="H145" s="231">
        <v>1</v>
      </c>
      <c r="I145" s="232"/>
      <c r="J145" s="233">
        <f>ROUND(I145*H145,2)</f>
        <v>0</v>
      </c>
      <c r="K145" s="229" t="s">
        <v>19</v>
      </c>
      <c r="L145" s="234"/>
      <c r="M145" s="235" t="s">
        <v>19</v>
      </c>
      <c r="N145" s="236"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546</v>
      </c>
      <c r="AT145" s="192" t="s">
        <v>465</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546</v>
      </c>
    </row>
    <row r="146" spans="1:65" s="2" customFormat="1" ht="48.75">
      <c r="A146" s="36"/>
      <c r="B146" s="37"/>
      <c r="C146" s="38"/>
      <c r="D146" s="196" t="s">
        <v>1226</v>
      </c>
      <c r="E146" s="38"/>
      <c r="F146" s="248" t="s">
        <v>2397</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1226</v>
      </c>
      <c r="AU146" s="19" t="s">
        <v>82</v>
      </c>
    </row>
    <row r="147" spans="1:65" s="2" customFormat="1" ht="16.5" customHeight="1">
      <c r="A147" s="36"/>
      <c r="B147" s="37"/>
      <c r="C147" s="227" t="s">
        <v>471</v>
      </c>
      <c r="D147" s="227" t="s">
        <v>465</v>
      </c>
      <c r="E147" s="228" t="s">
        <v>2398</v>
      </c>
      <c r="F147" s="229" t="s">
        <v>2399</v>
      </c>
      <c r="G147" s="230" t="s">
        <v>2393</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546</v>
      </c>
      <c r="AT147" s="192" t="s">
        <v>465</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556</v>
      </c>
    </row>
    <row r="148" spans="1:65" s="2" customFormat="1" ht="19.5">
      <c r="A148" s="36"/>
      <c r="B148" s="37"/>
      <c r="C148" s="38"/>
      <c r="D148" s="196" t="s">
        <v>1226</v>
      </c>
      <c r="E148" s="38"/>
      <c r="F148" s="248" t="s">
        <v>2400</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82</v>
      </c>
    </row>
    <row r="149" spans="1:65" s="2" customFormat="1" ht="16.5" customHeight="1">
      <c r="A149" s="36"/>
      <c r="B149" s="37"/>
      <c r="C149" s="227" t="s">
        <v>477</v>
      </c>
      <c r="D149" s="227" t="s">
        <v>465</v>
      </c>
      <c r="E149" s="228" t="s">
        <v>2401</v>
      </c>
      <c r="F149" s="229" t="s">
        <v>2402</v>
      </c>
      <c r="G149" s="230" t="s">
        <v>2393</v>
      </c>
      <c r="H149" s="231">
        <v>1</v>
      </c>
      <c r="I149" s="232"/>
      <c r="J149" s="233">
        <f>ROUND(I149*H149,2)</f>
        <v>0</v>
      </c>
      <c r="K149" s="229" t="s">
        <v>19</v>
      </c>
      <c r="L149" s="234"/>
      <c r="M149" s="235" t="s">
        <v>19</v>
      </c>
      <c r="N149" s="236"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546</v>
      </c>
      <c r="AT149" s="192" t="s">
        <v>465</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579</v>
      </c>
    </row>
    <row r="150" spans="1:65" s="2" customFormat="1" ht="19.5">
      <c r="A150" s="36"/>
      <c r="B150" s="37"/>
      <c r="C150" s="38"/>
      <c r="D150" s="196" t="s">
        <v>1226</v>
      </c>
      <c r="E150" s="38"/>
      <c r="F150" s="248" t="s">
        <v>2400</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1226</v>
      </c>
      <c r="AU150" s="19" t="s">
        <v>82</v>
      </c>
    </row>
    <row r="151" spans="1:65" s="2" customFormat="1" ht="16.5" customHeight="1">
      <c r="A151" s="36"/>
      <c r="B151" s="37"/>
      <c r="C151" s="227" t="s">
        <v>284</v>
      </c>
      <c r="D151" s="227" t="s">
        <v>465</v>
      </c>
      <c r="E151" s="228" t="s">
        <v>2403</v>
      </c>
      <c r="F151" s="229" t="s">
        <v>2404</v>
      </c>
      <c r="G151" s="230" t="s">
        <v>2006</v>
      </c>
      <c r="H151" s="231">
        <v>1</v>
      </c>
      <c r="I151" s="232"/>
      <c r="J151" s="233">
        <f>ROUND(I151*H151,2)</f>
        <v>0</v>
      </c>
      <c r="K151" s="229" t="s">
        <v>19</v>
      </c>
      <c r="L151" s="234"/>
      <c r="M151" s="235" t="s">
        <v>19</v>
      </c>
      <c r="N151" s="236"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546</v>
      </c>
      <c r="AT151" s="192" t="s">
        <v>465</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619</v>
      </c>
    </row>
    <row r="152" spans="1:65" s="2" customFormat="1" ht="78">
      <c r="A152" s="36"/>
      <c r="B152" s="37"/>
      <c r="C152" s="38"/>
      <c r="D152" s="196" t="s">
        <v>1226</v>
      </c>
      <c r="E152" s="38"/>
      <c r="F152" s="248" t="s">
        <v>2405</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1226</v>
      </c>
      <c r="AU152" s="19" t="s">
        <v>82</v>
      </c>
    </row>
    <row r="153" spans="1:65" s="2" customFormat="1" ht="16.5" customHeight="1">
      <c r="A153" s="36"/>
      <c r="B153" s="37"/>
      <c r="C153" s="181" t="s">
        <v>486</v>
      </c>
      <c r="D153" s="181" t="s">
        <v>382</v>
      </c>
      <c r="E153" s="182" t="s">
        <v>2406</v>
      </c>
      <c r="F153" s="183" t="s">
        <v>2407</v>
      </c>
      <c r="G153" s="184" t="s">
        <v>2389</v>
      </c>
      <c r="H153" s="185">
        <v>28</v>
      </c>
      <c r="I153" s="186"/>
      <c r="J153" s="187">
        <f>ROUND(I153*H153,2)</f>
        <v>0</v>
      </c>
      <c r="K153" s="183" t="s">
        <v>19</v>
      </c>
      <c r="L153" s="41"/>
      <c r="M153" s="188" t="s">
        <v>19</v>
      </c>
      <c r="N153" s="189"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281</v>
      </c>
      <c r="AT153" s="192" t="s">
        <v>382</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631</v>
      </c>
    </row>
    <row r="154" spans="1:65" s="2" customFormat="1" ht="16.5" customHeight="1">
      <c r="A154" s="36"/>
      <c r="B154" s="37"/>
      <c r="C154" s="227" t="s">
        <v>7</v>
      </c>
      <c r="D154" s="227" t="s">
        <v>465</v>
      </c>
      <c r="E154" s="228" t="s">
        <v>2408</v>
      </c>
      <c r="F154" s="229" t="s">
        <v>2409</v>
      </c>
      <c r="G154" s="230" t="s">
        <v>2006</v>
      </c>
      <c r="H154" s="231">
        <v>2</v>
      </c>
      <c r="I154" s="232"/>
      <c r="J154" s="233">
        <f>ROUND(I154*H154,2)</f>
        <v>0</v>
      </c>
      <c r="K154" s="229" t="s">
        <v>19</v>
      </c>
      <c r="L154" s="234"/>
      <c r="M154" s="235" t="s">
        <v>19</v>
      </c>
      <c r="N154" s="236"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546</v>
      </c>
      <c r="AT154" s="192" t="s">
        <v>465</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644</v>
      </c>
    </row>
    <row r="155" spans="1:65" s="2" customFormat="1" ht="48.75">
      <c r="A155" s="36"/>
      <c r="B155" s="37"/>
      <c r="C155" s="38"/>
      <c r="D155" s="196" t="s">
        <v>1226</v>
      </c>
      <c r="E155" s="38"/>
      <c r="F155" s="248" t="s">
        <v>2410</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1226</v>
      </c>
      <c r="AU155" s="19" t="s">
        <v>82</v>
      </c>
    </row>
    <row r="156" spans="1:65" s="2" customFormat="1" ht="16.5" customHeight="1">
      <c r="A156" s="36"/>
      <c r="B156" s="37"/>
      <c r="C156" s="181" t="s">
        <v>495</v>
      </c>
      <c r="D156" s="181" t="s">
        <v>382</v>
      </c>
      <c r="E156" s="182" t="s">
        <v>2411</v>
      </c>
      <c r="F156" s="183" t="s">
        <v>2412</v>
      </c>
      <c r="G156" s="184" t="s">
        <v>437</v>
      </c>
      <c r="H156" s="185">
        <v>0.4</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652</v>
      </c>
    </row>
    <row r="157" spans="1:65" s="2" customFormat="1" ht="16.5" customHeight="1">
      <c r="A157" s="36"/>
      <c r="B157" s="37"/>
      <c r="C157" s="181" t="s">
        <v>500</v>
      </c>
      <c r="D157" s="181" t="s">
        <v>382</v>
      </c>
      <c r="E157" s="182" t="s">
        <v>2413</v>
      </c>
      <c r="F157" s="183" t="s">
        <v>2414</v>
      </c>
      <c r="G157" s="184" t="s">
        <v>437</v>
      </c>
      <c r="H157" s="185">
        <v>0.4</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660</v>
      </c>
    </row>
    <row r="158" spans="1:65" s="12" customFormat="1" ht="22.9" customHeight="1">
      <c r="B158" s="165"/>
      <c r="C158" s="166"/>
      <c r="D158" s="167" t="s">
        <v>71</v>
      </c>
      <c r="E158" s="179" t="s">
        <v>2415</v>
      </c>
      <c r="F158" s="179" t="s">
        <v>2416</v>
      </c>
      <c r="G158" s="166"/>
      <c r="H158" s="166"/>
      <c r="I158" s="169"/>
      <c r="J158" s="180">
        <f>BK158</f>
        <v>0</v>
      </c>
      <c r="K158" s="166"/>
      <c r="L158" s="171"/>
      <c r="M158" s="172"/>
      <c r="N158" s="173"/>
      <c r="O158" s="173"/>
      <c r="P158" s="174">
        <f>SUM(P159:P190)</f>
        <v>0</v>
      </c>
      <c r="Q158" s="173"/>
      <c r="R158" s="174">
        <f>SUM(R159:R190)</f>
        <v>0</v>
      </c>
      <c r="S158" s="173"/>
      <c r="T158" s="175">
        <f>SUM(T159:T190)</f>
        <v>0</v>
      </c>
      <c r="AR158" s="176" t="s">
        <v>82</v>
      </c>
      <c r="AT158" s="177" t="s">
        <v>71</v>
      </c>
      <c r="AU158" s="177" t="s">
        <v>79</v>
      </c>
      <c r="AY158" s="176" t="s">
        <v>380</v>
      </c>
      <c r="BK158" s="178">
        <f>SUM(BK159:BK190)</f>
        <v>0</v>
      </c>
    </row>
    <row r="159" spans="1:65" s="2" customFormat="1" ht="16.5" customHeight="1">
      <c r="A159" s="36"/>
      <c r="B159" s="37"/>
      <c r="C159" s="181" t="s">
        <v>505</v>
      </c>
      <c r="D159" s="181" t="s">
        <v>382</v>
      </c>
      <c r="E159" s="182" t="s">
        <v>2417</v>
      </c>
      <c r="F159" s="183" t="s">
        <v>2418</v>
      </c>
      <c r="G159" s="184" t="s">
        <v>2389</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668</v>
      </c>
    </row>
    <row r="160" spans="1:65" s="2" customFormat="1" ht="16.5" customHeight="1">
      <c r="A160" s="36"/>
      <c r="B160" s="37"/>
      <c r="C160" s="227" t="s">
        <v>509</v>
      </c>
      <c r="D160" s="227" t="s">
        <v>465</v>
      </c>
      <c r="E160" s="228" t="s">
        <v>2419</v>
      </c>
      <c r="F160" s="229" t="s">
        <v>2420</v>
      </c>
      <c r="G160" s="230" t="s">
        <v>2393</v>
      </c>
      <c r="H160" s="231">
        <v>1</v>
      </c>
      <c r="I160" s="232"/>
      <c r="J160" s="233">
        <f>ROUND(I160*H160,2)</f>
        <v>0</v>
      </c>
      <c r="K160" s="229" t="s">
        <v>19</v>
      </c>
      <c r="L160" s="234"/>
      <c r="M160" s="235" t="s">
        <v>19</v>
      </c>
      <c r="N160" s="236" t="s">
        <v>43</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546</v>
      </c>
      <c r="AT160" s="192" t="s">
        <v>465</v>
      </c>
      <c r="AU160" s="192" t="s">
        <v>82</v>
      </c>
      <c r="AY160" s="19" t="s">
        <v>380</v>
      </c>
      <c r="BE160" s="193">
        <f>IF(N160="základní",J160,0)</f>
        <v>0</v>
      </c>
      <c r="BF160" s="193">
        <f>IF(N160="snížená",J160,0)</f>
        <v>0</v>
      </c>
      <c r="BG160" s="193">
        <f>IF(N160="zákl. přenesená",J160,0)</f>
        <v>0</v>
      </c>
      <c r="BH160" s="193">
        <f>IF(N160="sníž. přenesená",J160,0)</f>
        <v>0</v>
      </c>
      <c r="BI160" s="193">
        <f>IF(N160="nulová",J160,0)</f>
        <v>0</v>
      </c>
      <c r="BJ160" s="19" t="s">
        <v>79</v>
      </c>
      <c r="BK160" s="193">
        <f>ROUND(I160*H160,2)</f>
        <v>0</v>
      </c>
      <c r="BL160" s="19" t="s">
        <v>281</v>
      </c>
      <c r="BM160" s="192" t="s">
        <v>677</v>
      </c>
    </row>
    <row r="161" spans="1:65" s="2" customFormat="1" ht="48.75">
      <c r="A161" s="36"/>
      <c r="B161" s="37"/>
      <c r="C161" s="38"/>
      <c r="D161" s="196" t="s">
        <v>1226</v>
      </c>
      <c r="E161" s="38"/>
      <c r="F161" s="248" t="s">
        <v>2421</v>
      </c>
      <c r="G161" s="38"/>
      <c r="H161" s="38"/>
      <c r="I161" s="249"/>
      <c r="J161" s="38"/>
      <c r="K161" s="38"/>
      <c r="L161" s="41"/>
      <c r="M161" s="250"/>
      <c r="N161" s="251"/>
      <c r="O161" s="66"/>
      <c r="P161" s="66"/>
      <c r="Q161" s="66"/>
      <c r="R161" s="66"/>
      <c r="S161" s="66"/>
      <c r="T161" s="67"/>
      <c r="U161" s="36"/>
      <c r="V161" s="36"/>
      <c r="W161" s="36"/>
      <c r="X161" s="36"/>
      <c r="Y161" s="36"/>
      <c r="Z161" s="36"/>
      <c r="AA161" s="36"/>
      <c r="AB161" s="36"/>
      <c r="AC161" s="36"/>
      <c r="AD161" s="36"/>
      <c r="AE161" s="36"/>
      <c r="AT161" s="19" t="s">
        <v>1226</v>
      </c>
      <c r="AU161" s="19" t="s">
        <v>82</v>
      </c>
    </row>
    <row r="162" spans="1:65" s="2" customFormat="1" ht="16.5" customHeight="1">
      <c r="A162" s="36"/>
      <c r="B162" s="37"/>
      <c r="C162" s="181" t="s">
        <v>514</v>
      </c>
      <c r="D162" s="181" t="s">
        <v>382</v>
      </c>
      <c r="E162" s="182" t="s">
        <v>2422</v>
      </c>
      <c r="F162" s="183" t="s">
        <v>2423</v>
      </c>
      <c r="G162" s="184" t="s">
        <v>2389</v>
      </c>
      <c r="H162" s="185">
        <v>10</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281</v>
      </c>
      <c r="AT162" s="192" t="s">
        <v>382</v>
      </c>
      <c r="AU162" s="192" t="s">
        <v>82</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281</v>
      </c>
      <c r="BM162" s="192" t="s">
        <v>699</v>
      </c>
    </row>
    <row r="163" spans="1:65" s="2" customFormat="1" ht="16.5" customHeight="1">
      <c r="A163" s="36"/>
      <c r="B163" s="37"/>
      <c r="C163" s="227" t="s">
        <v>520</v>
      </c>
      <c r="D163" s="227" t="s">
        <v>465</v>
      </c>
      <c r="E163" s="228" t="s">
        <v>2424</v>
      </c>
      <c r="F163" s="229" t="s">
        <v>2425</v>
      </c>
      <c r="G163" s="230" t="s">
        <v>2393</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546</v>
      </c>
      <c r="AT163" s="192" t="s">
        <v>465</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709</v>
      </c>
    </row>
    <row r="164" spans="1:65" s="2" customFormat="1" ht="39">
      <c r="A164" s="36"/>
      <c r="B164" s="37"/>
      <c r="C164" s="38"/>
      <c r="D164" s="196" t="s">
        <v>1226</v>
      </c>
      <c r="E164" s="38"/>
      <c r="F164" s="248" t="s">
        <v>2426</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82</v>
      </c>
    </row>
    <row r="165" spans="1:65" s="2" customFormat="1" ht="16.5" customHeight="1">
      <c r="A165" s="36"/>
      <c r="B165" s="37"/>
      <c r="C165" s="181" t="s">
        <v>525</v>
      </c>
      <c r="D165" s="181" t="s">
        <v>382</v>
      </c>
      <c r="E165" s="182" t="s">
        <v>2427</v>
      </c>
      <c r="F165" s="183" t="s">
        <v>2428</v>
      </c>
      <c r="G165" s="184" t="s">
        <v>2389</v>
      </c>
      <c r="H165" s="185">
        <v>6</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281</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281</v>
      </c>
      <c r="BM165" s="192" t="s">
        <v>733</v>
      </c>
    </row>
    <row r="166" spans="1:65" s="2" customFormat="1" ht="16.5" customHeight="1">
      <c r="A166" s="36"/>
      <c r="B166" s="37"/>
      <c r="C166" s="227" t="s">
        <v>529</v>
      </c>
      <c r="D166" s="227" t="s">
        <v>465</v>
      </c>
      <c r="E166" s="228" t="s">
        <v>2429</v>
      </c>
      <c r="F166" s="229" t="s">
        <v>2430</v>
      </c>
      <c r="G166" s="230" t="s">
        <v>2393</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546</v>
      </c>
      <c r="AT166" s="192" t="s">
        <v>465</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753</v>
      </c>
    </row>
    <row r="167" spans="1:65" s="2" customFormat="1" ht="29.25">
      <c r="A167" s="36"/>
      <c r="B167" s="37"/>
      <c r="C167" s="38"/>
      <c r="D167" s="196" t="s">
        <v>1226</v>
      </c>
      <c r="E167" s="38"/>
      <c r="F167" s="248" t="s">
        <v>2431</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1226</v>
      </c>
      <c r="AU167" s="19" t="s">
        <v>82</v>
      </c>
    </row>
    <row r="168" spans="1:65" s="2" customFormat="1" ht="16.5" customHeight="1">
      <c r="A168" s="36"/>
      <c r="B168" s="37"/>
      <c r="C168" s="181" t="s">
        <v>534</v>
      </c>
      <c r="D168" s="181" t="s">
        <v>382</v>
      </c>
      <c r="E168" s="182" t="s">
        <v>2432</v>
      </c>
      <c r="F168" s="183" t="s">
        <v>2433</v>
      </c>
      <c r="G168" s="184" t="s">
        <v>2389</v>
      </c>
      <c r="H168" s="185">
        <v>8</v>
      </c>
      <c r="I168" s="186"/>
      <c r="J168" s="187">
        <f>ROUND(I168*H168,2)</f>
        <v>0</v>
      </c>
      <c r="K168" s="183" t="s">
        <v>19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281</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767</v>
      </c>
    </row>
    <row r="169" spans="1:65" s="2" customFormat="1" ht="16.5" customHeight="1">
      <c r="A169" s="36"/>
      <c r="B169" s="37"/>
      <c r="C169" s="227" t="s">
        <v>540</v>
      </c>
      <c r="D169" s="227" t="s">
        <v>465</v>
      </c>
      <c r="E169" s="228" t="s">
        <v>2434</v>
      </c>
      <c r="F169" s="229" t="s">
        <v>2435</v>
      </c>
      <c r="G169" s="230" t="s">
        <v>2393</v>
      </c>
      <c r="H169" s="231">
        <v>1</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546</v>
      </c>
      <c r="AT169" s="192" t="s">
        <v>465</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776</v>
      </c>
    </row>
    <row r="170" spans="1:65" s="2" customFormat="1" ht="19.5">
      <c r="A170" s="36"/>
      <c r="B170" s="37"/>
      <c r="C170" s="38"/>
      <c r="D170" s="196" t="s">
        <v>1226</v>
      </c>
      <c r="E170" s="38"/>
      <c r="F170" s="248" t="s">
        <v>2436</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82</v>
      </c>
    </row>
    <row r="171" spans="1:65" s="2" customFormat="1" ht="16.5" customHeight="1">
      <c r="A171" s="36"/>
      <c r="B171" s="37"/>
      <c r="C171" s="227" t="s">
        <v>546</v>
      </c>
      <c r="D171" s="227" t="s">
        <v>465</v>
      </c>
      <c r="E171" s="228" t="s">
        <v>2437</v>
      </c>
      <c r="F171" s="229" t="s">
        <v>2438</v>
      </c>
      <c r="G171" s="230" t="s">
        <v>2393</v>
      </c>
      <c r="H171" s="231">
        <v>2</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546</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787</v>
      </c>
    </row>
    <row r="172" spans="1:65" s="2" customFormat="1" ht="29.25">
      <c r="A172" s="36"/>
      <c r="B172" s="37"/>
      <c r="C172" s="38"/>
      <c r="D172" s="196" t="s">
        <v>1226</v>
      </c>
      <c r="E172" s="38"/>
      <c r="F172" s="248" t="s">
        <v>2439</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82</v>
      </c>
    </row>
    <row r="173" spans="1:65" s="2" customFormat="1" ht="16.5" customHeight="1">
      <c r="A173" s="36"/>
      <c r="B173" s="37"/>
      <c r="C173" s="181" t="s">
        <v>552</v>
      </c>
      <c r="D173" s="181" t="s">
        <v>382</v>
      </c>
      <c r="E173" s="182" t="s">
        <v>2440</v>
      </c>
      <c r="F173" s="183" t="s">
        <v>2441</v>
      </c>
      <c r="G173" s="184" t="s">
        <v>2389</v>
      </c>
      <c r="H173" s="185">
        <v>4</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795</v>
      </c>
    </row>
    <row r="174" spans="1:65" s="2" customFormat="1" ht="16.5" customHeight="1">
      <c r="A174" s="36"/>
      <c r="B174" s="37"/>
      <c r="C174" s="227" t="s">
        <v>556</v>
      </c>
      <c r="D174" s="227" t="s">
        <v>465</v>
      </c>
      <c r="E174" s="228" t="s">
        <v>2442</v>
      </c>
      <c r="F174" s="229" t="s">
        <v>2443</v>
      </c>
      <c r="G174" s="230" t="s">
        <v>2393</v>
      </c>
      <c r="H174" s="231">
        <v>1</v>
      </c>
      <c r="I174" s="232"/>
      <c r="J174" s="233">
        <f>ROUND(I174*H174,2)</f>
        <v>0</v>
      </c>
      <c r="K174" s="229" t="s">
        <v>19</v>
      </c>
      <c r="L174" s="234"/>
      <c r="M174" s="235" t="s">
        <v>19</v>
      </c>
      <c r="N174" s="236"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546</v>
      </c>
      <c r="AT174" s="192" t="s">
        <v>465</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804</v>
      </c>
    </row>
    <row r="175" spans="1:65" s="2" customFormat="1" ht="19.5">
      <c r="A175" s="36"/>
      <c r="B175" s="37"/>
      <c r="C175" s="38"/>
      <c r="D175" s="196" t="s">
        <v>1226</v>
      </c>
      <c r="E175" s="38"/>
      <c r="F175" s="248" t="s">
        <v>2444</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1226</v>
      </c>
      <c r="AU175" s="19" t="s">
        <v>82</v>
      </c>
    </row>
    <row r="176" spans="1:65" s="2" customFormat="1" ht="16.5" customHeight="1">
      <c r="A176" s="36"/>
      <c r="B176" s="37"/>
      <c r="C176" s="181" t="s">
        <v>565</v>
      </c>
      <c r="D176" s="181" t="s">
        <v>382</v>
      </c>
      <c r="E176" s="182" t="s">
        <v>2445</v>
      </c>
      <c r="F176" s="183" t="s">
        <v>2446</v>
      </c>
      <c r="G176" s="184" t="s">
        <v>2389</v>
      </c>
      <c r="H176" s="185">
        <v>2</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281</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281</v>
      </c>
      <c r="BM176" s="192" t="s">
        <v>831</v>
      </c>
    </row>
    <row r="177" spans="1:65" s="2" customFormat="1" ht="16.5" customHeight="1">
      <c r="A177" s="36"/>
      <c r="B177" s="37"/>
      <c r="C177" s="227" t="s">
        <v>579</v>
      </c>
      <c r="D177" s="227" t="s">
        <v>465</v>
      </c>
      <c r="E177" s="228" t="s">
        <v>2447</v>
      </c>
      <c r="F177" s="229" t="s">
        <v>2448</v>
      </c>
      <c r="G177" s="230" t="s">
        <v>2393</v>
      </c>
      <c r="H177" s="231">
        <v>38</v>
      </c>
      <c r="I177" s="232"/>
      <c r="J177" s="233">
        <f>ROUND(I177*H177,2)</f>
        <v>0</v>
      </c>
      <c r="K177" s="229" t="s">
        <v>19</v>
      </c>
      <c r="L177" s="234"/>
      <c r="M177" s="235" t="s">
        <v>19</v>
      </c>
      <c r="N177" s="236"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546</v>
      </c>
      <c r="AT177" s="192" t="s">
        <v>465</v>
      </c>
      <c r="AU177" s="192" t="s">
        <v>82</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281</v>
      </c>
      <c r="BM177" s="192" t="s">
        <v>841</v>
      </c>
    </row>
    <row r="178" spans="1:65" s="2" customFormat="1" ht="19.5">
      <c r="A178" s="36"/>
      <c r="B178" s="37"/>
      <c r="C178" s="38"/>
      <c r="D178" s="196" t="s">
        <v>1226</v>
      </c>
      <c r="E178" s="38"/>
      <c r="F178" s="248" t="s">
        <v>2449</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1226</v>
      </c>
      <c r="AU178" s="19" t="s">
        <v>82</v>
      </c>
    </row>
    <row r="179" spans="1:65" s="2" customFormat="1" ht="16.5" customHeight="1">
      <c r="A179" s="36"/>
      <c r="B179" s="37"/>
      <c r="C179" s="181" t="s">
        <v>600</v>
      </c>
      <c r="D179" s="181" t="s">
        <v>382</v>
      </c>
      <c r="E179" s="182" t="s">
        <v>2450</v>
      </c>
      <c r="F179" s="183" t="s">
        <v>2451</v>
      </c>
      <c r="G179" s="184" t="s">
        <v>2006</v>
      </c>
      <c r="H179" s="185">
        <v>15</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281</v>
      </c>
      <c r="AT179" s="192" t="s">
        <v>382</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851</v>
      </c>
    </row>
    <row r="180" spans="1:65" s="2" customFormat="1" ht="16.5" customHeight="1">
      <c r="A180" s="36"/>
      <c r="B180" s="37"/>
      <c r="C180" s="227" t="s">
        <v>619</v>
      </c>
      <c r="D180" s="227" t="s">
        <v>465</v>
      </c>
      <c r="E180" s="228" t="s">
        <v>2452</v>
      </c>
      <c r="F180" s="229" t="s">
        <v>2453</v>
      </c>
      <c r="G180" s="230" t="s">
        <v>2393</v>
      </c>
      <c r="H180" s="231">
        <v>15</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546</v>
      </c>
      <c r="AT180" s="192" t="s">
        <v>465</v>
      </c>
      <c r="AU180" s="192" t="s">
        <v>82</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281</v>
      </c>
      <c r="BM180" s="192" t="s">
        <v>859</v>
      </c>
    </row>
    <row r="181" spans="1:65" s="2" customFormat="1" ht="19.5">
      <c r="A181" s="36"/>
      <c r="B181" s="37"/>
      <c r="C181" s="38"/>
      <c r="D181" s="196" t="s">
        <v>1226</v>
      </c>
      <c r="E181" s="38"/>
      <c r="F181" s="248" t="s">
        <v>2454</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1226</v>
      </c>
      <c r="AU181" s="19" t="s">
        <v>82</v>
      </c>
    </row>
    <row r="182" spans="1:65" s="2" customFormat="1" ht="16.5" customHeight="1">
      <c r="A182" s="36"/>
      <c r="B182" s="37"/>
      <c r="C182" s="181" t="s">
        <v>623</v>
      </c>
      <c r="D182" s="181" t="s">
        <v>382</v>
      </c>
      <c r="E182" s="182" t="s">
        <v>2455</v>
      </c>
      <c r="F182" s="183" t="s">
        <v>2456</v>
      </c>
      <c r="G182" s="184" t="s">
        <v>2006</v>
      </c>
      <c r="H182" s="185">
        <v>3</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281</v>
      </c>
      <c r="AT182" s="192" t="s">
        <v>382</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281</v>
      </c>
      <c r="BM182" s="192" t="s">
        <v>867</v>
      </c>
    </row>
    <row r="183" spans="1:65" s="2" customFormat="1" ht="16.5" customHeight="1">
      <c r="A183" s="36"/>
      <c r="B183" s="37"/>
      <c r="C183" s="227" t="s">
        <v>631</v>
      </c>
      <c r="D183" s="227" t="s">
        <v>465</v>
      </c>
      <c r="E183" s="228" t="s">
        <v>2457</v>
      </c>
      <c r="F183" s="229" t="s">
        <v>2458</v>
      </c>
      <c r="G183" s="230" t="s">
        <v>2393</v>
      </c>
      <c r="H183" s="231">
        <v>1</v>
      </c>
      <c r="I183" s="232"/>
      <c r="J183" s="233">
        <f>ROUND(I183*H183,2)</f>
        <v>0</v>
      </c>
      <c r="K183" s="229" t="s">
        <v>19</v>
      </c>
      <c r="L183" s="234"/>
      <c r="M183" s="235" t="s">
        <v>19</v>
      </c>
      <c r="N183" s="236"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546</v>
      </c>
      <c r="AT183" s="192" t="s">
        <v>465</v>
      </c>
      <c r="AU183" s="192" t="s">
        <v>82</v>
      </c>
      <c r="AY183" s="19" t="s">
        <v>380</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281</v>
      </c>
      <c r="BM183" s="192" t="s">
        <v>884</v>
      </c>
    </row>
    <row r="184" spans="1:65" s="2" customFormat="1" ht="29.25">
      <c r="A184" s="36"/>
      <c r="B184" s="37"/>
      <c r="C184" s="38"/>
      <c r="D184" s="196" t="s">
        <v>1226</v>
      </c>
      <c r="E184" s="38"/>
      <c r="F184" s="248" t="s">
        <v>2459</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1226</v>
      </c>
      <c r="AU184" s="19" t="s">
        <v>82</v>
      </c>
    </row>
    <row r="185" spans="1:65" s="2" customFormat="1" ht="16.5" customHeight="1">
      <c r="A185" s="36"/>
      <c r="B185" s="37"/>
      <c r="C185" s="227" t="s">
        <v>638</v>
      </c>
      <c r="D185" s="227" t="s">
        <v>465</v>
      </c>
      <c r="E185" s="228" t="s">
        <v>2460</v>
      </c>
      <c r="F185" s="229" t="s">
        <v>2461</v>
      </c>
      <c r="G185" s="230" t="s">
        <v>2393</v>
      </c>
      <c r="H185" s="231">
        <v>1</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546</v>
      </c>
      <c r="AT185" s="192" t="s">
        <v>465</v>
      </c>
      <c r="AU185" s="192" t="s">
        <v>82</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281</v>
      </c>
      <c r="BM185" s="192" t="s">
        <v>910</v>
      </c>
    </row>
    <row r="186" spans="1:65" s="2" customFormat="1" ht="29.25">
      <c r="A186" s="36"/>
      <c r="B186" s="37"/>
      <c r="C186" s="38"/>
      <c r="D186" s="196" t="s">
        <v>1226</v>
      </c>
      <c r="E186" s="38"/>
      <c r="F186" s="248" t="s">
        <v>2462</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1226</v>
      </c>
      <c r="AU186" s="19" t="s">
        <v>82</v>
      </c>
    </row>
    <row r="187" spans="1:65" s="2" customFormat="1" ht="16.5" customHeight="1">
      <c r="A187" s="36"/>
      <c r="B187" s="37"/>
      <c r="C187" s="227" t="s">
        <v>644</v>
      </c>
      <c r="D187" s="227" t="s">
        <v>465</v>
      </c>
      <c r="E187" s="228" t="s">
        <v>2463</v>
      </c>
      <c r="F187" s="229" t="s">
        <v>2464</v>
      </c>
      <c r="G187" s="230" t="s">
        <v>2393</v>
      </c>
      <c r="H187" s="231">
        <v>1</v>
      </c>
      <c r="I187" s="232"/>
      <c r="J187" s="233">
        <f>ROUND(I187*H187,2)</f>
        <v>0</v>
      </c>
      <c r="K187" s="229" t="s">
        <v>19</v>
      </c>
      <c r="L187" s="234"/>
      <c r="M187" s="235" t="s">
        <v>19</v>
      </c>
      <c r="N187" s="236"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546</v>
      </c>
      <c r="AT187" s="192" t="s">
        <v>465</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281</v>
      </c>
      <c r="BM187" s="192" t="s">
        <v>927</v>
      </c>
    </row>
    <row r="188" spans="1:65" s="2" customFormat="1" ht="29.25">
      <c r="A188" s="36"/>
      <c r="B188" s="37"/>
      <c r="C188" s="38"/>
      <c r="D188" s="196" t="s">
        <v>1226</v>
      </c>
      <c r="E188" s="38"/>
      <c r="F188" s="248" t="s">
        <v>2465</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1226</v>
      </c>
      <c r="AU188" s="19" t="s">
        <v>82</v>
      </c>
    </row>
    <row r="189" spans="1:65" s="2" customFormat="1" ht="16.5" customHeight="1">
      <c r="A189" s="36"/>
      <c r="B189" s="37"/>
      <c r="C189" s="181" t="s">
        <v>648</v>
      </c>
      <c r="D189" s="181" t="s">
        <v>382</v>
      </c>
      <c r="E189" s="182" t="s">
        <v>2466</v>
      </c>
      <c r="F189" s="183" t="s">
        <v>2467</v>
      </c>
      <c r="G189" s="184" t="s">
        <v>437</v>
      </c>
      <c r="H189" s="185">
        <v>0.2</v>
      </c>
      <c r="I189" s="186"/>
      <c r="J189" s="187">
        <f>ROUND(I189*H189,2)</f>
        <v>0</v>
      </c>
      <c r="K189" s="183" t="s">
        <v>19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281</v>
      </c>
      <c r="AT189" s="192" t="s">
        <v>382</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281</v>
      </c>
      <c r="BM189" s="192" t="s">
        <v>936</v>
      </c>
    </row>
    <row r="190" spans="1:65" s="2" customFormat="1" ht="16.5" customHeight="1">
      <c r="A190" s="36"/>
      <c r="B190" s="37"/>
      <c r="C190" s="181" t="s">
        <v>652</v>
      </c>
      <c r="D190" s="181" t="s">
        <v>382</v>
      </c>
      <c r="E190" s="182" t="s">
        <v>2468</v>
      </c>
      <c r="F190" s="183" t="s">
        <v>2469</v>
      </c>
      <c r="G190" s="184" t="s">
        <v>437</v>
      </c>
      <c r="H190" s="185">
        <v>0.2</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281</v>
      </c>
      <c r="AT190" s="192" t="s">
        <v>382</v>
      </c>
      <c r="AU190" s="192" t="s">
        <v>82</v>
      </c>
      <c r="AY190" s="19" t="s">
        <v>380</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281</v>
      </c>
      <c r="BM190" s="192" t="s">
        <v>946</v>
      </c>
    </row>
    <row r="191" spans="1:65" s="12" customFormat="1" ht="22.9" customHeight="1">
      <c r="B191" s="165"/>
      <c r="C191" s="166"/>
      <c r="D191" s="167" t="s">
        <v>71</v>
      </c>
      <c r="E191" s="179" t="s">
        <v>2470</v>
      </c>
      <c r="F191" s="179" t="s">
        <v>2471</v>
      </c>
      <c r="G191" s="166"/>
      <c r="H191" s="166"/>
      <c r="I191" s="169"/>
      <c r="J191" s="180">
        <f>BK191</f>
        <v>0</v>
      </c>
      <c r="K191" s="166"/>
      <c r="L191" s="171"/>
      <c r="M191" s="172"/>
      <c r="N191" s="173"/>
      <c r="O191" s="173"/>
      <c r="P191" s="174">
        <f>SUM(P192:P226)</f>
        <v>0</v>
      </c>
      <c r="Q191" s="173"/>
      <c r="R191" s="174">
        <f>SUM(R192:R226)</f>
        <v>0</v>
      </c>
      <c r="S191" s="173"/>
      <c r="T191" s="175">
        <f>SUM(T192:T226)</f>
        <v>0</v>
      </c>
      <c r="AR191" s="176" t="s">
        <v>82</v>
      </c>
      <c r="AT191" s="177" t="s">
        <v>71</v>
      </c>
      <c r="AU191" s="177" t="s">
        <v>79</v>
      </c>
      <c r="AY191" s="176" t="s">
        <v>380</v>
      </c>
      <c r="BK191" s="178">
        <f>SUM(BK192:BK226)</f>
        <v>0</v>
      </c>
    </row>
    <row r="192" spans="1:65" s="2" customFormat="1" ht="16.5" customHeight="1">
      <c r="A192" s="36"/>
      <c r="B192" s="37"/>
      <c r="C192" s="181" t="s">
        <v>656</v>
      </c>
      <c r="D192" s="181" t="s">
        <v>382</v>
      </c>
      <c r="E192" s="182" t="s">
        <v>2472</v>
      </c>
      <c r="F192" s="183" t="s">
        <v>2473</v>
      </c>
      <c r="G192" s="184" t="s">
        <v>2389</v>
      </c>
      <c r="H192" s="185">
        <v>1</v>
      </c>
      <c r="I192" s="186"/>
      <c r="J192" s="187">
        <f>ROUND(I192*H192,2)</f>
        <v>0</v>
      </c>
      <c r="K192" s="183" t="s">
        <v>19</v>
      </c>
      <c r="L192" s="41"/>
      <c r="M192" s="188" t="s">
        <v>19</v>
      </c>
      <c r="N192" s="189" t="s">
        <v>43</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281</v>
      </c>
      <c r="AT192" s="192" t="s">
        <v>382</v>
      </c>
      <c r="AU192" s="192" t="s">
        <v>82</v>
      </c>
      <c r="AY192" s="19" t="s">
        <v>380</v>
      </c>
      <c r="BE192" s="193">
        <f>IF(N192="základní",J192,0)</f>
        <v>0</v>
      </c>
      <c r="BF192" s="193">
        <f>IF(N192="snížená",J192,0)</f>
        <v>0</v>
      </c>
      <c r="BG192" s="193">
        <f>IF(N192="zákl. přenesená",J192,0)</f>
        <v>0</v>
      </c>
      <c r="BH192" s="193">
        <f>IF(N192="sníž. přenesená",J192,0)</f>
        <v>0</v>
      </c>
      <c r="BI192" s="193">
        <f>IF(N192="nulová",J192,0)</f>
        <v>0</v>
      </c>
      <c r="BJ192" s="19" t="s">
        <v>79</v>
      </c>
      <c r="BK192" s="193">
        <f>ROUND(I192*H192,2)</f>
        <v>0</v>
      </c>
      <c r="BL192" s="19" t="s">
        <v>281</v>
      </c>
      <c r="BM192" s="192" t="s">
        <v>955</v>
      </c>
    </row>
    <row r="193" spans="1:65" s="2" customFormat="1" ht="19.5">
      <c r="A193" s="36"/>
      <c r="B193" s="37"/>
      <c r="C193" s="38"/>
      <c r="D193" s="196" t="s">
        <v>1226</v>
      </c>
      <c r="E193" s="38"/>
      <c r="F193" s="248" t="s">
        <v>2474</v>
      </c>
      <c r="G193" s="38"/>
      <c r="H193" s="38"/>
      <c r="I193" s="249"/>
      <c r="J193" s="38"/>
      <c r="K193" s="38"/>
      <c r="L193" s="41"/>
      <c r="M193" s="250"/>
      <c r="N193" s="251"/>
      <c r="O193" s="66"/>
      <c r="P193" s="66"/>
      <c r="Q193" s="66"/>
      <c r="R193" s="66"/>
      <c r="S193" s="66"/>
      <c r="T193" s="67"/>
      <c r="U193" s="36"/>
      <c r="V193" s="36"/>
      <c r="W193" s="36"/>
      <c r="X193" s="36"/>
      <c r="Y193" s="36"/>
      <c r="Z193" s="36"/>
      <c r="AA193" s="36"/>
      <c r="AB193" s="36"/>
      <c r="AC193" s="36"/>
      <c r="AD193" s="36"/>
      <c r="AE193" s="36"/>
      <c r="AT193" s="19" t="s">
        <v>1226</v>
      </c>
      <c r="AU193" s="19" t="s">
        <v>82</v>
      </c>
    </row>
    <row r="194" spans="1:65" s="2" customFormat="1" ht="16.5" customHeight="1">
      <c r="A194" s="36"/>
      <c r="B194" s="37"/>
      <c r="C194" s="227" t="s">
        <v>660</v>
      </c>
      <c r="D194" s="227" t="s">
        <v>465</v>
      </c>
      <c r="E194" s="228" t="s">
        <v>2475</v>
      </c>
      <c r="F194" s="229" t="s">
        <v>2476</v>
      </c>
      <c r="G194" s="230" t="s">
        <v>2393</v>
      </c>
      <c r="H194" s="231">
        <v>2</v>
      </c>
      <c r="I194" s="232"/>
      <c r="J194" s="233">
        <f>ROUND(I194*H194,2)</f>
        <v>0</v>
      </c>
      <c r="K194" s="229" t="s">
        <v>19</v>
      </c>
      <c r="L194" s="234"/>
      <c r="M194" s="235" t="s">
        <v>19</v>
      </c>
      <c r="N194" s="236"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546</v>
      </c>
      <c r="AT194" s="192" t="s">
        <v>465</v>
      </c>
      <c r="AU194" s="192" t="s">
        <v>82</v>
      </c>
      <c r="AY194" s="19" t="s">
        <v>380</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281</v>
      </c>
      <c r="BM194" s="192" t="s">
        <v>963</v>
      </c>
    </row>
    <row r="195" spans="1:65" s="2" customFormat="1" ht="19.5">
      <c r="A195" s="36"/>
      <c r="B195" s="37"/>
      <c r="C195" s="38"/>
      <c r="D195" s="196" t="s">
        <v>1226</v>
      </c>
      <c r="E195" s="38"/>
      <c r="F195" s="248" t="s">
        <v>2477</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1226</v>
      </c>
      <c r="AU195" s="19" t="s">
        <v>82</v>
      </c>
    </row>
    <row r="196" spans="1:65" s="2" customFormat="1" ht="16.5" customHeight="1">
      <c r="A196" s="36"/>
      <c r="B196" s="37"/>
      <c r="C196" s="181" t="s">
        <v>664</v>
      </c>
      <c r="D196" s="181" t="s">
        <v>382</v>
      </c>
      <c r="E196" s="182" t="s">
        <v>2478</v>
      </c>
      <c r="F196" s="183" t="s">
        <v>2479</v>
      </c>
      <c r="G196" s="184" t="s">
        <v>452</v>
      </c>
      <c r="H196" s="185">
        <v>665.85</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281</v>
      </c>
      <c r="AT196" s="192" t="s">
        <v>382</v>
      </c>
      <c r="AU196" s="192" t="s">
        <v>82</v>
      </c>
      <c r="AY196" s="19" t="s">
        <v>380</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281</v>
      </c>
      <c r="BM196" s="192" t="s">
        <v>971</v>
      </c>
    </row>
    <row r="197" spans="1:65" s="14" customFormat="1" ht="11.25">
      <c r="B197" s="205"/>
      <c r="C197" s="206"/>
      <c r="D197" s="196" t="s">
        <v>388</v>
      </c>
      <c r="E197" s="207" t="s">
        <v>19</v>
      </c>
      <c r="F197" s="208" t="s">
        <v>2480</v>
      </c>
      <c r="G197" s="206"/>
      <c r="H197" s="209">
        <v>665.85</v>
      </c>
      <c r="I197" s="210"/>
      <c r="J197" s="206"/>
      <c r="K197" s="206"/>
      <c r="L197" s="211"/>
      <c r="M197" s="212"/>
      <c r="N197" s="213"/>
      <c r="O197" s="213"/>
      <c r="P197" s="213"/>
      <c r="Q197" s="213"/>
      <c r="R197" s="213"/>
      <c r="S197" s="213"/>
      <c r="T197" s="214"/>
      <c r="AT197" s="215" t="s">
        <v>388</v>
      </c>
      <c r="AU197" s="215" t="s">
        <v>82</v>
      </c>
      <c r="AV197" s="14" t="s">
        <v>82</v>
      </c>
      <c r="AW197" s="14" t="s">
        <v>33</v>
      </c>
      <c r="AX197" s="14" t="s">
        <v>72</v>
      </c>
      <c r="AY197" s="215" t="s">
        <v>380</v>
      </c>
    </row>
    <row r="198" spans="1:65" s="15" customFormat="1" ht="11.25">
      <c r="B198" s="216"/>
      <c r="C198" s="217"/>
      <c r="D198" s="196" t="s">
        <v>388</v>
      </c>
      <c r="E198" s="218" t="s">
        <v>19</v>
      </c>
      <c r="F198" s="219" t="s">
        <v>419</v>
      </c>
      <c r="G198" s="217"/>
      <c r="H198" s="220">
        <v>665.85</v>
      </c>
      <c r="I198" s="221"/>
      <c r="J198" s="217"/>
      <c r="K198" s="217"/>
      <c r="L198" s="222"/>
      <c r="M198" s="223"/>
      <c r="N198" s="224"/>
      <c r="O198" s="224"/>
      <c r="P198" s="224"/>
      <c r="Q198" s="224"/>
      <c r="R198" s="224"/>
      <c r="S198" s="224"/>
      <c r="T198" s="225"/>
      <c r="AT198" s="226" t="s">
        <v>388</v>
      </c>
      <c r="AU198" s="226" t="s">
        <v>82</v>
      </c>
      <c r="AV198" s="15" t="s">
        <v>386</v>
      </c>
      <c r="AW198" s="15" t="s">
        <v>33</v>
      </c>
      <c r="AX198" s="15" t="s">
        <v>79</v>
      </c>
      <c r="AY198" s="226" t="s">
        <v>380</v>
      </c>
    </row>
    <row r="199" spans="1:65" s="2" customFormat="1" ht="16.5" customHeight="1">
      <c r="A199" s="36"/>
      <c r="B199" s="37"/>
      <c r="C199" s="181" t="s">
        <v>668</v>
      </c>
      <c r="D199" s="181" t="s">
        <v>382</v>
      </c>
      <c r="E199" s="182" t="s">
        <v>2481</v>
      </c>
      <c r="F199" s="183" t="s">
        <v>2482</v>
      </c>
      <c r="G199" s="184" t="s">
        <v>452</v>
      </c>
      <c r="H199" s="185">
        <v>118.45</v>
      </c>
      <c r="I199" s="186"/>
      <c r="J199" s="187">
        <f>ROUND(I199*H199,2)</f>
        <v>0</v>
      </c>
      <c r="K199" s="183" t="s">
        <v>19</v>
      </c>
      <c r="L199" s="41"/>
      <c r="M199" s="188" t="s">
        <v>19</v>
      </c>
      <c r="N199" s="189" t="s">
        <v>43</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281</v>
      </c>
      <c r="AT199" s="192" t="s">
        <v>382</v>
      </c>
      <c r="AU199" s="192" t="s">
        <v>82</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281</v>
      </c>
      <c r="BM199" s="192" t="s">
        <v>979</v>
      </c>
    </row>
    <row r="200" spans="1:65" s="14" customFormat="1" ht="11.25">
      <c r="B200" s="205"/>
      <c r="C200" s="206"/>
      <c r="D200" s="196" t="s">
        <v>388</v>
      </c>
      <c r="E200" s="207" t="s">
        <v>19</v>
      </c>
      <c r="F200" s="208" t="s">
        <v>2483</v>
      </c>
      <c r="G200" s="206"/>
      <c r="H200" s="209">
        <v>118.45</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5" customFormat="1" ht="11.25">
      <c r="B201" s="216"/>
      <c r="C201" s="217"/>
      <c r="D201" s="196" t="s">
        <v>388</v>
      </c>
      <c r="E201" s="218" t="s">
        <v>19</v>
      </c>
      <c r="F201" s="219" t="s">
        <v>419</v>
      </c>
      <c r="G201" s="217"/>
      <c r="H201" s="220">
        <v>118.45</v>
      </c>
      <c r="I201" s="221"/>
      <c r="J201" s="217"/>
      <c r="K201" s="217"/>
      <c r="L201" s="222"/>
      <c r="M201" s="223"/>
      <c r="N201" s="224"/>
      <c r="O201" s="224"/>
      <c r="P201" s="224"/>
      <c r="Q201" s="224"/>
      <c r="R201" s="224"/>
      <c r="S201" s="224"/>
      <c r="T201" s="225"/>
      <c r="AT201" s="226" t="s">
        <v>388</v>
      </c>
      <c r="AU201" s="226" t="s">
        <v>82</v>
      </c>
      <c r="AV201" s="15" t="s">
        <v>386</v>
      </c>
      <c r="AW201" s="15" t="s">
        <v>33</v>
      </c>
      <c r="AX201" s="15" t="s">
        <v>79</v>
      </c>
      <c r="AY201" s="226" t="s">
        <v>380</v>
      </c>
    </row>
    <row r="202" spans="1:65" s="2" customFormat="1" ht="16.5" customHeight="1">
      <c r="A202" s="36"/>
      <c r="B202" s="37"/>
      <c r="C202" s="181" t="s">
        <v>672</v>
      </c>
      <c r="D202" s="181" t="s">
        <v>382</v>
      </c>
      <c r="E202" s="182" t="s">
        <v>2484</v>
      </c>
      <c r="F202" s="183" t="s">
        <v>2485</v>
      </c>
      <c r="G202" s="184" t="s">
        <v>452</v>
      </c>
      <c r="H202" s="185">
        <v>123.05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281</v>
      </c>
      <c r="AT202" s="192" t="s">
        <v>382</v>
      </c>
      <c r="AU202" s="192" t="s">
        <v>82</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281</v>
      </c>
      <c r="BM202" s="192" t="s">
        <v>987</v>
      </c>
    </row>
    <row r="203" spans="1:65" s="14" customFormat="1" ht="11.25">
      <c r="B203" s="205"/>
      <c r="C203" s="206"/>
      <c r="D203" s="196" t="s">
        <v>388</v>
      </c>
      <c r="E203" s="207" t="s">
        <v>19</v>
      </c>
      <c r="F203" s="208" t="s">
        <v>2486</v>
      </c>
      <c r="G203" s="206"/>
      <c r="H203" s="209">
        <v>123.05</v>
      </c>
      <c r="I203" s="210"/>
      <c r="J203" s="206"/>
      <c r="K203" s="206"/>
      <c r="L203" s="211"/>
      <c r="M203" s="212"/>
      <c r="N203" s="213"/>
      <c r="O203" s="213"/>
      <c r="P203" s="213"/>
      <c r="Q203" s="213"/>
      <c r="R203" s="213"/>
      <c r="S203" s="213"/>
      <c r="T203" s="214"/>
      <c r="AT203" s="215" t="s">
        <v>388</v>
      </c>
      <c r="AU203" s="215" t="s">
        <v>82</v>
      </c>
      <c r="AV203" s="14" t="s">
        <v>82</v>
      </c>
      <c r="AW203" s="14" t="s">
        <v>33</v>
      </c>
      <c r="AX203" s="14" t="s">
        <v>72</v>
      </c>
      <c r="AY203" s="215" t="s">
        <v>380</v>
      </c>
    </row>
    <row r="204" spans="1:65" s="15" customFormat="1" ht="11.25">
      <c r="B204" s="216"/>
      <c r="C204" s="217"/>
      <c r="D204" s="196" t="s">
        <v>388</v>
      </c>
      <c r="E204" s="218" t="s">
        <v>19</v>
      </c>
      <c r="F204" s="219" t="s">
        <v>419</v>
      </c>
      <c r="G204" s="217"/>
      <c r="H204" s="220">
        <v>123.05</v>
      </c>
      <c r="I204" s="221"/>
      <c r="J204" s="217"/>
      <c r="K204" s="217"/>
      <c r="L204" s="222"/>
      <c r="M204" s="223"/>
      <c r="N204" s="224"/>
      <c r="O204" s="224"/>
      <c r="P204" s="224"/>
      <c r="Q204" s="224"/>
      <c r="R204" s="224"/>
      <c r="S204" s="224"/>
      <c r="T204" s="225"/>
      <c r="AT204" s="226" t="s">
        <v>388</v>
      </c>
      <c r="AU204" s="226" t="s">
        <v>82</v>
      </c>
      <c r="AV204" s="15" t="s">
        <v>386</v>
      </c>
      <c r="AW204" s="15" t="s">
        <v>33</v>
      </c>
      <c r="AX204" s="15" t="s">
        <v>79</v>
      </c>
      <c r="AY204" s="226" t="s">
        <v>380</v>
      </c>
    </row>
    <row r="205" spans="1:65" s="2" customFormat="1" ht="16.5" customHeight="1">
      <c r="A205" s="36"/>
      <c r="B205" s="37"/>
      <c r="C205" s="181" t="s">
        <v>677</v>
      </c>
      <c r="D205" s="181" t="s">
        <v>382</v>
      </c>
      <c r="E205" s="182" t="s">
        <v>2487</v>
      </c>
      <c r="F205" s="183" t="s">
        <v>2488</v>
      </c>
      <c r="G205" s="184" t="s">
        <v>452</v>
      </c>
      <c r="H205" s="185">
        <v>13.8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281</v>
      </c>
      <c r="AT205" s="192" t="s">
        <v>382</v>
      </c>
      <c r="AU205" s="192" t="s">
        <v>82</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281</v>
      </c>
      <c r="BM205" s="192" t="s">
        <v>995</v>
      </c>
    </row>
    <row r="206" spans="1:65" s="14" customFormat="1" ht="11.25">
      <c r="B206" s="205"/>
      <c r="C206" s="206"/>
      <c r="D206" s="196" t="s">
        <v>388</v>
      </c>
      <c r="E206" s="207" t="s">
        <v>19</v>
      </c>
      <c r="F206" s="208" t="s">
        <v>2375</v>
      </c>
      <c r="G206" s="206"/>
      <c r="H206" s="209">
        <v>13.8</v>
      </c>
      <c r="I206" s="210"/>
      <c r="J206" s="206"/>
      <c r="K206" s="206"/>
      <c r="L206" s="211"/>
      <c r="M206" s="212"/>
      <c r="N206" s="213"/>
      <c r="O206" s="213"/>
      <c r="P206" s="213"/>
      <c r="Q206" s="213"/>
      <c r="R206" s="213"/>
      <c r="S206" s="213"/>
      <c r="T206" s="214"/>
      <c r="AT206" s="215" t="s">
        <v>388</v>
      </c>
      <c r="AU206" s="215" t="s">
        <v>82</v>
      </c>
      <c r="AV206" s="14" t="s">
        <v>82</v>
      </c>
      <c r="AW206" s="14" t="s">
        <v>33</v>
      </c>
      <c r="AX206" s="14" t="s">
        <v>72</v>
      </c>
      <c r="AY206" s="215" t="s">
        <v>380</v>
      </c>
    </row>
    <row r="207" spans="1:65" s="15" customFormat="1" ht="11.25">
      <c r="B207" s="216"/>
      <c r="C207" s="217"/>
      <c r="D207" s="196" t="s">
        <v>388</v>
      </c>
      <c r="E207" s="218" t="s">
        <v>19</v>
      </c>
      <c r="F207" s="219" t="s">
        <v>419</v>
      </c>
      <c r="G207" s="217"/>
      <c r="H207" s="220">
        <v>13.8</v>
      </c>
      <c r="I207" s="221"/>
      <c r="J207" s="217"/>
      <c r="K207" s="217"/>
      <c r="L207" s="222"/>
      <c r="M207" s="223"/>
      <c r="N207" s="224"/>
      <c r="O207" s="224"/>
      <c r="P207" s="224"/>
      <c r="Q207" s="224"/>
      <c r="R207" s="224"/>
      <c r="S207" s="224"/>
      <c r="T207" s="225"/>
      <c r="AT207" s="226" t="s">
        <v>388</v>
      </c>
      <c r="AU207" s="226" t="s">
        <v>82</v>
      </c>
      <c r="AV207" s="15" t="s">
        <v>386</v>
      </c>
      <c r="AW207" s="15" t="s">
        <v>33</v>
      </c>
      <c r="AX207" s="15" t="s">
        <v>79</v>
      </c>
      <c r="AY207" s="226" t="s">
        <v>380</v>
      </c>
    </row>
    <row r="208" spans="1:65" s="2" customFormat="1" ht="16.5" customHeight="1">
      <c r="A208" s="36"/>
      <c r="B208" s="37"/>
      <c r="C208" s="181" t="s">
        <v>688</v>
      </c>
      <c r="D208" s="181" t="s">
        <v>382</v>
      </c>
      <c r="E208" s="182" t="s">
        <v>2489</v>
      </c>
      <c r="F208" s="183" t="s">
        <v>2490</v>
      </c>
      <c r="G208" s="184" t="s">
        <v>452</v>
      </c>
      <c r="H208" s="185">
        <v>9.1999999999999993</v>
      </c>
      <c r="I208" s="186"/>
      <c r="J208" s="187">
        <f>ROUND(I208*H208,2)</f>
        <v>0</v>
      </c>
      <c r="K208" s="183" t="s">
        <v>19</v>
      </c>
      <c r="L208" s="41"/>
      <c r="M208" s="188" t="s">
        <v>19</v>
      </c>
      <c r="N208" s="189" t="s">
        <v>43</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281</v>
      </c>
      <c r="AT208" s="192" t="s">
        <v>382</v>
      </c>
      <c r="AU208" s="192" t="s">
        <v>82</v>
      </c>
      <c r="AY208" s="19" t="s">
        <v>380</v>
      </c>
      <c r="BE208" s="193">
        <f>IF(N208="základní",J208,0)</f>
        <v>0</v>
      </c>
      <c r="BF208" s="193">
        <f>IF(N208="snížená",J208,0)</f>
        <v>0</v>
      </c>
      <c r="BG208" s="193">
        <f>IF(N208="zákl. přenesená",J208,0)</f>
        <v>0</v>
      </c>
      <c r="BH208" s="193">
        <f>IF(N208="sníž. přenesená",J208,0)</f>
        <v>0</v>
      </c>
      <c r="BI208" s="193">
        <f>IF(N208="nulová",J208,0)</f>
        <v>0</v>
      </c>
      <c r="BJ208" s="19" t="s">
        <v>79</v>
      </c>
      <c r="BK208" s="193">
        <f>ROUND(I208*H208,2)</f>
        <v>0</v>
      </c>
      <c r="BL208" s="19" t="s">
        <v>281</v>
      </c>
      <c r="BM208" s="192" t="s">
        <v>154</v>
      </c>
    </row>
    <row r="209" spans="1:65" s="2" customFormat="1" ht="19.5">
      <c r="A209" s="36"/>
      <c r="B209" s="37"/>
      <c r="C209" s="38"/>
      <c r="D209" s="196" t="s">
        <v>1226</v>
      </c>
      <c r="E209" s="38"/>
      <c r="F209" s="248" t="s">
        <v>2491</v>
      </c>
      <c r="G209" s="38"/>
      <c r="H209" s="38"/>
      <c r="I209" s="249"/>
      <c r="J209" s="38"/>
      <c r="K209" s="38"/>
      <c r="L209" s="41"/>
      <c r="M209" s="250"/>
      <c r="N209" s="251"/>
      <c r="O209" s="66"/>
      <c r="P209" s="66"/>
      <c r="Q209" s="66"/>
      <c r="R209" s="66"/>
      <c r="S209" s="66"/>
      <c r="T209" s="67"/>
      <c r="U209" s="36"/>
      <c r="V209" s="36"/>
      <c r="W209" s="36"/>
      <c r="X209" s="36"/>
      <c r="Y209" s="36"/>
      <c r="Z209" s="36"/>
      <c r="AA209" s="36"/>
      <c r="AB209" s="36"/>
      <c r="AC209" s="36"/>
      <c r="AD209" s="36"/>
      <c r="AE209" s="36"/>
      <c r="AT209" s="19" t="s">
        <v>1226</v>
      </c>
      <c r="AU209" s="19" t="s">
        <v>82</v>
      </c>
    </row>
    <row r="210" spans="1:65" s="14" customFormat="1" ht="11.25">
      <c r="B210" s="205"/>
      <c r="C210" s="206"/>
      <c r="D210" s="196" t="s">
        <v>388</v>
      </c>
      <c r="E210" s="207" t="s">
        <v>19</v>
      </c>
      <c r="F210" s="208" t="s">
        <v>2492</v>
      </c>
      <c r="G210" s="206"/>
      <c r="H210" s="209">
        <v>9.1999999999999993</v>
      </c>
      <c r="I210" s="210"/>
      <c r="J210" s="206"/>
      <c r="K210" s="206"/>
      <c r="L210" s="211"/>
      <c r="M210" s="212"/>
      <c r="N210" s="213"/>
      <c r="O210" s="213"/>
      <c r="P210" s="213"/>
      <c r="Q210" s="213"/>
      <c r="R210" s="213"/>
      <c r="S210" s="213"/>
      <c r="T210" s="214"/>
      <c r="AT210" s="215" t="s">
        <v>388</v>
      </c>
      <c r="AU210" s="215" t="s">
        <v>82</v>
      </c>
      <c r="AV210" s="14" t="s">
        <v>82</v>
      </c>
      <c r="AW210" s="14" t="s">
        <v>33</v>
      </c>
      <c r="AX210" s="14" t="s">
        <v>72</v>
      </c>
      <c r="AY210" s="215" t="s">
        <v>380</v>
      </c>
    </row>
    <row r="211" spans="1:65" s="15" customFormat="1" ht="11.25">
      <c r="B211" s="216"/>
      <c r="C211" s="217"/>
      <c r="D211" s="196" t="s">
        <v>388</v>
      </c>
      <c r="E211" s="218" t="s">
        <v>19</v>
      </c>
      <c r="F211" s="219" t="s">
        <v>419</v>
      </c>
      <c r="G211" s="217"/>
      <c r="H211" s="220">
        <v>9.1999999999999993</v>
      </c>
      <c r="I211" s="221"/>
      <c r="J211" s="217"/>
      <c r="K211" s="217"/>
      <c r="L211" s="222"/>
      <c r="M211" s="223"/>
      <c r="N211" s="224"/>
      <c r="O211" s="224"/>
      <c r="P211" s="224"/>
      <c r="Q211" s="224"/>
      <c r="R211" s="224"/>
      <c r="S211" s="224"/>
      <c r="T211" s="225"/>
      <c r="AT211" s="226" t="s">
        <v>388</v>
      </c>
      <c r="AU211" s="226" t="s">
        <v>82</v>
      </c>
      <c r="AV211" s="15" t="s">
        <v>386</v>
      </c>
      <c r="AW211" s="15" t="s">
        <v>33</v>
      </c>
      <c r="AX211" s="15" t="s">
        <v>79</v>
      </c>
      <c r="AY211" s="226" t="s">
        <v>380</v>
      </c>
    </row>
    <row r="212" spans="1:65" s="2" customFormat="1" ht="16.5" customHeight="1">
      <c r="A212" s="36"/>
      <c r="B212" s="37"/>
      <c r="C212" s="181" t="s">
        <v>699</v>
      </c>
      <c r="D212" s="181" t="s">
        <v>382</v>
      </c>
      <c r="E212" s="182" t="s">
        <v>2493</v>
      </c>
      <c r="F212" s="183" t="s">
        <v>2494</v>
      </c>
      <c r="G212" s="184" t="s">
        <v>452</v>
      </c>
      <c r="H212" s="185">
        <v>4.5</v>
      </c>
      <c r="I212" s="186"/>
      <c r="J212" s="187">
        <f>ROUND(I212*H212,2)</f>
        <v>0</v>
      </c>
      <c r="K212" s="183" t="s">
        <v>19</v>
      </c>
      <c r="L212" s="41"/>
      <c r="M212" s="188" t="s">
        <v>19</v>
      </c>
      <c r="N212" s="189" t="s">
        <v>43</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281</v>
      </c>
      <c r="AT212" s="192" t="s">
        <v>382</v>
      </c>
      <c r="AU212" s="192" t="s">
        <v>82</v>
      </c>
      <c r="AY212" s="19" t="s">
        <v>380</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281</v>
      </c>
      <c r="BM212" s="192" t="s">
        <v>160</v>
      </c>
    </row>
    <row r="213" spans="1:65" s="14" customFormat="1" ht="11.25">
      <c r="B213" s="205"/>
      <c r="C213" s="206"/>
      <c r="D213" s="196" t="s">
        <v>388</v>
      </c>
      <c r="E213" s="207" t="s">
        <v>19</v>
      </c>
      <c r="F213" s="208" t="s">
        <v>2495</v>
      </c>
      <c r="G213" s="206"/>
      <c r="H213" s="209">
        <v>4.5</v>
      </c>
      <c r="I213" s="210"/>
      <c r="J213" s="206"/>
      <c r="K213" s="206"/>
      <c r="L213" s="211"/>
      <c r="M213" s="212"/>
      <c r="N213" s="213"/>
      <c r="O213" s="213"/>
      <c r="P213" s="213"/>
      <c r="Q213" s="213"/>
      <c r="R213" s="213"/>
      <c r="S213" s="213"/>
      <c r="T213" s="214"/>
      <c r="AT213" s="215" t="s">
        <v>388</v>
      </c>
      <c r="AU213" s="215" t="s">
        <v>82</v>
      </c>
      <c r="AV213" s="14" t="s">
        <v>82</v>
      </c>
      <c r="AW213" s="14" t="s">
        <v>33</v>
      </c>
      <c r="AX213" s="14" t="s">
        <v>72</v>
      </c>
      <c r="AY213" s="215" t="s">
        <v>380</v>
      </c>
    </row>
    <row r="214" spans="1:65" s="15" customFormat="1" ht="11.25">
      <c r="B214" s="216"/>
      <c r="C214" s="217"/>
      <c r="D214" s="196" t="s">
        <v>388</v>
      </c>
      <c r="E214" s="218" t="s">
        <v>19</v>
      </c>
      <c r="F214" s="219" t="s">
        <v>419</v>
      </c>
      <c r="G214" s="217"/>
      <c r="H214" s="220">
        <v>4.5</v>
      </c>
      <c r="I214" s="221"/>
      <c r="J214" s="217"/>
      <c r="K214" s="217"/>
      <c r="L214" s="222"/>
      <c r="M214" s="223"/>
      <c r="N214" s="224"/>
      <c r="O214" s="224"/>
      <c r="P214" s="224"/>
      <c r="Q214" s="224"/>
      <c r="R214" s="224"/>
      <c r="S214" s="224"/>
      <c r="T214" s="225"/>
      <c r="AT214" s="226" t="s">
        <v>388</v>
      </c>
      <c r="AU214" s="226" t="s">
        <v>82</v>
      </c>
      <c r="AV214" s="15" t="s">
        <v>386</v>
      </c>
      <c r="AW214" s="15" t="s">
        <v>33</v>
      </c>
      <c r="AX214" s="15" t="s">
        <v>79</v>
      </c>
      <c r="AY214" s="226" t="s">
        <v>380</v>
      </c>
    </row>
    <row r="215" spans="1:65" s="2" customFormat="1" ht="16.5" customHeight="1">
      <c r="A215" s="36"/>
      <c r="B215" s="37"/>
      <c r="C215" s="181" t="s">
        <v>703</v>
      </c>
      <c r="D215" s="181" t="s">
        <v>382</v>
      </c>
      <c r="E215" s="182" t="s">
        <v>2496</v>
      </c>
      <c r="F215" s="183" t="s">
        <v>2497</v>
      </c>
      <c r="G215" s="184" t="s">
        <v>452</v>
      </c>
      <c r="H215" s="185">
        <v>19.55</v>
      </c>
      <c r="I215" s="186"/>
      <c r="J215" s="187">
        <f>ROUND(I215*H215,2)</f>
        <v>0</v>
      </c>
      <c r="K215" s="183" t="s">
        <v>19</v>
      </c>
      <c r="L215" s="41"/>
      <c r="M215" s="188" t="s">
        <v>19</v>
      </c>
      <c r="N215" s="189"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281</v>
      </c>
      <c r="AT215" s="192" t="s">
        <v>382</v>
      </c>
      <c r="AU215" s="192" t="s">
        <v>82</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281</v>
      </c>
      <c r="BM215" s="192" t="s">
        <v>163</v>
      </c>
    </row>
    <row r="216" spans="1:65" s="14" customFormat="1" ht="11.25">
      <c r="B216" s="205"/>
      <c r="C216" s="206"/>
      <c r="D216" s="196" t="s">
        <v>388</v>
      </c>
      <c r="E216" s="207" t="s">
        <v>19</v>
      </c>
      <c r="F216" s="208" t="s">
        <v>2498</v>
      </c>
      <c r="G216" s="206"/>
      <c r="H216" s="209">
        <v>19.55</v>
      </c>
      <c r="I216" s="210"/>
      <c r="J216" s="206"/>
      <c r="K216" s="206"/>
      <c r="L216" s="211"/>
      <c r="M216" s="212"/>
      <c r="N216" s="213"/>
      <c r="O216" s="213"/>
      <c r="P216" s="213"/>
      <c r="Q216" s="213"/>
      <c r="R216" s="213"/>
      <c r="S216" s="213"/>
      <c r="T216" s="214"/>
      <c r="AT216" s="215" t="s">
        <v>388</v>
      </c>
      <c r="AU216" s="215" t="s">
        <v>82</v>
      </c>
      <c r="AV216" s="14" t="s">
        <v>82</v>
      </c>
      <c r="AW216" s="14" t="s">
        <v>33</v>
      </c>
      <c r="AX216" s="14" t="s">
        <v>72</v>
      </c>
      <c r="AY216" s="215" t="s">
        <v>380</v>
      </c>
    </row>
    <row r="217" spans="1:65" s="15" customFormat="1" ht="11.25">
      <c r="B217" s="216"/>
      <c r="C217" s="217"/>
      <c r="D217" s="196" t="s">
        <v>388</v>
      </c>
      <c r="E217" s="218" t="s">
        <v>19</v>
      </c>
      <c r="F217" s="219" t="s">
        <v>419</v>
      </c>
      <c r="G217" s="217"/>
      <c r="H217" s="220">
        <v>19.55</v>
      </c>
      <c r="I217" s="221"/>
      <c r="J217" s="217"/>
      <c r="K217" s="217"/>
      <c r="L217" s="222"/>
      <c r="M217" s="223"/>
      <c r="N217" s="224"/>
      <c r="O217" s="224"/>
      <c r="P217" s="224"/>
      <c r="Q217" s="224"/>
      <c r="R217" s="224"/>
      <c r="S217" s="224"/>
      <c r="T217" s="225"/>
      <c r="AT217" s="226" t="s">
        <v>388</v>
      </c>
      <c r="AU217" s="226" t="s">
        <v>82</v>
      </c>
      <c r="AV217" s="15" t="s">
        <v>386</v>
      </c>
      <c r="AW217" s="15" t="s">
        <v>33</v>
      </c>
      <c r="AX217" s="15" t="s">
        <v>79</v>
      </c>
      <c r="AY217" s="226" t="s">
        <v>380</v>
      </c>
    </row>
    <row r="218" spans="1:65" s="2" customFormat="1" ht="16.5" customHeight="1">
      <c r="A218" s="36"/>
      <c r="B218" s="37"/>
      <c r="C218" s="181" t="s">
        <v>709</v>
      </c>
      <c r="D218" s="181" t="s">
        <v>382</v>
      </c>
      <c r="E218" s="182" t="s">
        <v>2499</v>
      </c>
      <c r="F218" s="183" t="s">
        <v>2500</v>
      </c>
      <c r="G218" s="184" t="s">
        <v>452</v>
      </c>
      <c r="H218" s="185">
        <v>21.85</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281</v>
      </c>
      <c r="AT218" s="192" t="s">
        <v>382</v>
      </c>
      <c r="AU218" s="192" t="s">
        <v>82</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281</v>
      </c>
      <c r="BM218" s="192" t="s">
        <v>1029</v>
      </c>
    </row>
    <row r="219" spans="1:65" s="14" customFormat="1" ht="11.25">
      <c r="B219" s="205"/>
      <c r="C219" s="206"/>
      <c r="D219" s="196" t="s">
        <v>388</v>
      </c>
      <c r="E219" s="207" t="s">
        <v>19</v>
      </c>
      <c r="F219" s="208" t="s">
        <v>2378</v>
      </c>
      <c r="G219" s="206"/>
      <c r="H219" s="209">
        <v>21.85</v>
      </c>
      <c r="I219" s="210"/>
      <c r="J219" s="206"/>
      <c r="K219" s="206"/>
      <c r="L219" s="211"/>
      <c r="M219" s="212"/>
      <c r="N219" s="213"/>
      <c r="O219" s="213"/>
      <c r="P219" s="213"/>
      <c r="Q219" s="213"/>
      <c r="R219" s="213"/>
      <c r="S219" s="213"/>
      <c r="T219" s="214"/>
      <c r="AT219" s="215" t="s">
        <v>388</v>
      </c>
      <c r="AU219" s="215" t="s">
        <v>82</v>
      </c>
      <c r="AV219" s="14" t="s">
        <v>82</v>
      </c>
      <c r="AW219" s="14" t="s">
        <v>33</v>
      </c>
      <c r="AX219" s="14" t="s">
        <v>72</v>
      </c>
      <c r="AY219" s="215" t="s">
        <v>380</v>
      </c>
    </row>
    <row r="220" spans="1:65" s="15" customFormat="1" ht="11.25">
      <c r="B220" s="216"/>
      <c r="C220" s="217"/>
      <c r="D220" s="196" t="s">
        <v>388</v>
      </c>
      <c r="E220" s="218" t="s">
        <v>19</v>
      </c>
      <c r="F220" s="219" t="s">
        <v>419</v>
      </c>
      <c r="G220" s="217"/>
      <c r="H220" s="220">
        <v>21.85</v>
      </c>
      <c r="I220" s="221"/>
      <c r="J220" s="217"/>
      <c r="K220" s="217"/>
      <c r="L220" s="222"/>
      <c r="M220" s="223"/>
      <c r="N220" s="224"/>
      <c r="O220" s="224"/>
      <c r="P220" s="224"/>
      <c r="Q220" s="224"/>
      <c r="R220" s="224"/>
      <c r="S220" s="224"/>
      <c r="T220" s="225"/>
      <c r="AT220" s="226" t="s">
        <v>388</v>
      </c>
      <c r="AU220" s="226" t="s">
        <v>82</v>
      </c>
      <c r="AV220" s="15" t="s">
        <v>386</v>
      </c>
      <c r="AW220" s="15" t="s">
        <v>33</v>
      </c>
      <c r="AX220" s="15" t="s">
        <v>79</v>
      </c>
      <c r="AY220" s="226" t="s">
        <v>380</v>
      </c>
    </row>
    <row r="221" spans="1:65" s="2" customFormat="1" ht="16.5" customHeight="1">
      <c r="A221" s="36"/>
      <c r="B221" s="37"/>
      <c r="C221" s="181" t="s">
        <v>721</v>
      </c>
      <c r="D221" s="181" t="s">
        <v>382</v>
      </c>
      <c r="E221" s="182" t="s">
        <v>2501</v>
      </c>
      <c r="F221" s="183" t="s">
        <v>2502</v>
      </c>
      <c r="G221" s="184" t="s">
        <v>641</v>
      </c>
      <c r="H221" s="185">
        <v>88</v>
      </c>
      <c r="I221" s="186"/>
      <c r="J221" s="187">
        <f>ROUND(I221*H221,2)</f>
        <v>0</v>
      </c>
      <c r="K221" s="183" t="s">
        <v>19</v>
      </c>
      <c r="L221" s="41"/>
      <c r="M221" s="188" t="s">
        <v>19</v>
      </c>
      <c r="N221" s="189"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281</v>
      </c>
      <c r="AT221" s="192" t="s">
        <v>382</v>
      </c>
      <c r="AU221" s="192" t="s">
        <v>82</v>
      </c>
      <c r="AY221" s="19" t="s">
        <v>380</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281</v>
      </c>
      <c r="BM221" s="192" t="s">
        <v>1039</v>
      </c>
    </row>
    <row r="222" spans="1:65" s="2" customFormat="1" ht="19.5">
      <c r="A222" s="36"/>
      <c r="B222" s="37"/>
      <c r="C222" s="38"/>
      <c r="D222" s="196" t="s">
        <v>1226</v>
      </c>
      <c r="E222" s="38"/>
      <c r="F222" s="248" t="s">
        <v>2503</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1226</v>
      </c>
      <c r="AU222" s="19" t="s">
        <v>82</v>
      </c>
    </row>
    <row r="223" spans="1:65" s="2" customFormat="1" ht="16.5" customHeight="1">
      <c r="A223" s="36"/>
      <c r="B223" s="37"/>
      <c r="C223" s="181" t="s">
        <v>733</v>
      </c>
      <c r="D223" s="181" t="s">
        <v>382</v>
      </c>
      <c r="E223" s="182" t="s">
        <v>2504</v>
      </c>
      <c r="F223" s="183" t="s">
        <v>2505</v>
      </c>
      <c r="G223" s="184" t="s">
        <v>452</v>
      </c>
      <c r="H223" s="185">
        <v>824</v>
      </c>
      <c r="I223" s="186"/>
      <c r="J223" s="187">
        <f>ROUND(I223*H223,2)</f>
        <v>0</v>
      </c>
      <c r="K223" s="183" t="s">
        <v>19</v>
      </c>
      <c r="L223" s="41"/>
      <c r="M223" s="188" t="s">
        <v>19</v>
      </c>
      <c r="N223" s="189"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281</v>
      </c>
      <c r="AT223" s="192" t="s">
        <v>382</v>
      </c>
      <c r="AU223" s="192" t="s">
        <v>82</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281</v>
      </c>
      <c r="BM223" s="192" t="s">
        <v>1049</v>
      </c>
    </row>
    <row r="224" spans="1:65" s="2" customFormat="1" ht="16.5" customHeight="1">
      <c r="A224" s="36"/>
      <c r="B224" s="37"/>
      <c r="C224" s="181" t="s">
        <v>744</v>
      </c>
      <c r="D224" s="181" t="s">
        <v>382</v>
      </c>
      <c r="E224" s="182" t="s">
        <v>2506</v>
      </c>
      <c r="F224" s="183" t="s">
        <v>2507</v>
      </c>
      <c r="G224" s="184" t="s">
        <v>452</v>
      </c>
      <c r="H224" s="185">
        <v>19</v>
      </c>
      <c r="I224" s="186"/>
      <c r="J224" s="187">
        <f>ROUND(I224*H224,2)</f>
        <v>0</v>
      </c>
      <c r="K224" s="183" t="s">
        <v>19</v>
      </c>
      <c r="L224" s="41"/>
      <c r="M224" s="188" t="s">
        <v>19</v>
      </c>
      <c r="N224" s="189" t="s">
        <v>43</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281</v>
      </c>
      <c r="AT224" s="192" t="s">
        <v>382</v>
      </c>
      <c r="AU224" s="192" t="s">
        <v>82</v>
      </c>
      <c r="AY224" s="19" t="s">
        <v>380</v>
      </c>
      <c r="BE224" s="193">
        <f>IF(N224="základní",J224,0)</f>
        <v>0</v>
      </c>
      <c r="BF224" s="193">
        <f>IF(N224="snížená",J224,0)</f>
        <v>0</v>
      </c>
      <c r="BG224" s="193">
        <f>IF(N224="zákl. přenesená",J224,0)</f>
        <v>0</v>
      </c>
      <c r="BH224" s="193">
        <f>IF(N224="sníž. přenesená",J224,0)</f>
        <v>0</v>
      </c>
      <c r="BI224" s="193">
        <f>IF(N224="nulová",J224,0)</f>
        <v>0</v>
      </c>
      <c r="BJ224" s="19" t="s">
        <v>79</v>
      </c>
      <c r="BK224" s="193">
        <f>ROUND(I224*H224,2)</f>
        <v>0</v>
      </c>
      <c r="BL224" s="19" t="s">
        <v>281</v>
      </c>
      <c r="BM224" s="192" t="s">
        <v>1059</v>
      </c>
    </row>
    <row r="225" spans="1:65" s="2" customFormat="1" ht="16.5" customHeight="1">
      <c r="A225" s="36"/>
      <c r="B225" s="37"/>
      <c r="C225" s="181" t="s">
        <v>753</v>
      </c>
      <c r="D225" s="181" t="s">
        <v>382</v>
      </c>
      <c r="E225" s="182" t="s">
        <v>2508</v>
      </c>
      <c r="F225" s="183" t="s">
        <v>2509</v>
      </c>
      <c r="G225" s="184" t="s">
        <v>437</v>
      </c>
      <c r="H225" s="185">
        <v>1.8520000000000001</v>
      </c>
      <c r="I225" s="186"/>
      <c r="J225" s="187">
        <f>ROUND(I225*H225,2)</f>
        <v>0</v>
      </c>
      <c r="K225" s="183" t="s">
        <v>19</v>
      </c>
      <c r="L225" s="41"/>
      <c r="M225" s="188" t="s">
        <v>19</v>
      </c>
      <c r="N225" s="189" t="s">
        <v>43</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281</v>
      </c>
      <c r="AT225" s="192" t="s">
        <v>382</v>
      </c>
      <c r="AU225" s="192" t="s">
        <v>82</v>
      </c>
      <c r="AY225" s="19" t="s">
        <v>380</v>
      </c>
      <c r="BE225" s="193">
        <f>IF(N225="základní",J225,0)</f>
        <v>0</v>
      </c>
      <c r="BF225" s="193">
        <f>IF(N225="snížená",J225,0)</f>
        <v>0</v>
      </c>
      <c r="BG225" s="193">
        <f>IF(N225="zákl. přenesená",J225,0)</f>
        <v>0</v>
      </c>
      <c r="BH225" s="193">
        <f>IF(N225="sníž. přenesená",J225,0)</f>
        <v>0</v>
      </c>
      <c r="BI225" s="193">
        <f>IF(N225="nulová",J225,0)</f>
        <v>0</v>
      </c>
      <c r="BJ225" s="19" t="s">
        <v>79</v>
      </c>
      <c r="BK225" s="193">
        <f>ROUND(I225*H225,2)</f>
        <v>0</v>
      </c>
      <c r="BL225" s="19" t="s">
        <v>281</v>
      </c>
      <c r="BM225" s="192" t="s">
        <v>1068</v>
      </c>
    </row>
    <row r="226" spans="1:65" s="2" customFormat="1" ht="16.5" customHeight="1">
      <c r="A226" s="36"/>
      <c r="B226" s="37"/>
      <c r="C226" s="181" t="s">
        <v>760</v>
      </c>
      <c r="D226" s="181" t="s">
        <v>382</v>
      </c>
      <c r="E226" s="182" t="s">
        <v>2510</v>
      </c>
      <c r="F226" s="183" t="s">
        <v>2511</v>
      </c>
      <c r="G226" s="184" t="s">
        <v>437</v>
      </c>
      <c r="H226" s="185">
        <v>1.8520000000000001</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281</v>
      </c>
      <c r="AT226" s="192" t="s">
        <v>382</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281</v>
      </c>
      <c r="BM226" s="192" t="s">
        <v>1079</v>
      </c>
    </row>
    <row r="227" spans="1:65" s="12" customFormat="1" ht="22.9" customHeight="1">
      <c r="B227" s="165"/>
      <c r="C227" s="166"/>
      <c r="D227" s="167" t="s">
        <v>71</v>
      </c>
      <c r="E227" s="179" t="s">
        <v>2512</v>
      </c>
      <c r="F227" s="179" t="s">
        <v>2513</v>
      </c>
      <c r="G227" s="166"/>
      <c r="H227" s="166"/>
      <c r="I227" s="169"/>
      <c r="J227" s="180">
        <f>BK227</f>
        <v>0</v>
      </c>
      <c r="K227" s="166"/>
      <c r="L227" s="171"/>
      <c r="M227" s="172"/>
      <c r="N227" s="173"/>
      <c r="O227" s="173"/>
      <c r="P227" s="174">
        <f>SUM(P228:P279)</f>
        <v>0</v>
      </c>
      <c r="Q227" s="173"/>
      <c r="R227" s="174">
        <f>SUM(R228:R279)</f>
        <v>0</v>
      </c>
      <c r="S227" s="173"/>
      <c r="T227" s="175">
        <f>SUM(T228:T279)</f>
        <v>0</v>
      </c>
      <c r="AR227" s="176" t="s">
        <v>82</v>
      </c>
      <c r="AT227" s="177" t="s">
        <v>71</v>
      </c>
      <c r="AU227" s="177" t="s">
        <v>79</v>
      </c>
      <c r="AY227" s="176" t="s">
        <v>380</v>
      </c>
      <c r="BK227" s="178">
        <f>SUM(BK228:BK279)</f>
        <v>0</v>
      </c>
    </row>
    <row r="228" spans="1:65" s="2" customFormat="1" ht="16.5" customHeight="1">
      <c r="A228" s="36"/>
      <c r="B228" s="37"/>
      <c r="C228" s="181" t="s">
        <v>767</v>
      </c>
      <c r="D228" s="181" t="s">
        <v>382</v>
      </c>
      <c r="E228" s="182" t="s">
        <v>2514</v>
      </c>
      <c r="F228" s="183" t="s">
        <v>2515</v>
      </c>
      <c r="G228" s="184" t="s">
        <v>2393</v>
      </c>
      <c r="H228" s="185">
        <v>34</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281</v>
      </c>
      <c r="AT228" s="192" t="s">
        <v>382</v>
      </c>
      <c r="AU228" s="192" t="s">
        <v>82</v>
      </c>
      <c r="AY228" s="19" t="s">
        <v>380</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281</v>
      </c>
      <c r="BM228" s="192" t="s">
        <v>1095</v>
      </c>
    </row>
    <row r="229" spans="1:65" s="2" customFormat="1" ht="16.5" customHeight="1">
      <c r="A229" s="36"/>
      <c r="B229" s="37"/>
      <c r="C229" s="181" t="s">
        <v>771</v>
      </c>
      <c r="D229" s="181" t="s">
        <v>382</v>
      </c>
      <c r="E229" s="182" t="s">
        <v>2516</v>
      </c>
      <c r="F229" s="183" t="s">
        <v>2517</v>
      </c>
      <c r="G229" s="184" t="s">
        <v>641</v>
      </c>
      <c r="H229" s="185">
        <v>34</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281</v>
      </c>
      <c r="AT229" s="192" t="s">
        <v>382</v>
      </c>
      <c r="AU229" s="192" t="s">
        <v>82</v>
      </c>
      <c r="AY229" s="19" t="s">
        <v>380</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281</v>
      </c>
      <c r="BM229" s="192" t="s">
        <v>1112</v>
      </c>
    </row>
    <row r="230" spans="1:65" s="2" customFormat="1" ht="19.5">
      <c r="A230" s="36"/>
      <c r="B230" s="37"/>
      <c r="C230" s="38"/>
      <c r="D230" s="196" t="s">
        <v>1226</v>
      </c>
      <c r="E230" s="38"/>
      <c r="F230" s="248" t="s">
        <v>2518</v>
      </c>
      <c r="G230" s="38"/>
      <c r="H230" s="38"/>
      <c r="I230" s="249"/>
      <c r="J230" s="38"/>
      <c r="K230" s="38"/>
      <c r="L230" s="41"/>
      <c r="M230" s="250"/>
      <c r="N230" s="251"/>
      <c r="O230" s="66"/>
      <c r="P230" s="66"/>
      <c r="Q230" s="66"/>
      <c r="R230" s="66"/>
      <c r="S230" s="66"/>
      <c r="T230" s="67"/>
      <c r="U230" s="36"/>
      <c r="V230" s="36"/>
      <c r="W230" s="36"/>
      <c r="X230" s="36"/>
      <c r="Y230" s="36"/>
      <c r="Z230" s="36"/>
      <c r="AA230" s="36"/>
      <c r="AB230" s="36"/>
      <c r="AC230" s="36"/>
      <c r="AD230" s="36"/>
      <c r="AE230" s="36"/>
      <c r="AT230" s="19" t="s">
        <v>1226</v>
      </c>
      <c r="AU230" s="19" t="s">
        <v>82</v>
      </c>
    </row>
    <row r="231" spans="1:65" s="2" customFormat="1" ht="16.5" customHeight="1">
      <c r="A231" s="36"/>
      <c r="B231" s="37"/>
      <c r="C231" s="181" t="s">
        <v>776</v>
      </c>
      <c r="D231" s="181" t="s">
        <v>382</v>
      </c>
      <c r="E231" s="182" t="s">
        <v>2519</v>
      </c>
      <c r="F231" s="183" t="s">
        <v>2520</v>
      </c>
      <c r="G231" s="184" t="s">
        <v>641</v>
      </c>
      <c r="H231" s="185">
        <v>2</v>
      </c>
      <c r="I231" s="186"/>
      <c r="J231" s="187">
        <f>ROUND(I231*H231,2)</f>
        <v>0</v>
      </c>
      <c r="K231" s="183" t="s">
        <v>19</v>
      </c>
      <c r="L231" s="41"/>
      <c r="M231" s="188" t="s">
        <v>19</v>
      </c>
      <c r="N231" s="189" t="s">
        <v>43</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281</v>
      </c>
      <c r="AT231" s="192" t="s">
        <v>382</v>
      </c>
      <c r="AU231" s="192" t="s">
        <v>82</v>
      </c>
      <c r="AY231" s="19" t="s">
        <v>380</v>
      </c>
      <c r="BE231" s="193">
        <f>IF(N231="základní",J231,0)</f>
        <v>0</v>
      </c>
      <c r="BF231" s="193">
        <f>IF(N231="snížená",J231,0)</f>
        <v>0</v>
      </c>
      <c r="BG231" s="193">
        <f>IF(N231="zákl. přenesená",J231,0)</f>
        <v>0</v>
      </c>
      <c r="BH231" s="193">
        <f>IF(N231="sníž. přenesená",J231,0)</f>
        <v>0</v>
      </c>
      <c r="BI231" s="193">
        <f>IF(N231="nulová",J231,0)</f>
        <v>0</v>
      </c>
      <c r="BJ231" s="19" t="s">
        <v>79</v>
      </c>
      <c r="BK231" s="193">
        <f>ROUND(I231*H231,2)</f>
        <v>0</v>
      </c>
      <c r="BL231" s="19" t="s">
        <v>281</v>
      </c>
      <c r="BM231" s="192" t="s">
        <v>1122</v>
      </c>
    </row>
    <row r="232" spans="1:65" s="2" customFormat="1" ht="16.5" customHeight="1">
      <c r="A232" s="36"/>
      <c r="B232" s="37"/>
      <c r="C232" s="227" t="s">
        <v>782</v>
      </c>
      <c r="D232" s="227" t="s">
        <v>465</v>
      </c>
      <c r="E232" s="228" t="s">
        <v>2521</v>
      </c>
      <c r="F232" s="229" t="s">
        <v>2522</v>
      </c>
      <c r="G232" s="230" t="s">
        <v>2393</v>
      </c>
      <c r="H232" s="231">
        <v>2</v>
      </c>
      <c r="I232" s="232"/>
      <c r="J232" s="233">
        <f>ROUND(I232*H232,2)</f>
        <v>0</v>
      </c>
      <c r="K232" s="229" t="s">
        <v>19</v>
      </c>
      <c r="L232" s="234"/>
      <c r="M232" s="235" t="s">
        <v>19</v>
      </c>
      <c r="N232" s="236"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546</v>
      </c>
      <c r="AT232" s="192" t="s">
        <v>465</v>
      </c>
      <c r="AU232" s="192" t="s">
        <v>82</v>
      </c>
      <c r="AY232" s="19" t="s">
        <v>380</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281</v>
      </c>
      <c r="BM232" s="192" t="s">
        <v>1131</v>
      </c>
    </row>
    <row r="233" spans="1:65" s="2" customFormat="1" ht="19.5">
      <c r="A233" s="36"/>
      <c r="B233" s="37"/>
      <c r="C233" s="38"/>
      <c r="D233" s="196" t="s">
        <v>1226</v>
      </c>
      <c r="E233" s="38"/>
      <c r="F233" s="248" t="s">
        <v>2523</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1226</v>
      </c>
      <c r="AU233" s="19" t="s">
        <v>82</v>
      </c>
    </row>
    <row r="234" spans="1:65" s="2" customFormat="1" ht="16.5" customHeight="1">
      <c r="A234" s="36"/>
      <c r="B234" s="37"/>
      <c r="C234" s="181" t="s">
        <v>787</v>
      </c>
      <c r="D234" s="181" t="s">
        <v>382</v>
      </c>
      <c r="E234" s="182" t="s">
        <v>2524</v>
      </c>
      <c r="F234" s="183" t="s">
        <v>2525</v>
      </c>
      <c r="G234" s="184" t="s">
        <v>641</v>
      </c>
      <c r="H234" s="185">
        <v>8</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281</v>
      </c>
      <c r="AT234" s="192" t="s">
        <v>382</v>
      </c>
      <c r="AU234" s="192" t="s">
        <v>82</v>
      </c>
      <c r="AY234" s="19" t="s">
        <v>380</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281</v>
      </c>
      <c r="BM234" s="192" t="s">
        <v>1140</v>
      </c>
    </row>
    <row r="235" spans="1:65" s="2" customFormat="1" ht="16.5" customHeight="1">
      <c r="A235" s="36"/>
      <c r="B235" s="37"/>
      <c r="C235" s="227" t="s">
        <v>791</v>
      </c>
      <c r="D235" s="227" t="s">
        <v>465</v>
      </c>
      <c r="E235" s="228" t="s">
        <v>2526</v>
      </c>
      <c r="F235" s="229" t="s">
        <v>2527</v>
      </c>
      <c r="G235" s="230" t="s">
        <v>2393</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546</v>
      </c>
      <c r="AT235" s="192" t="s">
        <v>465</v>
      </c>
      <c r="AU235" s="192" t="s">
        <v>82</v>
      </c>
      <c r="AY235" s="19" t="s">
        <v>380</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281</v>
      </c>
      <c r="BM235" s="192" t="s">
        <v>1156</v>
      </c>
    </row>
    <row r="236" spans="1:65" s="2" customFormat="1" ht="29.25">
      <c r="A236" s="36"/>
      <c r="B236" s="37"/>
      <c r="C236" s="38"/>
      <c r="D236" s="196" t="s">
        <v>1226</v>
      </c>
      <c r="E236" s="38"/>
      <c r="F236" s="248" t="s">
        <v>2528</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1226</v>
      </c>
      <c r="AU236" s="19" t="s">
        <v>82</v>
      </c>
    </row>
    <row r="237" spans="1:65" s="2" customFormat="1" ht="16.5" customHeight="1">
      <c r="A237" s="36"/>
      <c r="B237" s="37"/>
      <c r="C237" s="227" t="s">
        <v>795</v>
      </c>
      <c r="D237" s="227" t="s">
        <v>465</v>
      </c>
      <c r="E237" s="228" t="s">
        <v>2529</v>
      </c>
      <c r="F237" s="229" t="s">
        <v>2530</v>
      </c>
      <c r="G237" s="230" t="s">
        <v>2393</v>
      </c>
      <c r="H237" s="231">
        <v>1</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546</v>
      </c>
      <c r="AT237" s="192" t="s">
        <v>465</v>
      </c>
      <c r="AU237" s="192" t="s">
        <v>82</v>
      </c>
      <c r="AY237" s="19" t="s">
        <v>380</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281</v>
      </c>
      <c r="BM237" s="192" t="s">
        <v>1165</v>
      </c>
    </row>
    <row r="238" spans="1:65" s="2" customFormat="1" ht="16.5" customHeight="1">
      <c r="A238" s="36"/>
      <c r="B238" s="37"/>
      <c r="C238" s="227" t="s">
        <v>799</v>
      </c>
      <c r="D238" s="227" t="s">
        <v>465</v>
      </c>
      <c r="E238" s="228" t="s">
        <v>2531</v>
      </c>
      <c r="F238" s="229" t="s">
        <v>2532</v>
      </c>
      <c r="G238" s="230" t="s">
        <v>2393</v>
      </c>
      <c r="H238" s="231">
        <v>1</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546</v>
      </c>
      <c r="AT238" s="192" t="s">
        <v>465</v>
      </c>
      <c r="AU238" s="192" t="s">
        <v>82</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1183</v>
      </c>
    </row>
    <row r="239" spans="1:65" s="2" customFormat="1" ht="19.5">
      <c r="A239" s="36"/>
      <c r="B239" s="37"/>
      <c r="C239" s="38"/>
      <c r="D239" s="196" t="s">
        <v>1226</v>
      </c>
      <c r="E239" s="38"/>
      <c r="F239" s="248" t="s">
        <v>2533</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1226</v>
      </c>
      <c r="AU239" s="19" t="s">
        <v>82</v>
      </c>
    </row>
    <row r="240" spans="1:65" s="2" customFormat="1" ht="16.5" customHeight="1">
      <c r="A240" s="36"/>
      <c r="B240" s="37"/>
      <c r="C240" s="227" t="s">
        <v>804</v>
      </c>
      <c r="D240" s="227" t="s">
        <v>465</v>
      </c>
      <c r="E240" s="228" t="s">
        <v>2534</v>
      </c>
      <c r="F240" s="229" t="s">
        <v>2535</v>
      </c>
      <c r="G240" s="230" t="s">
        <v>2393</v>
      </c>
      <c r="H240" s="231">
        <v>2</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546</v>
      </c>
      <c r="AT240" s="192" t="s">
        <v>465</v>
      </c>
      <c r="AU240" s="192" t="s">
        <v>82</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281</v>
      </c>
      <c r="BM240" s="192" t="s">
        <v>1193</v>
      </c>
    </row>
    <row r="241" spans="1:65" s="2" customFormat="1" ht="16.5" customHeight="1">
      <c r="A241" s="36"/>
      <c r="B241" s="37"/>
      <c r="C241" s="227" t="s">
        <v>815</v>
      </c>
      <c r="D241" s="227" t="s">
        <v>465</v>
      </c>
      <c r="E241" s="228" t="s">
        <v>2536</v>
      </c>
      <c r="F241" s="229" t="s">
        <v>2537</v>
      </c>
      <c r="G241" s="230" t="s">
        <v>2393</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546</v>
      </c>
      <c r="AT241" s="192" t="s">
        <v>465</v>
      </c>
      <c r="AU241" s="192" t="s">
        <v>82</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1209</v>
      </c>
    </row>
    <row r="242" spans="1:65" s="2" customFormat="1" ht="29.25">
      <c r="A242" s="36"/>
      <c r="B242" s="37"/>
      <c r="C242" s="38"/>
      <c r="D242" s="196" t="s">
        <v>1226</v>
      </c>
      <c r="E242" s="38"/>
      <c r="F242" s="248" t="s">
        <v>2538</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1226</v>
      </c>
      <c r="AU242" s="19" t="s">
        <v>82</v>
      </c>
    </row>
    <row r="243" spans="1:65" s="2" customFormat="1" ht="16.5" customHeight="1">
      <c r="A243" s="36"/>
      <c r="B243" s="37"/>
      <c r="C243" s="227" t="s">
        <v>831</v>
      </c>
      <c r="D243" s="227" t="s">
        <v>465</v>
      </c>
      <c r="E243" s="228" t="s">
        <v>2539</v>
      </c>
      <c r="F243" s="229" t="s">
        <v>2537</v>
      </c>
      <c r="G243" s="230" t="s">
        <v>2393</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546</v>
      </c>
      <c r="AT243" s="192" t="s">
        <v>465</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1222</v>
      </c>
    </row>
    <row r="244" spans="1:65" s="2" customFormat="1" ht="39">
      <c r="A244" s="36"/>
      <c r="B244" s="37"/>
      <c r="C244" s="38"/>
      <c r="D244" s="196" t="s">
        <v>1226</v>
      </c>
      <c r="E244" s="38"/>
      <c r="F244" s="248" t="s">
        <v>2540</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1226</v>
      </c>
      <c r="AU244" s="19" t="s">
        <v>82</v>
      </c>
    </row>
    <row r="245" spans="1:65" s="13" customFormat="1" ht="11.25">
      <c r="B245" s="194"/>
      <c r="C245" s="195"/>
      <c r="D245" s="196" t="s">
        <v>388</v>
      </c>
      <c r="E245" s="197" t="s">
        <v>19</v>
      </c>
      <c r="F245" s="198" t="s">
        <v>2541</v>
      </c>
      <c r="G245" s="195"/>
      <c r="H245" s="197" t="s">
        <v>19</v>
      </c>
      <c r="I245" s="199"/>
      <c r="J245" s="195"/>
      <c r="K245" s="195"/>
      <c r="L245" s="200"/>
      <c r="M245" s="201"/>
      <c r="N245" s="202"/>
      <c r="O245" s="202"/>
      <c r="P245" s="202"/>
      <c r="Q245" s="202"/>
      <c r="R245" s="202"/>
      <c r="S245" s="202"/>
      <c r="T245" s="203"/>
      <c r="AT245" s="204" t="s">
        <v>388</v>
      </c>
      <c r="AU245" s="204" t="s">
        <v>82</v>
      </c>
      <c r="AV245" s="13" t="s">
        <v>79</v>
      </c>
      <c r="AW245" s="13" t="s">
        <v>33</v>
      </c>
      <c r="AX245" s="13" t="s">
        <v>72</v>
      </c>
      <c r="AY245" s="204" t="s">
        <v>380</v>
      </c>
    </row>
    <row r="246" spans="1:65" s="14" customFormat="1" ht="11.25">
      <c r="B246" s="205"/>
      <c r="C246" s="206"/>
      <c r="D246" s="196" t="s">
        <v>388</v>
      </c>
      <c r="E246" s="207" t="s">
        <v>19</v>
      </c>
      <c r="F246" s="208" t="s">
        <v>2542</v>
      </c>
      <c r="G246" s="206"/>
      <c r="H246" s="209">
        <v>1</v>
      </c>
      <c r="I246" s="210"/>
      <c r="J246" s="206"/>
      <c r="K246" s="206"/>
      <c r="L246" s="211"/>
      <c r="M246" s="212"/>
      <c r="N246" s="213"/>
      <c r="O246" s="213"/>
      <c r="P246" s="213"/>
      <c r="Q246" s="213"/>
      <c r="R246" s="213"/>
      <c r="S246" s="213"/>
      <c r="T246" s="214"/>
      <c r="AT246" s="215" t="s">
        <v>388</v>
      </c>
      <c r="AU246" s="215" t="s">
        <v>82</v>
      </c>
      <c r="AV246" s="14" t="s">
        <v>82</v>
      </c>
      <c r="AW246" s="14" t="s">
        <v>33</v>
      </c>
      <c r="AX246" s="14" t="s">
        <v>72</v>
      </c>
      <c r="AY246" s="215" t="s">
        <v>380</v>
      </c>
    </row>
    <row r="247" spans="1:65" s="13" customFormat="1" ht="11.25">
      <c r="B247" s="194"/>
      <c r="C247" s="195"/>
      <c r="D247" s="196" t="s">
        <v>388</v>
      </c>
      <c r="E247" s="197" t="s">
        <v>19</v>
      </c>
      <c r="F247" s="198" t="s">
        <v>2543</v>
      </c>
      <c r="G247" s="195"/>
      <c r="H247" s="197" t="s">
        <v>19</v>
      </c>
      <c r="I247" s="199"/>
      <c r="J247" s="195"/>
      <c r="K247" s="195"/>
      <c r="L247" s="200"/>
      <c r="M247" s="201"/>
      <c r="N247" s="202"/>
      <c r="O247" s="202"/>
      <c r="P247" s="202"/>
      <c r="Q247" s="202"/>
      <c r="R247" s="202"/>
      <c r="S247" s="202"/>
      <c r="T247" s="203"/>
      <c r="AT247" s="204" t="s">
        <v>388</v>
      </c>
      <c r="AU247" s="204" t="s">
        <v>82</v>
      </c>
      <c r="AV247" s="13" t="s">
        <v>79</v>
      </c>
      <c r="AW247" s="13" t="s">
        <v>33</v>
      </c>
      <c r="AX247" s="13" t="s">
        <v>72</v>
      </c>
      <c r="AY247" s="204" t="s">
        <v>380</v>
      </c>
    </row>
    <row r="248" spans="1:65" s="14" customFormat="1" ht="11.25">
      <c r="B248" s="205"/>
      <c r="C248" s="206"/>
      <c r="D248" s="196" t="s">
        <v>388</v>
      </c>
      <c r="E248" s="207" t="s">
        <v>19</v>
      </c>
      <c r="F248" s="208" t="s">
        <v>2542</v>
      </c>
      <c r="G248" s="206"/>
      <c r="H248" s="209">
        <v>1</v>
      </c>
      <c r="I248" s="210"/>
      <c r="J248" s="206"/>
      <c r="K248" s="206"/>
      <c r="L248" s="211"/>
      <c r="M248" s="212"/>
      <c r="N248" s="213"/>
      <c r="O248" s="213"/>
      <c r="P248" s="213"/>
      <c r="Q248" s="213"/>
      <c r="R248" s="213"/>
      <c r="S248" s="213"/>
      <c r="T248" s="214"/>
      <c r="AT248" s="215" t="s">
        <v>388</v>
      </c>
      <c r="AU248" s="215" t="s">
        <v>82</v>
      </c>
      <c r="AV248" s="14" t="s">
        <v>82</v>
      </c>
      <c r="AW248" s="14" t="s">
        <v>33</v>
      </c>
      <c r="AX248" s="14" t="s">
        <v>72</v>
      </c>
      <c r="AY248" s="215" t="s">
        <v>380</v>
      </c>
    </row>
    <row r="249" spans="1:65" s="15" customFormat="1" ht="11.25">
      <c r="B249" s="216"/>
      <c r="C249" s="217"/>
      <c r="D249" s="196" t="s">
        <v>388</v>
      </c>
      <c r="E249" s="218" t="s">
        <v>19</v>
      </c>
      <c r="F249" s="219" t="s">
        <v>2544</v>
      </c>
      <c r="G249" s="217"/>
      <c r="H249" s="220">
        <v>2</v>
      </c>
      <c r="I249" s="221"/>
      <c r="J249" s="217"/>
      <c r="K249" s="217"/>
      <c r="L249" s="222"/>
      <c r="M249" s="223"/>
      <c r="N249" s="224"/>
      <c r="O249" s="224"/>
      <c r="P249" s="224"/>
      <c r="Q249" s="224"/>
      <c r="R249" s="224"/>
      <c r="S249" s="224"/>
      <c r="T249" s="225"/>
      <c r="AT249" s="226" t="s">
        <v>388</v>
      </c>
      <c r="AU249" s="226" t="s">
        <v>82</v>
      </c>
      <c r="AV249" s="15" t="s">
        <v>386</v>
      </c>
      <c r="AW249" s="15" t="s">
        <v>33</v>
      </c>
      <c r="AX249" s="15" t="s">
        <v>79</v>
      </c>
      <c r="AY249" s="226" t="s">
        <v>380</v>
      </c>
    </row>
    <row r="250" spans="1:65" s="2" customFormat="1" ht="16.5" customHeight="1">
      <c r="A250" s="36"/>
      <c r="B250" s="37"/>
      <c r="C250" s="181" t="s">
        <v>835</v>
      </c>
      <c r="D250" s="181" t="s">
        <v>382</v>
      </c>
      <c r="E250" s="182" t="s">
        <v>2545</v>
      </c>
      <c r="F250" s="183" t="s">
        <v>2546</v>
      </c>
      <c r="G250" s="184" t="s">
        <v>641</v>
      </c>
      <c r="H250" s="185">
        <v>1</v>
      </c>
      <c r="I250" s="186"/>
      <c r="J250" s="187">
        <f>ROUND(I250*H250,2)</f>
        <v>0</v>
      </c>
      <c r="K250" s="183" t="s">
        <v>19</v>
      </c>
      <c r="L250" s="41"/>
      <c r="M250" s="188" t="s">
        <v>19</v>
      </c>
      <c r="N250" s="189"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281</v>
      </c>
      <c r="AT250" s="192" t="s">
        <v>382</v>
      </c>
      <c r="AU250" s="192" t="s">
        <v>82</v>
      </c>
      <c r="AY250" s="19" t="s">
        <v>380</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281</v>
      </c>
      <c r="BM250" s="192" t="s">
        <v>1239</v>
      </c>
    </row>
    <row r="251" spans="1:65" s="2" customFormat="1" ht="16.5" customHeight="1">
      <c r="A251" s="36"/>
      <c r="B251" s="37"/>
      <c r="C251" s="227" t="s">
        <v>841</v>
      </c>
      <c r="D251" s="227" t="s">
        <v>465</v>
      </c>
      <c r="E251" s="228" t="s">
        <v>2547</v>
      </c>
      <c r="F251" s="229" t="s">
        <v>2548</v>
      </c>
      <c r="G251" s="230" t="s">
        <v>2393</v>
      </c>
      <c r="H251" s="231">
        <v>1</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546</v>
      </c>
      <c r="AT251" s="192" t="s">
        <v>465</v>
      </c>
      <c r="AU251" s="192" t="s">
        <v>82</v>
      </c>
      <c r="AY251" s="19" t="s">
        <v>380</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281</v>
      </c>
      <c r="BM251" s="192" t="s">
        <v>1251</v>
      </c>
    </row>
    <row r="252" spans="1:65" s="2" customFormat="1" ht="19.5">
      <c r="A252" s="36"/>
      <c r="B252" s="37"/>
      <c r="C252" s="38"/>
      <c r="D252" s="196" t="s">
        <v>1226</v>
      </c>
      <c r="E252" s="38"/>
      <c r="F252" s="248" t="s">
        <v>2549</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1226</v>
      </c>
      <c r="AU252" s="19" t="s">
        <v>82</v>
      </c>
    </row>
    <row r="253" spans="1:65" s="2" customFormat="1" ht="16.5" customHeight="1">
      <c r="A253" s="36"/>
      <c r="B253" s="37"/>
      <c r="C253" s="181" t="s">
        <v>845</v>
      </c>
      <c r="D253" s="181" t="s">
        <v>382</v>
      </c>
      <c r="E253" s="182" t="s">
        <v>2550</v>
      </c>
      <c r="F253" s="183" t="s">
        <v>2551</v>
      </c>
      <c r="G253" s="184" t="s">
        <v>641</v>
      </c>
      <c r="H253" s="185">
        <v>2</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281</v>
      </c>
      <c r="AT253" s="192" t="s">
        <v>382</v>
      </c>
      <c r="AU253" s="192" t="s">
        <v>82</v>
      </c>
      <c r="AY253" s="19" t="s">
        <v>380</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281</v>
      </c>
      <c r="BM253" s="192" t="s">
        <v>1261</v>
      </c>
    </row>
    <row r="254" spans="1:65" s="2" customFormat="1" ht="16.5" customHeight="1">
      <c r="A254" s="36"/>
      <c r="B254" s="37"/>
      <c r="C254" s="227" t="s">
        <v>851</v>
      </c>
      <c r="D254" s="227" t="s">
        <v>465</v>
      </c>
      <c r="E254" s="228" t="s">
        <v>2552</v>
      </c>
      <c r="F254" s="229" t="s">
        <v>2553</v>
      </c>
      <c r="G254" s="230" t="s">
        <v>2393</v>
      </c>
      <c r="H254" s="231">
        <v>2</v>
      </c>
      <c r="I254" s="232"/>
      <c r="J254" s="233">
        <f>ROUND(I254*H254,2)</f>
        <v>0</v>
      </c>
      <c r="K254" s="229" t="s">
        <v>19</v>
      </c>
      <c r="L254" s="234"/>
      <c r="M254" s="235" t="s">
        <v>19</v>
      </c>
      <c r="N254" s="236" t="s">
        <v>43</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546</v>
      </c>
      <c r="AT254" s="192" t="s">
        <v>465</v>
      </c>
      <c r="AU254" s="192" t="s">
        <v>82</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281</v>
      </c>
      <c r="BM254" s="192" t="s">
        <v>1271</v>
      </c>
    </row>
    <row r="255" spans="1:65" s="2" customFormat="1" ht="29.25">
      <c r="A255" s="36"/>
      <c r="B255" s="37"/>
      <c r="C255" s="38"/>
      <c r="D255" s="196" t="s">
        <v>1226</v>
      </c>
      <c r="E255" s="38"/>
      <c r="F255" s="248" t="s">
        <v>2554</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1226</v>
      </c>
      <c r="AU255" s="19" t="s">
        <v>82</v>
      </c>
    </row>
    <row r="256" spans="1:65" s="13" customFormat="1" ht="11.25">
      <c r="B256" s="194"/>
      <c r="C256" s="195"/>
      <c r="D256" s="196" t="s">
        <v>388</v>
      </c>
      <c r="E256" s="197" t="s">
        <v>19</v>
      </c>
      <c r="F256" s="198" t="s">
        <v>2555</v>
      </c>
      <c r="G256" s="195"/>
      <c r="H256" s="197" t="s">
        <v>19</v>
      </c>
      <c r="I256" s="199"/>
      <c r="J256" s="195"/>
      <c r="K256" s="195"/>
      <c r="L256" s="200"/>
      <c r="M256" s="201"/>
      <c r="N256" s="202"/>
      <c r="O256" s="202"/>
      <c r="P256" s="202"/>
      <c r="Q256" s="202"/>
      <c r="R256" s="202"/>
      <c r="S256" s="202"/>
      <c r="T256" s="203"/>
      <c r="AT256" s="204" t="s">
        <v>388</v>
      </c>
      <c r="AU256" s="204" t="s">
        <v>82</v>
      </c>
      <c r="AV256" s="13" t="s">
        <v>79</v>
      </c>
      <c r="AW256" s="13" t="s">
        <v>33</v>
      </c>
      <c r="AX256" s="13" t="s">
        <v>72</v>
      </c>
      <c r="AY256" s="204" t="s">
        <v>380</v>
      </c>
    </row>
    <row r="257" spans="1:65" s="14" customFormat="1" ht="11.25">
      <c r="B257" s="205"/>
      <c r="C257" s="206"/>
      <c r="D257" s="196" t="s">
        <v>388</v>
      </c>
      <c r="E257" s="207" t="s">
        <v>19</v>
      </c>
      <c r="F257" s="208" t="s">
        <v>2542</v>
      </c>
      <c r="G257" s="206"/>
      <c r="H257" s="209">
        <v>1</v>
      </c>
      <c r="I257" s="210"/>
      <c r="J257" s="206"/>
      <c r="K257" s="206"/>
      <c r="L257" s="211"/>
      <c r="M257" s="212"/>
      <c r="N257" s="213"/>
      <c r="O257" s="213"/>
      <c r="P257" s="213"/>
      <c r="Q257" s="213"/>
      <c r="R257" s="213"/>
      <c r="S257" s="213"/>
      <c r="T257" s="214"/>
      <c r="AT257" s="215" t="s">
        <v>388</v>
      </c>
      <c r="AU257" s="215" t="s">
        <v>82</v>
      </c>
      <c r="AV257" s="14" t="s">
        <v>82</v>
      </c>
      <c r="AW257" s="14" t="s">
        <v>33</v>
      </c>
      <c r="AX257" s="14" t="s">
        <v>72</v>
      </c>
      <c r="AY257" s="215" t="s">
        <v>380</v>
      </c>
    </row>
    <row r="258" spans="1:65" s="13" customFormat="1" ht="11.25">
      <c r="B258" s="194"/>
      <c r="C258" s="195"/>
      <c r="D258" s="196" t="s">
        <v>388</v>
      </c>
      <c r="E258" s="197" t="s">
        <v>19</v>
      </c>
      <c r="F258" s="198" t="s">
        <v>2556</v>
      </c>
      <c r="G258" s="195"/>
      <c r="H258" s="197" t="s">
        <v>19</v>
      </c>
      <c r="I258" s="199"/>
      <c r="J258" s="195"/>
      <c r="K258" s="195"/>
      <c r="L258" s="200"/>
      <c r="M258" s="201"/>
      <c r="N258" s="202"/>
      <c r="O258" s="202"/>
      <c r="P258" s="202"/>
      <c r="Q258" s="202"/>
      <c r="R258" s="202"/>
      <c r="S258" s="202"/>
      <c r="T258" s="203"/>
      <c r="AT258" s="204" t="s">
        <v>388</v>
      </c>
      <c r="AU258" s="204" t="s">
        <v>82</v>
      </c>
      <c r="AV258" s="13" t="s">
        <v>79</v>
      </c>
      <c r="AW258" s="13" t="s">
        <v>33</v>
      </c>
      <c r="AX258" s="13" t="s">
        <v>72</v>
      </c>
      <c r="AY258" s="204" t="s">
        <v>380</v>
      </c>
    </row>
    <row r="259" spans="1:65" s="14" customFormat="1" ht="11.25">
      <c r="B259" s="205"/>
      <c r="C259" s="206"/>
      <c r="D259" s="196" t="s">
        <v>388</v>
      </c>
      <c r="E259" s="207" t="s">
        <v>19</v>
      </c>
      <c r="F259" s="208" t="s">
        <v>2542</v>
      </c>
      <c r="G259" s="206"/>
      <c r="H259" s="209">
        <v>1</v>
      </c>
      <c r="I259" s="210"/>
      <c r="J259" s="206"/>
      <c r="K259" s="206"/>
      <c r="L259" s="211"/>
      <c r="M259" s="212"/>
      <c r="N259" s="213"/>
      <c r="O259" s="213"/>
      <c r="P259" s="213"/>
      <c r="Q259" s="213"/>
      <c r="R259" s="213"/>
      <c r="S259" s="213"/>
      <c r="T259" s="214"/>
      <c r="AT259" s="215" t="s">
        <v>388</v>
      </c>
      <c r="AU259" s="215" t="s">
        <v>82</v>
      </c>
      <c r="AV259" s="14" t="s">
        <v>82</v>
      </c>
      <c r="AW259" s="14" t="s">
        <v>33</v>
      </c>
      <c r="AX259" s="14" t="s">
        <v>72</v>
      </c>
      <c r="AY259" s="215" t="s">
        <v>380</v>
      </c>
    </row>
    <row r="260" spans="1:65" s="15" customFormat="1" ht="11.25">
      <c r="B260" s="216"/>
      <c r="C260" s="217"/>
      <c r="D260" s="196" t="s">
        <v>388</v>
      </c>
      <c r="E260" s="218" t="s">
        <v>19</v>
      </c>
      <c r="F260" s="219" t="s">
        <v>2544</v>
      </c>
      <c r="G260" s="217"/>
      <c r="H260" s="220">
        <v>2</v>
      </c>
      <c r="I260" s="221"/>
      <c r="J260" s="217"/>
      <c r="K260" s="217"/>
      <c r="L260" s="222"/>
      <c r="M260" s="223"/>
      <c r="N260" s="224"/>
      <c r="O260" s="224"/>
      <c r="P260" s="224"/>
      <c r="Q260" s="224"/>
      <c r="R260" s="224"/>
      <c r="S260" s="224"/>
      <c r="T260" s="225"/>
      <c r="AT260" s="226" t="s">
        <v>388</v>
      </c>
      <c r="AU260" s="226" t="s">
        <v>82</v>
      </c>
      <c r="AV260" s="15" t="s">
        <v>386</v>
      </c>
      <c r="AW260" s="15" t="s">
        <v>33</v>
      </c>
      <c r="AX260" s="15" t="s">
        <v>79</v>
      </c>
      <c r="AY260" s="226" t="s">
        <v>380</v>
      </c>
    </row>
    <row r="261" spans="1:65" s="2" customFormat="1" ht="16.5" customHeight="1">
      <c r="A261" s="36"/>
      <c r="B261" s="37"/>
      <c r="C261" s="181" t="s">
        <v>855</v>
      </c>
      <c r="D261" s="181" t="s">
        <v>382</v>
      </c>
      <c r="E261" s="182" t="s">
        <v>2557</v>
      </c>
      <c r="F261" s="183" t="s">
        <v>2558</v>
      </c>
      <c r="G261" s="184" t="s">
        <v>641</v>
      </c>
      <c r="H261" s="185">
        <v>1</v>
      </c>
      <c r="I261" s="186"/>
      <c r="J261" s="187">
        <f>ROUND(I261*H261,2)</f>
        <v>0</v>
      </c>
      <c r="K261" s="183" t="s">
        <v>19</v>
      </c>
      <c r="L261" s="41"/>
      <c r="M261" s="188" t="s">
        <v>19</v>
      </c>
      <c r="N261" s="189" t="s">
        <v>43</v>
      </c>
      <c r="O261" s="66"/>
      <c r="P261" s="190">
        <f>O261*H261</f>
        <v>0</v>
      </c>
      <c r="Q261" s="190">
        <v>0</v>
      </c>
      <c r="R261" s="190">
        <f>Q261*H261</f>
        <v>0</v>
      </c>
      <c r="S261" s="190">
        <v>0</v>
      </c>
      <c r="T261" s="191">
        <f>S261*H261</f>
        <v>0</v>
      </c>
      <c r="U261" s="36"/>
      <c r="V261" s="36"/>
      <c r="W261" s="36"/>
      <c r="X261" s="36"/>
      <c r="Y261" s="36"/>
      <c r="Z261" s="36"/>
      <c r="AA261" s="36"/>
      <c r="AB261" s="36"/>
      <c r="AC261" s="36"/>
      <c r="AD261" s="36"/>
      <c r="AE261" s="36"/>
      <c r="AR261" s="192" t="s">
        <v>281</v>
      </c>
      <c r="AT261" s="192" t="s">
        <v>382</v>
      </c>
      <c r="AU261" s="192" t="s">
        <v>82</v>
      </c>
      <c r="AY261" s="19" t="s">
        <v>380</v>
      </c>
      <c r="BE261" s="193">
        <f>IF(N261="základní",J261,0)</f>
        <v>0</v>
      </c>
      <c r="BF261" s="193">
        <f>IF(N261="snížená",J261,0)</f>
        <v>0</v>
      </c>
      <c r="BG261" s="193">
        <f>IF(N261="zákl. přenesená",J261,0)</f>
        <v>0</v>
      </c>
      <c r="BH261" s="193">
        <f>IF(N261="sníž. přenesená",J261,0)</f>
        <v>0</v>
      </c>
      <c r="BI261" s="193">
        <f>IF(N261="nulová",J261,0)</f>
        <v>0</v>
      </c>
      <c r="BJ261" s="19" t="s">
        <v>79</v>
      </c>
      <c r="BK261" s="193">
        <f>ROUND(I261*H261,2)</f>
        <v>0</v>
      </c>
      <c r="BL261" s="19" t="s">
        <v>281</v>
      </c>
      <c r="BM261" s="192" t="s">
        <v>1280</v>
      </c>
    </row>
    <row r="262" spans="1:65" s="2" customFormat="1" ht="16.5" customHeight="1">
      <c r="A262" s="36"/>
      <c r="B262" s="37"/>
      <c r="C262" s="227" t="s">
        <v>859</v>
      </c>
      <c r="D262" s="227" t="s">
        <v>465</v>
      </c>
      <c r="E262" s="228" t="s">
        <v>2559</v>
      </c>
      <c r="F262" s="229" t="s">
        <v>2560</v>
      </c>
      <c r="G262" s="230" t="s">
        <v>2393</v>
      </c>
      <c r="H262" s="231">
        <v>1</v>
      </c>
      <c r="I262" s="232"/>
      <c r="J262" s="233">
        <f>ROUND(I262*H262,2)</f>
        <v>0</v>
      </c>
      <c r="K262" s="229" t="s">
        <v>19</v>
      </c>
      <c r="L262" s="234"/>
      <c r="M262" s="235" t="s">
        <v>19</v>
      </c>
      <c r="N262" s="236" t="s">
        <v>43</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546</v>
      </c>
      <c r="AT262" s="192" t="s">
        <v>465</v>
      </c>
      <c r="AU262" s="192" t="s">
        <v>82</v>
      </c>
      <c r="AY262" s="19" t="s">
        <v>380</v>
      </c>
      <c r="BE262" s="193">
        <f>IF(N262="základní",J262,0)</f>
        <v>0</v>
      </c>
      <c r="BF262" s="193">
        <f>IF(N262="snížená",J262,0)</f>
        <v>0</v>
      </c>
      <c r="BG262" s="193">
        <f>IF(N262="zákl. přenesená",J262,0)</f>
        <v>0</v>
      </c>
      <c r="BH262" s="193">
        <f>IF(N262="sníž. přenesená",J262,0)</f>
        <v>0</v>
      </c>
      <c r="BI262" s="193">
        <f>IF(N262="nulová",J262,0)</f>
        <v>0</v>
      </c>
      <c r="BJ262" s="19" t="s">
        <v>79</v>
      </c>
      <c r="BK262" s="193">
        <f>ROUND(I262*H262,2)</f>
        <v>0</v>
      </c>
      <c r="BL262" s="19" t="s">
        <v>281</v>
      </c>
      <c r="BM262" s="192" t="s">
        <v>1293</v>
      </c>
    </row>
    <row r="263" spans="1:65" s="2" customFormat="1" ht="19.5">
      <c r="A263" s="36"/>
      <c r="B263" s="37"/>
      <c r="C263" s="38"/>
      <c r="D263" s="196" t="s">
        <v>1226</v>
      </c>
      <c r="E263" s="38"/>
      <c r="F263" s="248" t="s">
        <v>2561</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1226</v>
      </c>
      <c r="AU263" s="19" t="s">
        <v>82</v>
      </c>
    </row>
    <row r="264" spans="1:65" s="2" customFormat="1" ht="16.5" customHeight="1">
      <c r="A264" s="36"/>
      <c r="B264" s="37"/>
      <c r="C264" s="181" t="s">
        <v>863</v>
      </c>
      <c r="D264" s="181" t="s">
        <v>382</v>
      </c>
      <c r="E264" s="182" t="s">
        <v>2562</v>
      </c>
      <c r="F264" s="183" t="s">
        <v>2563</v>
      </c>
      <c r="G264" s="184" t="s">
        <v>641</v>
      </c>
      <c r="H264" s="185">
        <v>44</v>
      </c>
      <c r="I264" s="186"/>
      <c r="J264" s="187">
        <f>ROUND(I264*H264,2)</f>
        <v>0</v>
      </c>
      <c r="K264" s="183" t="s">
        <v>19</v>
      </c>
      <c r="L264" s="41"/>
      <c r="M264" s="188" t="s">
        <v>19</v>
      </c>
      <c r="N264" s="189" t="s">
        <v>43</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281</v>
      </c>
      <c r="AT264" s="192" t="s">
        <v>382</v>
      </c>
      <c r="AU264" s="192" t="s">
        <v>82</v>
      </c>
      <c r="AY264" s="19" t="s">
        <v>380</v>
      </c>
      <c r="BE264" s="193">
        <f>IF(N264="základní",J264,0)</f>
        <v>0</v>
      </c>
      <c r="BF264" s="193">
        <f>IF(N264="snížená",J264,0)</f>
        <v>0</v>
      </c>
      <c r="BG264" s="193">
        <f>IF(N264="zákl. přenesená",J264,0)</f>
        <v>0</v>
      </c>
      <c r="BH264" s="193">
        <f>IF(N264="sníž. přenesená",J264,0)</f>
        <v>0</v>
      </c>
      <c r="BI264" s="193">
        <f>IF(N264="nulová",J264,0)</f>
        <v>0</v>
      </c>
      <c r="BJ264" s="19" t="s">
        <v>79</v>
      </c>
      <c r="BK264" s="193">
        <f>ROUND(I264*H264,2)</f>
        <v>0</v>
      </c>
      <c r="BL264" s="19" t="s">
        <v>281</v>
      </c>
      <c r="BM264" s="192" t="s">
        <v>1301</v>
      </c>
    </row>
    <row r="265" spans="1:65" s="2" customFormat="1" ht="19.5">
      <c r="A265" s="36"/>
      <c r="B265" s="37"/>
      <c r="C265" s="38"/>
      <c r="D265" s="196" t="s">
        <v>1226</v>
      </c>
      <c r="E265" s="38"/>
      <c r="F265" s="248" t="s">
        <v>2564</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1226</v>
      </c>
      <c r="AU265" s="19" t="s">
        <v>82</v>
      </c>
    </row>
    <row r="266" spans="1:65" s="2" customFormat="1" ht="16.5" customHeight="1">
      <c r="A266" s="36"/>
      <c r="B266" s="37"/>
      <c r="C266" s="181" t="s">
        <v>867</v>
      </c>
      <c r="D266" s="181" t="s">
        <v>382</v>
      </c>
      <c r="E266" s="182" t="s">
        <v>2565</v>
      </c>
      <c r="F266" s="183" t="s">
        <v>2566</v>
      </c>
      <c r="G266" s="184" t="s">
        <v>641</v>
      </c>
      <c r="H266" s="185">
        <v>9</v>
      </c>
      <c r="I266" s="186"/>
      <c r="J266" s="187">
        <f t="shared" ref="J266:J279" si="0">ROUND(I266*H266,2)</f>
        <v>0</v>
      </c>
      <c r="K266" s="183" t="s">
        <v>19</v>
      </c>
      <c r="L266" s="41"/>
      <c r="M266" s="188" t="s">
        <v>19</v>
      </c>
      <c r="N266" s="189" t="s">
        <v>43</v>
      </c>
      <c r="O266" s="66"/>
      <c r="P266" s="190">
        <f t="shared" ref="P266:P279" si="1">O266*H266</f>
        <v>0</v>
      </c>
      <c r="Q266" s="190">
        <v>0</v>
      </c>
      <c r="R266" s="190">
        <f t="shared" ref="R266:R279" si="2">Q266*H266</f>
        <v>0</v>
      </c>
      <c r="S266" s="190">
        <v>0</v>
      </c>
      <c r="T266" s="191">
        <f t="shared" ref="T266:T279" si="3">S266*H266</f>
        <v>0</v>
      </c>
      <c r="U266" s="36"/>
      <c r="V266" s="36"/>
      <c r="W266" s="36"/>
      <c r="X266" s="36"/>
      <c r="Y266" s="36"/>
      <c r="Z266" s="36"/>
      <c r="AA266" s="36"/>
      <c r="AB266" s="36"/>
      <c r="AC266" s="36"/>
      <c r="AD266" s="36"/>
      <c r="AE266" s="36"/>
      <c r="AR266" s="192" t="s">
        <v>281</v>
      </c>
      <c r="AT266" s="192" t="s">
        <v>382</v>
      </c>
      <c r="AU266" s="192" t="s">
        <v>82</v>
      </c>
      <c r="AY266" s="19" t="s">
        <v>380</v>
      </c>
      <c r="BE266" s="193">
        <f t="shared" ref="BE266:BE279" si="4">IF(N266="základní",J266,0)</f>
        <v>0</v>
      </c>
      <c r="BF266" s="193">
        <f t="shared" ref="BF266:BF279" si="5">IF(N266="snížená",J266,0)</f>
        <v>0</v>
      </c>
      <c r="BG266" s="193">
        <f t="shared" ref="BG266:BG279" si="6">IF(N266="zákl. přenesená",J266,0)</f>
        <v>0</v>
      </c>
      <c r="BH266" s="193">
        <f t="shared" ref="BH266:BH279" si="7">IF(N266="sníž. přenesená",J266,0)</f>
        <v>0</v>
      </c>
      <c r="BI266" s="193">
        <f t="shared" ref="BI266:BI279" si="8">IF(N266="nulová",J266,0)</f>
        <v>0</v>
      </c>
      <c r="BJ266" s="19" t="s">
        <v>79</v>
      </c>
      <c r="BK266" s="193">
        <f t="shared" ref="BK266:BK279" si="9">ROUND(I266*H266,2)</f>
        <v>0</v>
      </c>
      <c r="BL266" s="19" t="s">
        <v>281</v>
      </c>
      <c r="BM266" s="192" t="s">
        <v>1309</v>
      </c>
    </row>
    <row r="267" spans="1:65" s="2" customFormat="1" ht="16.5" customHeight="1">
      <c r="A267" s="36"/>
      <c r="B267" s="37"/>
      <c r="C267" s="181" t="s">
        <v>873</v>
      </c>
      <c r="D267" s="181" t="s">
        <v>382</v>
      </c>
      <c r="E267" s="182" t="s">
        <v>2567</v>
      </c>
      <c r="F267" s="183" t="s">
        <v>2568</v>
      </c>
      <c r="G267" s="184" t="s">
        <v>641</v>
      </c>
      <c r="H267" s="185">
        <v>4</v>
      </c>
      <c r="I267" s="186"/>
      <c r="J267" s="187">
        <f t="shared" si="0"/>
        <v>0</v>
      </c>
      <c r="K267" s="183" t="s">
        <v>19</v>
      </c>
      <c r="L267" s="41"/>
      <c r="M267" s="188" t="s">
        <v>19</v>
      </c>
      <c r="N267" s="189" t="s">
        <v>43</v>
      </c>
      <c r="O267" s="66"/>
      <c r="P267" s="190">
        <f t="shared" si="1"/>
        <v>0</v>
      </c>
      <c r="Q267" s="190">
        <v>0</v>
      </c>
      <c r="R267" s="190">
        <f t="shared" si="2"/>
        <v>0</v>
      </c>
      <c r="S267" s="190">
        <v>0</v>
      </c>
      <c r="T267" s="191">
        <f t="shared" si="3"/>
        <v>0</v>
      </c>
      <c r="U267" s="36"/>
      <c r="V267" s="36"/>
      <c r="W267" s="36"/>
      <c r="X267" s="36"/>
      <c r="Y267" s="36"/>
      <c r="Z267" s="36"/>
      <c r="AA267" s="36"/>
      <c r="AB267" s="36"/>
      <c r="AC267" s="36"/>
      <c r="AD267" s="36"/>
      <c r="AE267" s="36"/>
      <c r="AR267" s="192" t="s">
        <v>281</v>
      </c>
      <c r="AT267" s="192" t="s">
        <v>382</v>
      </c>
      <c r="AU267" s="192" t="s">
        <v>82</v>
      </c>
      <c r="AY267" s="19" t="s">
        <v>380</v>
      </c>
      <c r="BE267" s="193">
        <f t="shared" si="4"/>
        <v>0</v>
      </c>
      <c r="BF267" s="193">
        <f t="shared" si="5"/>
        <v>0</v>
      </c>
      <c r="BG267" s="193">
        <f t="shared" si="6"/>
        <v>0</v>
      </c>
      <c r="BH267" s="193">
        <f t="shared" si="7"/>
        <v>0</v>
      </c>
      <c r="BI267" s="193">
        <f t="shared" si="8"/>
        <v>0</v>
      </c>
      <c r="BJ267" s="19" t="s">
        <v>79</v>
      </c>
      <c r="BK267" s="193">
        <f t="shared" si="9"/>
        <v>0</v>
      </c>
      <c r="BL267" s="19" t="s">
        <v>281</v>
      </c>
      <c r="BM267" s="192" t="s">
        <v>1322</v>
      </c>
    </row>
    <row r="268" spans="1:65" s="2" customFormat="1" ht="16.5" customHeight="1">
      <c r="A268" s="36"/>
      <c r="B268" s="37"/>
      <c r="C268" s="181" t="s">
        <v>884</v>
      </c>
      <c r="D268" s="181" t="s">
        <v>382</v>
      </c>
      <c r="E268" s="182" t="s">
        <v>2569</v>
      </c>
      <c r="F268" s="183" t="s">
        <v>2570</v>
      </c>
      <c r="G268" s="184" t="s">
        <v>641</v>
      </c>
      <c r="H268" s="185">
        <v>2</v>
      </c>
      <c r="I268" s="186"/>
      <c r="J268" s="187">
        <f t="shared" si="0"/>
        <v>0</v>
      </c>
      <c r="K268" s="183" t="s">
        <v>19</v>
      </c>
      <c r="L268" s="41"/>
      <c r="M268" s="188" t="s">
        <v>19</v>
      </c>
      <c r="N268" s="189" t="s">
        <v>43</v>
      </c>
      <c r="O268" s="66"/>
      <c r="P268" s="190">
        <f t="shared" si="1"/>
        <v>0</v>
      </c>
      <c r="Q268" s="190">
        <v>0</v>
      </c>
      <c r="R268" s="190">
        <f t="shared" si="2"/>
        <v>0</v>
      </c>
      <c r="S268" s="190">
        <v>0</v>
      </c>
      <c r="T268" s="191">
        <f t="shared" si="3"/>
        <v>0</v>
      </c>
      <c r="U268" s="36"/>
      <c r="V268" s="36"/>
      <c r="W268" s="36"/>
      <c r="X268" s="36"/>
      <c r="Y268" s="36"/>
      <c r="Z268" s="36"/>
      <c r="AA268" s="36"/>
      <c r="AB268" s="36"/>
      <c r="AC268" s="36"/>
      <c r="AD268" s="36"/>
      <c r="AE268" s="36"/>
      <c r="AR268" s="192" t="s">
        <v>281</v>
      </c>
      <c r="AT268" s="192" t="s">
        <v>382</v>
      </c>
      <c r="AU268" s="192" t="s">
        <v>82</v>
      </c>
      <c r="AY268" s="19" t="s">
        <v>380</v>
      </c>
      <c r="BE268" s="193">
        <f t="shared" si="4"/>
        <v>0</v>
      </c>
      <c r="BF268" s="193">
        <f t="shared" si="5"/>
        <v>0</v>
      </c>
      <c r="BG268" s="193">
        <f t="shared" si="6"/>
        <v>0</v>
      </c>
      <c r="BH268" s="193">
        <f t="shared" si="7"/>
        <v>0</v>
      </c>
      <c r="BI268" s="193">
        <f t="shared" si="8"/>
        <v>0</v>
      </c>
      <c r="BJ268" s="19" t="s">
        <v>79</v>
      </c>
      <c r="BK268" s="193">
        <f t="shared" si="9"/>
        <v>0</v>
      </c>
      <c r="BL268" s="19" t="s">
        <v>281</v>
      </c>
      <c r="BM268" s="192" t="s">
        <v>1340</v>
      </c>
    </row>
    <row r="269" spans="1:65" s="2" customFormat="1" ht="16.5" customHeight="1">
      <c r="A269" s="36"/>
      <c r="B269" s="37"/>
      <c r="C269" s="181" t="s">
        <v>897</v>
      </c>
      <c r="D269" s="181" t="s">
        <v>382</v>
      </c>
      <c r="E269" s="182" t="s">
        <v>2571</v>
      </c>
      <c r="F269" s="183" t="s">
        <v>2572</v>
      </c>
      <c r="G269" s="184" t="s">
        <v>641</v>
      </c>
      <c r="H269" s="185">
        <v>5</v>
      </c>
      <c r="I269" s="186"/>
      <c r="J269" s="187">
        <f t="shared" si="0"/>
        <v>0</v>
      </c>
      <c r="K269" s="183" t="s">
        <v>19</v>
      </c>
      <c r="L269" s="41"/>
      <c r="M269" s="188" t="s">
        <v>19</v>
      </c>
      <c r="N269" s="189" t="s">
        <v>43</v>
      </c>
      <c r="O269" s="66"/>
      <c r="P269" s="190">
        <f t="shared" si="1"/>
        <v>0</v>
      </c>
      <c r="Q269" s="190">
        <v>0</v>
      </c>
      <c r="R269" s="190">
        <f t="shared" si="2"/>
        <v>0</v>
      </c>
      <c r="S269" s="190">
        <v>0</v>
      </c>
      <c r="T269" s="191">
        <f t="shared" si="3"/>
        <v>0</v>
      </c>
      <c r="U269" s="36"/>
      <c r="V269" s="36"/>
      <c r="W269" s="36"/>
      <c r="X269" s="36"/>
      <c r="Y269" s="36"/>
      <c r="Z269" s="36"/>
      <c r="AA269" s="36"/>
      <c r="AB269" s="36"/>
      <c r="AC269" s="36"/>
      <c r="AD269" s="36"/>
      <c r="AE269" s="36"/>
      <c r="AR269" s="192" t="s">
        <v>281</v>
      </c>
      <c r="AT269" s="192" t="s">
        <v>382</v>
      </c>
      <c r="AU269" s="192" t="s">
        <v>82</v>
      </c>
      <c r="AY269" s="19" t="s">
        <v>380</v>
      </c>
      <c r="BE269" s="193">
        <f t="shared" si="4"/>
        <v>0</v>
      </c>
      <c r="BF269" s="193">
        <f t="shared" si="5"/>
        <v>0</v>
      </c>
      <c r="BG269" s="193">
        <f t="shared" si="6"/>
        <v>0</v>
      </c>
      <c r="BH269" s="193">
        <f t="shared" si="7"/>
        <v>0</v>
      </c>
      <c r="BI269" s="193">
        <f t="shared" si="8"/>
        <v>0</v>
      </c>
      <c r="BJ269" s="19" t="s">
        <v>79</v>
      </c>
      <c r="BK269" s="193">
        <f t="shared" si="9"/>
        <v>0</v>
      </c>
      <c r="BL269" s="19" t="s">
        <v>281</v>
      </c>
      <c r="BM269" s="192" t="s">
        <v>1353</v>
      </c>
    </row>
    <row r="270" spans="1:65" s="2" customFormat="1" ht="16.5" customHeight="1">
      <c r="A270" s="36"/>
      <c r="B270" s="37"/>
      <c r="C270" s="181" t="s">
        <v>910</v>
      </c>
      <c r="D270" s="181" t="s">
        <v>382</v>
      </c>
      <c r="E270" s="182" t="s">
        <v>2573</v>
      </c>
      <c r="F270" s="183" t="s">
        <v>2574</v>
      </c>
      <c r="G270" s="184" t="s">
        <v>641</v>
      </c>
      <c r="H270" s="185">
        <v>1</v>
      </c>
      <c r="I270" s="186"/>
      <c r="J270" s="187">
        <f t="shared" si="0"/>
        <v>0</v>
      </c>
      <c r="K270" s="183" t="s">
        <v>19</v>
      </c>
      <c r="L270" s="41"/>
      <c r="M270" s="188" t="s">
        <v>19</v>
      </c>
      <c r="N270" s="189" t="s">
        <v>43</v>
      </c>
      <c r="O270" s="66"/>
      <c r="P270" s="190">
        <f t="shared" si="1"/>
        <v>0</v>
      </c>
      <c r="Q270" s="190">
        <v>0</v>
      </c>
      <c r="R270" s="190">
        <f t="shared" si="2"/>
        <v>0</v>
      </c>
      <c r="S270" s="190">
        <v>0</v>
      </c>
      <c r="T270" s="191">
        <f t="shared" si="3"/>
        <v>0</v>
      </c>
      <c r="U270" s="36"/>
      <c r="V270" s="36"/>
      <c r="W270" s="36"/>
      <c r="X270" s="36"/>
      <c r="Y270" s="36"/>
      <c r="Z270" s="36"/>
      <c r="AA270" s="36"/>
      <c r="AB270" s="36"/>
      <c r="AC270" s="36"/>
      <c r="AD270" s="36"/>
      <c r="AE270" s="36"/>
      <c r="AR270" s="192" t="s">
        <v>281</v>
      </c>
      <c r="AT270" s="192" t="s">
        <v>382</v>
      </c>
      <c r="AU270" s="192" t="s">
        <v>82</v>
      </c>
      <c r="AY270" s="19" t="s">
        <v>380</v>
      </c>
      <c r="BE270" s="193">
        <f t="shared" si="4"/>
        <v>0</v>
      </c>
      <c r="BF270" s="193">
        <f t="shared" si="5"/>
        <v>0</v>
      </c>
      <c r="BG270" s="193">
        <f t="shared" si="6"/>
        <v>0</v>
      </c>
      <c r="BH270" s="193">
        <f t="shared" si="7"/>
        <v>0</v>
      </c>
      <c r="BI270" s="193">
        <f t="shared" si="8"/>
        <v>0</v>
      </c>
      <c r="BJ270" s="19" t="s">
        <v>79</v>
      </c>
      <c r="BK270" s="193">
        <f t="shared" si="9"/>
        <v>0</v>
      </c>
      <c r="BL270" s="19" t="s">
        <v>281</v>
      </c>
      <c r="BM270" s="192" t="s">
        <v>1363</v>
      </c>
    </row>
    <row r="271" spans="1:65" s="2" customFormat="1" ht="16.5" customHeight="1">
      <c r="A271" s="36"/>
      <c r="B271" s="37"/>
      <c r="C271" s="181" t="s">
        <v>914</v>
      </c>
      <c r="D271" s="181" t="s">
        <v>382</v>
      </c>
      <c r="E271" s="182" t="s">
        <v>2575</v>
      </c>
      <c r="F271" s="183" t="s">
        <v>2576</v>
      </c>
      <c r="G271" s="184" t="s">
        <v>641</v>
      </c>
      <c r="H271" s="185">
        <v>2</v>
      </c>
      <c r="I271" s="186"/>
      <c r="J271" s="187">
        <f t="shared" si="0"/>
        <v>0</v>
      </c>
      <c r="K271" s="183" t="s">
        <v>19</v>
      </c>
      <c r="L271" s="41"/>
      <c r="M271" s="188" t="s">
        <v>19</v>
      </c>
      <c r="N271" s="189" t="s">
        <v>43</v>
      </c>
      <c r="O271" s="66"/>
      <c r="P271" s="190">
        <f t="shared" si="1"/>
        <v>0</v>
      </c>
      <c r="Q271" s="190">
        <v>0</v>
      </c>
      <c r="R271" s="190">
        <f t="shared" si="2"/>
        <v>0</v>
      </c>
      <c r="S271" s="190">
        <v>0</v>
      </c>
      <c r="T271" s="191">
        <f t="shared" si="3"/>
        <v>0</v>
      </c>
      <c r="U271" s="36"/>
      <c r="V271" s="36"/>
      <c r="W271" s="36"/>
      <c r="X271" s="36"/>
      <c r="Y271" s="36"/>
      <c r="Z271" s="36"/>
      <c r="AA271" s="36"/>
      <c r="AB271" s="36"/>
      <c r="AC271" s="36"/>
      <c r="AD271" s="36"/>
      <c r="AE271" s="36"/>
      <c r="AR271" s="192" t="s">
        <v>281</v>
      </c>
      <c r="AT271" s="192" t="s">
        <v>382</v>
      </c>
      <c r="AU271" s="192" t="s">
        <v>82</v>
      </c>
      <c r="AY271" s="19" t="s">
        <v>380</v>
      </c>
      <c r="BE271" s="193">
        <f t="shared" si="4"/>
        <v>0</v>
      </c>
      <c r="BF271" s="193">
        <f t="shared" si="5"/>
        <v>0</v>
      </c>
      <c r="BG271" s="193">
        <f t="shared" si="6"/>
        <v>0</v>
      </c>
      <c r="BH271" s="193">
        <f t="shared" si="7"/>
        <v>0</v>
      </c>
      <c r="BI271" s="193">
        <f t="shared" si="8"/>
        <v>0</v>
      </c>
      <c r="BJ271" s="19" t="s">
        <v>79</v>
      </c>
      <c r="BK271" s="193">
        <f t="shared" si="9"/>
        <v>0</v>
      </c>
      <c r="BL271" s="19" t="s">
        <v>281</v>
      </c>
      <c r="BM271" s="192" t="s">
        <v>1373</v>
      </c>
    </row>
    <row r="272" spans="1:65" s="2" customFormat="1" ht="16.5" customHeight="1">
      <c r="A272" s="36"/>
      <c r="B272" s="37"/>
      <c r="C272" s="181" t="s">
        <v>927</v>
      </c>
      <c r="D272" s="181" t="s">
        <v>382</v>
      </c>
      <c r="E272" s="182" t="s">
        <v>2577</v>
      </c>
      <c r="F272" s="183" t="s">
        <v>2578</v>
      </c>
      <c r="G272" s="184" t="s">
        <v>641</v>
      </c>
      <c r="H272" s="185">
        <v>1</v>
      </c>
      <c r="I272" s="186"/>
      <c r="J272" s="187">
        <f t="shared" si="0"/>
        <v>0</v>
      </c>
      <c r="K272" s="183" t="s">
        <v>19</v>
      </c>
      <c r="L272" s="41"/>
      <c r="M272" s="188" t="s">
        <v>19</v>
      </c>
      <c r="N272" s="189" t="s">
        <v>43</v>
      </c>
      <c r="O272" s="66"/>
      <c r="P272" s="190">
        <f t="shared" si="1"/>
        <v>0</v>
      </c>
      <c r="Q272" s="190">
        <v>0</v>
      </c>
      <c r="R272" s="190">
        <f t="shared" si="2"/>
        <v>0</v>
      </c>
      <c r="S272" s="190">
        <v>0</v>
      </c>
      <c r="T272" s="191">
        <f t="shared" si="3"/>
        <v>0</v>
      </c>
      <c r="U272" s="36"/>
      <c r="V272" s="36"/>
      <c r="W272" s="36"/>
      <c r="X272" s="36"/>
      <c r="Y272" s="36"/>
      <c r="Z272" s="36"/>
      <c r="AA272" s="36"/>
      <c r="AB272" s="36"/>
      <c r="AC272" s="36"/>
      <c r="AD272" s="36"/>
      <c r="AE272" s="36"/>
      <c r="AR272" s="192" t="s">
        <v>281</v>
      </c>
      <c r="AT272" s="192" t="s">
        <v>382</v>
      </c>
      <c r="AU272" s="192" t="s">
        <v>82</v>
      </c>
      <c r="AY272" s="19" t="s">
        <v>380</v>
      </c>
      <c r="BE272" s="193">
        <f t="shared" si="4"/>
        <v>0</v>
      </c>
      <c r="BF272" s="193">
        <f t="shared" si="5"/>
        <v>0</v>
      </c>
      <c r="BG272" s="193">
        <f t="shared" si="6"/>
        <v>0</v>
      </c>
      <c r="BH272" s="193">
        <f t="shared" si="7"/>
        <v>0</v>
      </c>
      <c r="BI272" s="193">
        <f t="shared" si="8"/>
        <v>0</v>
      </c>
      <c r="BJ272" s="19" t="s">
        <v>79</v>
      </c>
      <c r="BK272" s="193">
        <f t="shared" si="9"/>
        <v>0</v>
      </c>
      <c r="BL272" s="19" t="s">
        <v>281</v>
      </c>
      <c r="BM272" s="192" t="s">
        <v>1386</v>
      </c>
    </row>
    <row r="273" spans="1:65" s="2" customFormat="1" ht="16.5" customHeight="1">
      <c r="A273" s="36"/>
      <c r="B273" s="37"/>
      <c r="C273" s="181" t="s">
        <v>931</v>
      </c>
      <c r="D273" s="181" t="s">
        <v>382</v>
      </c>
      <c r="E273" s="182" t="s">
        <v>2579</v>
      </c>
      <c r="F273" s="183" t="s">
        <v>2580</v>
      </c>
      <c r="G273" s="184" t="s">
        <v>641</v>
      </c>
      <c r="H273" s="185">
        <v>32</v>
      </c>
      <c r="I273" s="186"/>
      <c r="J273" s="187">
        <f t="shared" si="0"/>
        <v>0</v>
      </c>
      <c r="K273" s="183" t="s">
        <v>19</v>
      </c>
      <c r="L273" s="41"/>
      <c r="M273" s="188" t="s">
        <v>19</v>
      </c>
      <c r="N273" s="189" t="s">
        <v>43</v>
      </c>
      <c r="O273" s="66"/>
      <c r="P273" s="190">
        <f t="shared" si="1"/>
        <v>0</v>
      </c>
      <c r="Q273" s="190">
        <v>0</v>
      </c>
      <c r="R273" s="190">
        <f t="shared" si="2"/>
        <v>0</v>
      </c>
      <c r="S273" s="190">
        <v>0</v>
      </c>
      <c r="T273" s="191">
        <f t="shared" si="3"/>
        <v>0</v>
      </c>
      <c r="U273" s="36"/>
      <c r="V273" s="36"/>
      <c r="W273" s="36"/>
      <c r="X273" s="36"/>
      <c r="Y273" s="36"/>
      <c r="Z273" s="36"/>
      <c r="AA273" s="36"/>
      <c r="AB273" s="36"/>
      <c r="AC273" s="36"/>
      <c r="AD273" s="36"/>
      <c r="AE273" s="36"/>
      <c r="AR273" s="192" t="s">
        <v>281</v>
      </c>
      <c r="AT273" s="192" t="s">
        <v>382</v>
      </c>
      <c r="AU273" s="192" t="s">
        <v>82</v>
      </c>
      <c r="AY273" s="19" t="s">
        <v>380</v>
      </c>
      <c r="BE273" s="193">
        <f t="shared" si="4"/>
        <v>0</v>
      </c>
      <c r="BF273" s="193">
        <f t="shared" si="5"/>
        <v>0</v>
      </c>
      <c r="BG273" s="193">
        <f t="shared" si="6"/>
        <v>0</v>
      </c>
      <c r="BH273" s="193">
        <f t="shared" si="7"/>
        <v>0</v>
      </c>
      <c r="BI273" s="193">
        <f t="shared" si="8"/>
        <v>0</v>
      </c>
      <c r="BJ273" s="19" t="s">
        <v>79</v>
      </c>
      <c r="BK273" s="193">
        <f t="shared" si="9"/>
        <v>0</v>
      </c>
      <c r="BL273" s="19" t="s">
        <v>281</v>
      </c>
      <c r="BM273" s="192" t="s">
        <v>1394</v>
      </c>
    </row>
    <row r="274" spans="1:65" s="2" customFormat="1" ht="16.5" customHeight="1">
      <c r="A274" s="36"/>
      <c r="B274" s="37"/>
      <c r="C274" s="181" t="s">
        <v>936</v>
      </c>
      <c r="D274" s="181" t="s">
        <v>382</v>
      </c>
      <c r="E274" s="182" t="s">
        <v>2581</v>
      </c>
      <c r="F274" s="183" t="s">
        <v>2582</v>
      </c>
      <c r="G274" s="184" t="s">
        <v>641</v>
      </c>
      <c r="H274" s="185">
        <v>18</v>
      </c>
      <c r="I274" s="186"/>
      <c r="J274" s="187">
        <f t="shared" si="0"/>
        <v>0</v>
      </c>
      <c r="K274" s="183" t="s">
        <v>19</v>
      </c>
      <c r="L274" s="41"/>
      <c r="M274" s="188" t="s">
        <v>19</v>
      </c>
      <c r="N274" s="189" t="s">
        <v>43</v>
      </c>
      <c r="O274" s="66"/>
      <c r="P274" s="190">
        <f t="shared" si="1"/>
        <v>0</v>
      </c>
      <c r="Q274" s="190">
        <v>0</v>
      </c>
      <c r="R274" s="190">
        <f t="shared" si="2"/>
        <v>0</v>
      </c>
      <c r="S274" s="190">
        <v>0</v>
      </c>
      <c r="T274" s="191">
        <f t="shared" si="3"/>
        <v>0</v>
      </c>
      <c r="U274" s="36"/>
      <c r="V274" s="36"/>
      <c r="W274" s="36"/>
      <c r="X274" s="36"/>
      <c r="Y274" s="36"/>
      <c r="Z274" s="36"/>
      <c r="AA274" s="36"/>
      <c r="AB274" s="36"/>
      <c r="AC274" s="36"/>
      <c r="AD274" s="36"/>
      <c r="AE274" s="36"/>
      <c r="AR274" s="192" t="s">
        <v>281</v>
      </c>
      <c r="AT274" s="192" t="s">
        <v>382</v>
      </c>
      <c r="AU274" s="192" t="s">
        <v>82</v>
      </c>
      <c r="AY274" s="19" t="s">
        <v>380</v>
      </c>
      <c r="BE274" s="193">
        <f t="shared" si="4"/>
        <v>0</v>
      </c>
      <c r="BF274" s="193">
        <f t="shared" si="5"/>
        <v>0</v>
      </c>
      <c r="BG274" s="193">
        <f t="shared" si="6"/>
        <v>0</v>
      </c>
      <c r="BH274" s="193">
        <f t="shared" si="7"/>
        <v>0</v>
      </c>
      <c r="BI274" s="193">
        <f t="shared" si="8"/>
        <v>0</v>
      </c>
      <c r="BJ274" s="19" t="s">
        <v>79</v>
      </c>
      <c r="BK274" s="193">
        <f t="shared" si="9"/>
        <v>0</v>
      </c>
      <c r="BL274" s="19" t="s">
        <v>281</v>
      </c>
      <c r="BM274" s="192" t="s">
        <v>1410</v>
      </c>
    </row>
    <row r="275" spans="1:65" s="2" customFormat="1" ht="16.5" customHeight="1">
      <c r="A275" s="36"/>
      <c r="B275" s="37"/>
      <c r="C275" s="181" t="s">
        <v>941</v>
      </c>
      <c r="D275" s="181" t="s">
        <v>382</v>
      </c>
      <c r="E275" s="182" t="s">
        <v>2583</v>
      </c>
      <c r="F275" s="183" t="s">
        <v>2584</v>
      </c>
      <c r="G275" s="184" t="s">
        <v>641</v>
      </c>
      <c r="H275" s="185">
        <v>9</v>
      </c>
      <c r="I275" s="186"/>
      <c r="J275" s="187">
        <f t="shared" si="0"/>
        <v>0</v>
      </c>
      <c r="K275" s="183" t="s">
        <v>19</v>
      </c>
      <c r="L275" s="41"/>
      <c r="M275" s="188" t="s">
        <v>19</v>
      </c>
      <c r="N275" s="189" t="s">
        <v>43</v>
      </c>
      <c r="O275" s="66"/>
      <c r="P275" s="190">
        <f t="shared" si="1"/>
        <v>0</v>
      </c>
      <c r="Q275" s="190">
        <v>0</v>
      </c>
      <c r="R275" s="190">
        <f t="shared" si="2"/>
        <v>0</v>
      </c>
      <c r="S275" s="190">
        <v>0</v>
      </c>
      <c r="T275" s="191">
        <f t="shared" si="3"/>
        <v>0</v>
      </c>
      <c r="U275" s="36"/>
      <c r="V275" s="36"/>
      <c r="W275" s="36"/>
      <c r="X275" s="36"/>
      <c r="Y275" s="36"/>
      <c r="Z275" s="36"/>
      <c r="AA275" s="36"/>
      <c r="AB275" s="36"/>
      <c r="AC275" s="36"/>
      <c r="AD275" s="36"/>
      <c r="AE275" s="36"/>
      <c r="AR275" s="192" t="s">
        <v>281</v>
      </c>
      <c r="AT275" s="192" t="s">
        <v>382</v>
      </c>
      <c r="AU275" s="192" t="s">
        <v>82</v>
      </c>
      <c r="AY275" s="19" t="s">
        <v>380</v>
      </c>
      <c r="BE275" s="193">
        <f t="shared" si="4"/>
        <v>0</v>
      </c>
      <c r="BF275" s="193">
        <f t="shared" si="5"/>
        <v>0</v>
      </c>
      <c r="BG275" s="193">
        <f t="shared" si="6"/>
        <v>0</v>
      </c>
      <c r="BH275" s="193">
        <f t="shared" si="7"/>
        <v>0</v>
      </c>
      <c r="BI275" s="193">
        <f t="shared" si="8"/>
        <v>0</v>
      </c>
      <c r="BJ275" s="19" t="s">
        <v>79</v>
      </c>
      <c r="BK275" s="193">
        <f t="shared" si="9"/>
        <v>0</v>
      </c>
      <c r="BL275" s="19" t="s">
        <v>281</v>
      </c>
      <c r="BM275" s="192" t="s">
        <v>1432</v>
      </c>
    </row>
    <row r="276" spans="1:65" s="2" customFormat="1" ht="16.5" customHeight="1">
      <c r="A276" s="36"/>
      <c r="B276" s="37"/>
      <c r="C276" s="181" t="s">
        <v>946</v>
      </c>
      <c r="D276" s="181" t="s">
        <v>382</v>
      </c>
      <c r="E276" s="182" t="s">
        <v>2585</v>
      </c>
      <c r="F276" s="183" t="s">
        <v>2586</v>
      </c>
      <c r="G276" s="184" t="s">
        <v>641</v>
      </c>
      <c r="H276" s="185">
        <v>10</v>
      </c>
      <c r="I276" s="186"/>
      <c r="J276" s="187">
        <f t="shared" si="0"/>
        <v>0</v>
      </c>
      <c r="K276" s="183" t="s">
        <v>19</v>
      </c>
      <c r="L276" s="41"/>
      <c r="M276" s="188" t="s">
        <v>19</v>
      </c>
      <c r="N276" s="189" t="s">
        <v>43</v>
      </c>
      <c r="O276" s="66"/>
      <c r="P276" s="190">
        <f t="shared" si="1"/>
        <v>0</v>
      </c>
      <c r="Q276" s="190">
        <v>0</v>
      </c>
      <c r="R276" s="190">
        <f t="shared" si="2"/>
        <v>0</v>
      </c>
      <c r="S276" s="190">
        <v>0</v>
      </c>
      <c r="T276" s="191">
        <f t="shared" si="3"/>
        <v>0</v>
      </c>
      <c r="U276" s="36"/>
      <c r="V276" s="36"/>
      <c r="W276" s="36"/>
      <c r="X276" s="36"/>
      <c r="Y276" s="36"/>
      <c r="Z276" s="36"/>
      <c r="AA276" s="36"/>
      <c r="AB276" s="36"/>
      <c r="AC276" s="36"/>
      <c r="AD276" s="36"/>
      <c r="AE276" s="36"/>
      <c r="AR276" s="192" t="s">
        <v>281</v>
      </c>
      <c r="AT276" s="192" t="s">
        <v>382</v>
      </c>
      <c r="AU276" s="192" t="s">
        <v>82</v>
      </c>
      <c r="AY276" s="19" t="s">
        <v>380</v>
      </c>
      <c r="BE276" s="193">
        <f t="shared" si="4"/>
        <v>0</v>
      </c>
      <c r="BF276" s="193">
        <f t="shared" si="5"/>
        <v>0</v>
      </c>
      <c r="BG276" s="193">
        <f t="shared" si="6"/>
        <v>0</v>
      </c>
      <c r="BH276" s="193">
        <f t="shared" si="7"/>
        <v>0</v>
      </c>
      <c r="BI276" s="193">
        <f t="shared" si="8"/>
        <v>0</v>
      </c>
      <c r="BJ276" s="19" t="s">
        <v>79</v>
      </c>
      <c r="BK276" s="193">
        <f t="shared" si="9"/>
        <v>0</v>
      </c>
      <c r="BL276" s="19" t="s">
        <v>281</v>
      </c>
      <c r="BM276" s="192" t="s">
        <v>1459</v>
      </c>
    </row>
    <row r="277" spans="1:65" s="2" customFormat="1" ht="16.5" customHeight="1">
      <c r="A277" s="36"/>
      <c r="B277" s="37"/>
      <c r="C277" s="181" t="s">
        <v>950</v>
      </c>
      <c r="D277" s="181" t="s">
        <v>382</v>
      </c>
      <c r="E277" s="182" t="s">
        <v>2587</v>
      </c>
      <c r="F277" s="183" t="s">
        <v>2588</v>
      </c>
      <c r="G277" s="184" t="s">
        <v>641</v>
      </c>
      <c r="H277" s="185">
        <v>12</v>
      </c>
      <c r="I277" s="186"/>
      <c r="J277" s="187">
        <f t="shared" si="0"/>
        <v>0</v>
      </c>
      <c r="K277" s="183" t="s">
        <v>19</v>
      </c>
      <c r="L277" s="41"/>
      <c r="M277" s="188" t="s">
        <v>19</v>
      </c>
      <c r="N277" s="189" t="s">
        <v>43</v>
      </c>
      <c r="O277" s="66"/>
      <c r="P277" s="190">
        <f t="shared" si="1"/>
        <v>0</v>
      </c>
      <c r="Q277" s="190">
        <v>0</v>
      </c>
      <c r="R277" s="190">
        <f t="shared" si="2"/>
        <v>0</v>
      </c>
      <c r="S277" s="190">
        <v>0</v>
      </c>
      <c r="T277" s="191">
        <f t="shared" si="3"/>
        <v>0</v>
      </c>
      <c r="U277" s="36"/>
      <c r="V277" s="36"/>
      <c r="W277" s="36"/>
      <c r="X277" s="36"/>
      <c r="Y277" s="36"/>
      <c r="Z277" s="36"/>
      <c r="AA277" s="36"/>
      <c r="AB277" s="36"/>
      <c r="AC277" s="36"/>
      <c r="AD277" s="36"/>
      <c r="AE277" s="36"/>
      <c r="AR277" s="192" t="s">
        <v>281</v>
      </c>
      <c r="AT277" s="192" t="s">
        <v>382</v>
      </c>
      <c r="AU277" s="192" t="s">
        <v>82</v>
      </c>
      <c r="AY277" s="19" t="s">
        <v>380</v>
      </c>
      <c r="BE277" s="193">
        <f t="shared" si="4"/>
        <v>0</v>
      </c>
      <c r="BF277" s="193">
        <f t="shared" si="5"/>
        <v>0</v>
      </c>
      <c r="BG277" s="193">
        <f t="shared" si="6"/>
        <v>0</v>
      </c>
      <c r="BH277" s="193">
        <f t="shared" si="7"/>
        <v>0</v>
      </c>
      <c r="BI277" s="193">
        <f t="shared" si="8"/>
        <v>0</v>
      </c>
      <c r="BJ277" s="19" t="s">
        <v>79</v>
      </c>
      <c r="BK277" s="193">
        <f t="shared" si="9"/>
        <v>0</v>
      </c>
      <c r="BL277" s="19" t="s">
        <v>281</v>
      </c>
      <c r="BM277" s="192" t="s">
        <v>1472</v>
      </c>
    </row>
    <row r="278" spans="1:65" s="2" customFormat="1" ht="16.5" customHeight="1">
      <c r="A278" s="36"/>
      <c r="B278" s="37"/>
      <c r="C278" s="181" t="s">
        <v>955</v>
      </c>
      <c r="D278" s="181" t="s">
        <v>382</v>
      </c>
      <c r="E278" s="182" t="s">
        <v>2589</v>
      </c>
      <c r="F278" s="183" t="s">
        <v>2590</v>
      </c>
      <c r="G278" s="184" t="s">
        <v>437</v>
      </c>
      <c r="H278" s="185">
        <v>0.35</v>
      </c>
      <c r="I278" s="186"/>
      <c r="J278" s="187">
        <f t="shared" si="0"/>
        <v>0</v>
      </c>
      <c r="K278" s="183" t="s">
        <v>19</v>
      </c>
      <c r="L278" s="41"/>
      <c r="M278" s="188" t="s">
        <v>19</v>
      </c>
      <c r="N278" s="189" t="s">
        <v>43</v>
      </c>
      <c r="O278" s="66"/>
      <c r="P278" s="190">
        <f t="shared" si="1"/>
        <v>0</v>
      </c>
      <c r="Q278" s="190">
        <v>0</v>
      </c>
      <c r="R278" s="190">
        <f t="shared" si="2"/>
        <v>0</v>
      </c>
      <c r="S278" s="190">
        <v>0</v>
      </c>
      <c r="T278" s="191">
        <f t="shared" si="3"/>
        <v>0</v>
      </c>
      <c r="U278" s="36"/>
      <c r="V278" s="36"/>
      <c r="W278" s="36"/>
      <c r="X278" s="36"/>
      <c r="Y278" s="36"/>
      <c r="Z278" s="36"/>
      <c r="AA278" s="36"/>
      <c r="AB278" s="36"/>
      <c r="AC278" s="36"/>
      <c r="AD278" s="36"/>
      <c r="AE278" s="36"/>
      <c r="AR278" s="192" t="s">
        <v>281</v>
      </c>
      <c r="AT278" s="192" t="s">
        <v>382</v>
      </c>
      <c r="AU278" s="192" t="s">
        <v>82</v>
      </c>
      <c r="AY278" s="19" t="s">
        <v>380</v>
      </c>
      <c r="BE278" s="193">
        <f t="shared" si="4"/>
        <v>0</v>
      </c>
      <c r="BF278" s="193">
        <f t="shared" si="5"/>
        <v>0</v>
      </c>
      <c r="BG278" s="193">
        <f t="shared" si="6"/>
        <v>0</v>
      </c>
      <c r="BH278" s="193">
        <f t="shared" si="7"/>
        <v>0</v>
      </c>
      <c r="BI278" s="193">
        <f t="shared" si="8"/>
        <v>0</v>
      </c>
      <c r="BJ278" s="19" t="s">
        <v>79</v>
      </c>
      <c r="BK278" s="193">
        <f t="shared" si="9"/>
        <v>0</v>
      </c>
      <c r="BL278" s="19" t="s">
        <v>281</v>
      </c>
      <c r="BM278" s="192" t="s">
        <v>1480</v>
      </c>
    </row>
    <row r="279" spans="1:65" s="2" customFormat="1" ht="16.5" customHeight="1">
      <c r="A279" s="36"/>
      <c r="B279" s="37"/>
      <c r="C279" s="181" t="s">
        <v>959</v>
      </c>
      <c r="D279" s="181" t="s">
        <v>382</v>
      </c>
      <c r="E279" s="182" t="s">
        <v>2591</v>
      </c>
      <c r="F279" s="183" t="s">
        <v>2592</v>
      </c>
      <c r="G279" s="184" t="s">
        <v>437</v>
      </c>
      <c r="H279" s="185">
        <v>0.35</v>
      </c>
      <c r="I279" s="186"/>
      <c r="J279" s="187">
        <f t="shared" si="0"/>
        <v>0</v>
      </c>
      <c r="K279" s="183" t="s">
        <v>19</v>
      </c>
      <c r="L279" s="41"/>
      <c r="M279" s="188" t="s">
        <v>19</v>
      </c>
      <c r="N279" s="189" t="s">
        <v>43</v>
      </c>
      <c r="O279" s="66"/>
      <c r="P279" s="190">
        <f t="shared" si="1"/>
        <v>0</v>
      </c>
      <c r="Q279" s="190">
        <v>0</v>
      </c>
      <c r="R279" s="190">
        <f t="shared" si="2"/>
        <v>0</v>
      </c>
      <c r="S279" s="190">
        <v>0</v>
      </c>
      <c r="T279" s="191">
        <f t="shared" si="3"/>
        <v>0</v>
      </c>
      <c r="U279" s="36"/>
      <c r="V279" s="36"/>
      <c r="W279" s="36"/>
      <c r="X279" s="36"/>
      <c r="Y279" s="36"/>
      <c r="Z279" s="36"/>
      <c r="AA279" s="36"/>
      <c r="AB279" s="36"/>
      <c r="AC279" s="36"/>
      <c r="AD279" s="36"/>
      <c r="AE279" s="36"/>
      <c r="AR279" s="192" t="s">
        <v>281</v>
      </c>
      <c r="AT279" s="192" t="s">
        <v>382</v>
      </c>
      <c r="AU279" s="192" t="s">
        <v>82</v>
      </c>
      <c r="AY279" s="19" t="s">
        <v>380</v>
      </c>
      <c r="BE279" s="193">
        <f t="shared" si="4"/>
        <v>0</v>
      </c>
      <c r="BF279" s="193">
        <f t="shared" si="5"/>
        <v>0</v>
      </c>
      <c r="BG279" s="193">
        <f t="shared" si="6"/>
        <v>0</v>
      </c>
      <c r="BH279" s="193">
        <f t="shared" si="7"/>
        <v>0</v>
      </c>
      <c r="BI279" s="193">
        <f t="shared" si="8"/>
        <v>0</v>
      </c>
      <c r="BJ279" s="19" t="s">
        <v>79</v>
      </c>
      <c r="BK279" s="193">
        <f t="shared" si="9"/>
        <v>0</v>
      </c>
      <c r="BL279" s="19" t="s">
        <v>281</v>
      </c>
      <c r="BM279" s="192" t="s">
        <v>1494</v>
      </c>
    </row>
    <row r="280" spans="1:65" s="12" customFormat="1" ht="22.9" customHeight="1">
      <c r="B280" s="165"/>
      <c r="C280" s="166"/>
      <c r="D280" s="167" t="s">
        <v>71</v>
      </c>
      <c r="E280" s="179" t="s">
        <v>2593</v>
      </c>
      <c r="F280" s="179" t="s">
        <v>2594</v>
      </c>
      <c r="G280" s="166"/>
      <c r="H280" s="166"/>
      <c r="I280" s="169"/>
      <c r="J280" s="180">
        <f>BK280</f>
        <v>0</v>
      </c>
      <c r="K280" s="166"/>
      <c r="L280" s="171"/>
      <c r="M280" s="172"/>
      <c r="N280" s="173"/>
      <c r="O280" s="173"/>
      <c r="P280" s="174">
        <f>SUM(P281:P331)</f>
        <v>0</v>
      </c>
      <c r="Q280" s="173"/>
      <c r="R280" s="174">
        <f>SUM(R281:R331)</f>
        <v>0</v>
      </c>
      <c r="S280" s="173"/>
      <c r="T280" s="175">
        <f>SUM(T281:T331)</f>
        <v>0</v>
      </c>
      <c r="AR280" s="176" t="s">
        <v>82</v>
      </c>
      <c r="AT280" s="177" t="s">
        <v>71</v>
      </c>
      <c r="AU280" s="177" t="s">
        <v>79</v>
      </c>
      <c r="AY280" s="176" t="s">
        <v>380</v>
      </c>
      <c r="BK280" s="178">
        <f>SUM(BK281:BK331)</f>
        <v>0</v>
      </c>
    </row>
    <row r="281" spans="1:65" s="2" customFormat="1" ht="16.5" customHeight="1">
      <c r="A281" s="36"/>
      <c r="B281" s="37"/>
      <c r="C281" s="181" t="s">
        <v>963</v>
      </c>
      <c r="D281" s="181" t="s">
        <v>382</v>
      </c>
      <c r="E281" s="182" t="s">
        <v>2595</v>
      </c>
      <c r="F281" s="183" t="s">
        <v>2596</v>
      </c>
      <c r="G281" s="184" t="s">
        <v>641</v>
      </c>
      <c r="H281" s="185">
        <v>44</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281</v>
      </c>
      <c r="AT281" s="192" t="s">
        <v>382</v>
      </c>
      <c r="AU281" s="192" t="s">
        <v>82</v>
      </c>
      <c r="AY281" s="19" t="s">
        <v>380</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281</v>
      </c>
      <c r="BM281" s="192" t="s">
        <v>1502</v>
      </c>
    </row>
    <row r="282" spans="1:65" s="2" customFormat="1" ht="16.5" customHeight="1">
      <c r="A282" s="36"/>
      <c r="B282" s="37"/>
      <c r="C282" s="181" t="s">
        <v>967</v>
      </c>
      <c r="D282" s="181" t="s">
        <v>382</v>
      </c>
      <c r="E282" s="182" t="s">
        <v>2597</v>
      </c>
      <c r="F282" s="183" t="s">
        <v>2598</v>
      </c>
      <c r="G282" s="184" t="s">
        <v>641</v>
      </c>
      <c r="H282" s="185">
        <v>10</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281</v>
      </c>
      <c r="AT282" s="192" t="s">
        <v>382</v>
      </c>
      <c r="AU282" s="192" t="s">
        <v>82</v>
      </c>
      <c r="AY282" s="19" t="s">
        <v>380</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281</v>
      </c>
      <c r="BM282" s="192" t="s">
        <v>1510</v>
      </c>
    </row>
    <row r="283" spans="1:65" s="2" customFormat="1" ht="16.5" customHeight="1">
      <c r="A283" s="36"/>
      <c r="B283" s="37"/>
      <c r="C283" s="227" t="s">
        <v>971</v>
      </c>
      <c r="D283" s="227" t="s">
        <v>465</v>
      </c>
      <c r="E283" s="228" t="s">
        <v>2599</v>
      </c>
      <c r="F283" s="229" t="s">
        <v>2600</v>
      </c>
      <c r="G283" s="230" t="s">
        <v>2393</v>
      </c>
      <c r="H283" s="231">
        <v>6</v>
      </c>
      <c r="I283" s="232"/>
      <c r="J283" s="233">
        <f>ROUND(I283*H283,2)</f>
        <v>0</v>
      </c>
      <c r="K283" s="229" t="s">
        <v>19</v>
      </c>
      <c r="L283" s="234"/>
      <c r="M283" s="235" t="s">
        <v>19</v>
      </c>
      <c r="N283" s="236" t="s">
        <v>43</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546</v>
      </c>
      <c r="AT283" s="192" t="s">
        <v>465</v>
      </c>
      <c r="AU283" s="192" t="s">
        <v>82</v>
      </c>
      <c r="AY283" s="19" t="s">
        <v>380</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281</v>
      </c>
      <c r="BM283" s="192" t="s">
        <v>1519</v>
      </c>
    </row>
    <row r="284" spans="1:65" s="2" customFormat="1" ht="29.25">
      <c r="A284" s="36"/>
      <c r="B284" s="37"/>
      <c r="C284" s="38"/>
      <c r="D284" s="196" t="s">
        <v>1226</v>
      </c>
      <c r="E284" s="38"/>
      <c r="F284" s="248" t="s">
        <v>2601</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1226</v>
      </c>
      <c r="AU284" s="19" t="s">
        <v>82</v>
      </c>
    </row>
    <row r="285" spans="1:65" s="2" customFormat="1" ht="16.5" customHeight="1">
      <c r="A285" s="36"/>
      <c r="B285" s="37"/>
      <c r="C285" s="227" t="s">
        <v>975</v>
      </c>
      <c r="D285" s="227" t="s">
        <v>465</v>
      </c>
      <c r="E285" s="228" t="s">
        <v>2602</v>
      </c>
      <c r="F285" s="229" t="s">
        <v>2603</v>
      </c>
      <c r="G285" s="230" t="s">
        <v>2393</v>
      </c>
      <c r="H285" s="231">
        <v>2</v>
      </c>
      <c r="I285" s="232"/>
      <c r="J285" s="233">
        <f>ROUND(I285*H285,2)</f>
        <v>0</v>
      </c>
      <c r="K285" s="229" t="s">
        <v>19</v>
      </c>
      <c r="L285" s="234"/>
      <c r="M285" s="235" t="s">
        <v>19</v>
      </c>
      <c r="N285" s="236" t="s">
        <v>43</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546</v>
      </c>
      <c r="AT285" s="192" t="s">
        <v>465</v>
      </c>
      <c r="AU285" s="192" t="s">
        <v>82</v>
      </c>
      <c r="AY285" s="19" t="s">
        <v>380</v>
      </c>
      <c r="BE285" s="193">
        <f>IF(N285="základní",J285,0)</f>
        <v>0</v>
      </c>
      <c r="BF285" s="193">
        <f>IF(N285="snížená",J285,0)</f>
        <v>0</v>
      </c>
      <c r="BG285" s="193">
        <f>IF(N285="zákl. přenesená",J285,0)</f>
        <v>0</v>
      </c>
      <c r="BH285" s="193">
        <f>IF(N285="sníž. přenesená",J285,0)</f>
        <v>0</v>
      </c>
      <c r="BI285" s="193">
        <f>IF(N285="nulová",J285,0)</f>
        <v>0</v>
      </c>
      <c r="BJ285" s="19" t="s">
        <v>79</v>
      </c>
      <c r="BK285" s="193">
        <f>ROUND(I285*H285,2)</f>
        <v>0</v>
      </c>
      <c r="BL285" s="19" t="s">
        <v>281</v>
      </c>
      <c r="BM285" s="192" t="s">
        <v>1538</v>
      </c>
    </row>
    <row r="286" spans="1:65" s="2" customFormat="1" ht="29.25">
      <c r="A286" s="36"/>
      <c r="B286" s="37"/>
      <c r="C286" s="38"/>
      <c r="D286" s="196" t="s">
        <v>1226</v>
      </c>
      <c r="E286" s="38"/>
      <c r="F286" s="248" t="s">
        <v>2604</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1226</v>
      </c>
      <c r="AU286" s="19" t="s">
        <v>82</v>
      </c>
    </row>
    <row r="287" spans="1:65" s="2" customFormat="1" ht="16.5" customHeight="1">
      <c r="A287" s="36"/>
      <c r="B287" s="37"/>
      <c r="C287" s="227" t="s">
        <v>979</v>
      </c>
      <c r="D287" s="227" t="s">
        <v>465</v>
      </c>
      <c r="E287" s="228" t="s">
        <v>2605</v>
      </c>
      <c r="F287" s="229" t="s">
        <v>2606</v>
      </c>
      <c r="G287" s="230" t="s">
        <v>2393</v>
      </c>
      <c r="H287" s="231">
        <v>1</v>
      </c>
      <c r="I287" s="232"/>
      <c r="J287" s="233">
        <f>ROUND(I287*H287,2)</f>
        <v>0</v>
      </c>
      <c r="K287" s="229" t="s">
        <v>19</v>
      </c>
      <c r="L287" s="234"/>
      <c r="M287" s="235" t="s">
        <v>19</v>
      </c>
      <c r="N287" s="236" t="s">
        <v>43</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546</v>
      </c>
      <c r="AT287" s="192" t="s">
        <v>465</v>
      </c>
      <c r="AU287" s="192" t="s">
        <v>82</v>
      </c>
      <c r="AY287" s="19" t="s">
        <v>380</v>
      </c>
      <c r="BE287" s="193">
        <f>IF(N287="základní",J287,0)</f>
        <v>0</v>
      </c>
      <c r="BF287" s="193">
        <f>IF(N287="snížená",J287,0)</f>
        <v>0</v>
      </c>
      <c r="BG287" s="193">
        <f>IF(N287="zákl. přenesená",J287,0)</f>
        <v>0</v>
      </c>
      <c r="BH287" s="193">
        <f>IF(N287="sníž. přenesená",J287,0)</f>
        <v>0</v>
      </c>
      <c r="BI287" s="193">
        <f>IF(N287="nulová",J287,0)</f>
        <v>0</v>
      </c>
      <c r="BJ287" s="19" t="s">
        <v>79</v>
      </c>
      <c r="BK287" s="193">
        <f>ROUND(I287*H287,2)</f>
        <v>0</v>
      </c>
      <c r="BL287" s="19" t="s">
        <v>281</v>
      </c>
      <c r="BM287" s="192" t="s">
        <v>1548</v>
      </c>
    </row>
    <row r="288" spans="1:65" s="2" customFormat="1" ht="29.25">
      <c r="A288" s="36"/>
      <c r="B288" s="37"/>
      <c r="C288" s="38"/>
      <c r="D288" s="196" t="s">
        <v>1226</v>
      </c>
      <c r="E288" s="38"/>
      <c r="F288" s="248" t="s">
        <v>2607</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1226</v>
      </c>
      <c r="AU288" s="19" t="s">
        <v>82</v>
      </c>
    </row>
    <row r="289" spans="1:65" s="2" customFormat="1" ht="16.5" customHeight="1">
      <c r="A289" s="36"/>
      <c r="B289" s="37"/>
      <c r="C289" s="227" t="s">
        <v>983</v>
      </c>
      <c r="D289" s="227" t="s">
        <v>465</v>
      </c>
      <c r="E289" s="228" t="s">
        <v>2608</v>
      </c>
      <c r="F289" s="229" t="s">
        <v>2609</v>
      </c>
      <c r="G289" s="230" t="s">
        <v>2393</v>
      </c>
      <c r="H289" s="231">
        <v>1</v>
      </c>
      <c r="I289" s="232"/>
      <c r="J289" s="233">
        <f>ROUND(I289*H289,2)</f>
        <v>0</v>
      </c>
      <c r="K289" s="229" t="s">
        <v>19</v>
      </c>
      <c r="L289" s="234"/>
      <c r="M289" s="235" t="s">
        <v>19</v>
      </c>
      <c r="N289" s="236" t="s">
        <v>43</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546</v>
      </c>
      <c r="AT289" s="192" t="s">
        <v>465</v>
      </c>
      <c r="AU289" s="192" t="s">
        <v>82</v>
      </c>
      <c r="AY289" s="19" t="s">
        <v>380</v>
      </c>
      <c r="BE289" s="193">
        <f>IF(N289="základní",J289,0)</f>
        <v>0</v>
      </c>
      <c r="BF289" s="193">
        <f>IF(N289="snížená",J289,0)</f>
        <v>0</v>
      </c>
      <c r="BG289" s="193">
        <f>IF(N289="zákl. přenesená",J289,0)</f>
        <v>0</v>
      </c>
      <c r="BH289" s="193">
        <f>IF(N289="sníž. přenesená",J289,0)</f>
        <v>0</v>
      </c>
      <c r="BI289" s="193">
        <f>IF(N289="nulová",J289,0)</f>
        <v>0</v>
      </c>
      <c r="BJ289" s="19" t="s">
        <v>79</v>
      </c>
      <c r="BK289" s="193">
        <f>ROUND(I289*H289,2)</f>
        <v>0</v>
      </c>
      <c r="BL289" s="19" t="s">
        <v>281</v>
      </c>
      <c r="BM289" s="192" t="s">
        <v>1558</v>
      </c>
    </row>
    <row r="290" spans="1:65" s="2" customFormat="1" ht="29.25">
      <c r="A290" s="36"/>
      <c r="B290" s="37"/>
      <c r="C290" s="38"/>
      <c r="D290" s="196" t="s">
        <v>1226</v>
      </c>
      <c r="E290" s="38"/>
      <c r="F290" s="248" t="s">
        <v>2610</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1226</v>
      </c>
      <c r="AU290" s="19" t="s">
        <v>82</v>
      </c>
    </row>
    <row r="291" spans="1:65" s="2" customFormat="1" ht="16.5" customHeight="1">
      <c r="A291" s="36"/>
      <c r="B291" s="37"/>
      <c r="C291" s="181" t="s">
        <v>987</v>
      </c>
      <c r="D291" s="181" t="s">
        <v>382</v>
      </c>
      <c r="E291" s="182" t="s">
        <v>2611</v>
      </c>
      <c r="F291" s="183" t="s">
        <v>2612</v>
      </c>
      <c r="G291" s="184" t="s">
        <v>641</v>
      </c>
      <c r="H291" s="185">
        <v>22</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281</v>
      </c>
      <c r="AT291" s="192" t="s">
        <v>382</v>
      </c>
      <c r="AU291" s="192" t="s">
        <v>82</v>
      </c>
      <c r="AY291" s="19" t="s">
        <v>380</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281</v>
      </c>
      <c r="BM291" s="192" t="s">
        <v>1576</v>
      </c>
    </row>
    <row r="292" spans="1:65" s="2" customFormat="1" ht="24.2" customHeight="1">
      <c r="A292" s="36"/>
      <c r="B292" s="37"/>
      <c r="C292" s="227" t="s">
        <v>271</v>
      </c>
      <c r="D292" s="227" t="s">
        <v>465</v>
      </c>
      <c r="E292" s="228" t="s">
        <v>2613</v>
      </c>
      <c r="F292" s="229" t="s">
        <v>2614</v>
      </c>
      <c r="G292" s="230" t="s">
        <v>2393</v>
      </c>
      <c r="H292" s="231">
        <v>2</v>
      </c>
      <c r="I292" s="232"/>
      <c r="J292" s="233">
        <f>ROUND(I292*H292,2)</f>
        <v>0</v>
      </c>
      <c r="K292" s="229" t="s">
        <v>19</v>
      </c>
      <c r="L292" s="234"/>
      <c r="M292" s="235" t="s">
        <v>19</v>
      </c>
      <c r="N292" s="236" t="s">
        <v>43</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546</v>
      </c>
      <c r="AT292" s="192" t="s">
        <v>465</v>
      </c>
      <c r="AU292" s="192" t="s">
        <v>82</v>
      </c>
      <c r="AY292" s="19" t="s">
        <v>380</v>
      </c>
      <c r="BE292" s="193">
        <f>IF(N292="základní",J292,0)</f>
        <v>0</v>
      </c>
      <c r="BF292" s="193">
        <f>IF(N292="snížená",J292,0)</f>
        <v>0</v>
      </c>
      <c r="BG292" s="193">
        <f>IF(N292="zákl. přenesená",J292,0)</f>
        <v>0</v>
      </c>
      <c r="BH292" s="193">
        <f>IF(N292="sníž. přenesená",J292,0)</f>
        <v>0</v>
      </c>
      <c r="BI292" s="193">
        <f>IF(N292="nulová",J292,0)</f>
        <v>0</v>
      </c>
      <c r="BJ292" s="19" t="s">
        <v>79</v>
      </c>
      <c r="BK292" s="193">
        <f>ROUND(I292*H292,2)</f>
        <v>0</v>
      </c>
      <c r="BL292" s="19" t="s">
        <v>281</v>
      </c>
      <c r="BM292" s="192" t="s">
        <v>1587</v>
      </c>
    </row>
    <row r="293" spans="1:65" s="2" customFormat="1" ht="29.25">
      <c r="A293" s="36"/>
      <c r="B293" s="37"/>
      <c r="C293" s="38"/>
      <c r="D293" s="196" t="s">
        <v>1226</v>
      </c>
      <c r="E293" s="38"/>
      <c r="F293" s="248" t="s">
        <v>2615</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1226</v>
      </c>
      <c r="AU293" s="19" t="s">
        <v>82</v>
      </c>
    </row>
    <row r="294" spans="1:65" s="2" customFormat="1" ht="24.2" customHeight="1">
      <c r="A294" s="36"/>
      <c r="B294" s="37"/>
      <c r="C294" s="227" t="s">
        <v>995</v>
      </c>
      <c r="D294" s="227" t="s">
        <v>465</v>
      </c>
      <c r="E294" s="228" t="s">
        <v>2616</v>
      </c>
      <c r="F294" s="229" t="s">
        <v>2617</v>
      </c>
      <c r="G294" s="230" t="s">
        <v>2393</v>
      </c>
      <c r="H294" s="231">
        <v>1</v>
      </c>
      <c r="I294" s="232"/>
      <c r="J294" s="233">
        <f>ROUND(I294*H294,2)</f>
        <v>0</v>
      </c>
      <c r="K294" s="229" t="s">
        <v>19</v>
      </c>
      <c r="L294" s="234"/>
      <c r="M294" s="235" t="s">
        <v>19</v>
      </c>
      <c r="N294" s="236" t="s">
        <v>43</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546</v>
      </c>
      <c r="AT294" s="192" t="s">
        <v>465</v>
      </c>
      <c r="AU294" s="192" t="s">
        <v>82</v>
      </c>
      <c r="AY294" s="19" t="s">
        <v>380</v>
      </c>
      <c r="BE294" s="193">
        <f>IF(N294="základní",J294,0)</f>
        <v>0</v>
      </c>
      <c r="BF294" s="193">
        <f>IF(N294="snížená",J294,0)</f>
        <v>0</v>
      </c>
      <c r="BG294" s="193">
        <f>IF(N294="zákl. přenesená",J294,0)</f>
        <v>0</v>
      </c>
      <c r="BH294" s="193">
        <f>IF(N294="sníž. přenesená",J294,0)</f>
        <v>0</v>
      </c>
      <c r="BI294" s="193">
        <f>IF(N294="nulová",J294,0)</f>
        <v>0</v>
      </c>
      <c r="BJ294" s="19" t="s">
        <v>79</v>
      </c>
      <c r="BK294" s="193">
        <f>ROUND(I294*H294,2)</f>
        <v>0</v>
      </c>
      <c r="BL294" s="19" t="s">
        <v>281</v>
      </c>
      <c r="BM294" s="192" t="s">
        <v>1598</v>
      </c>
    </row>
    <row r="295" spans="1:65" s="2" customFormat="1" ht="29.25">
      <c r="A295" s="36"/>
      <c r="B295" s="37"/>
      <c r="C295" s="38"/>
      <c r="D295" s="196" t="s">
        <v>1226</v>
      </c>
      <c r="E295" s="38"/>
      <c r="F295" s="248" t="s">
        <v>2618</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1226</v>
      </c>
      <c r="AU295" s="19" t="s">
        <v>82</v>
      </c>
    </row>
    <row r="296" spans="1:65" s="2" customFormat="1" ht="16.5" customHeight="1">
      <c r="A296" s="36"/>
      <c r="B296" s="37"/>
      <c r="C296" s="227" t="s">
        <v>151</v>
      </c>
      <c r="D296" s="227" t="s">
        <v>465</v>
      </c>
      <c r="E296" s="228" t="s">
        <v>2619</v>
      </c>
      <c r="F296" s="229" t="s">
        <v>2620</v>
      </c>
      <c r="G296" s="230" t="s">
        <v>2393</v>
      </c>
      <c r="H296" s="231">
        <v>1</v>
      </c>
      <c r="I296" s="232"/>
      <c r="J296" s="233">
        <f>ROUND(I296*H296,2)</f>
        <v>0</v>
      </c>
      <c r="K296" s="229" t="s">
        <v>19</v>
      </c>
      <c r="L296" s="234"/>
      <c r="M296" s="235" t="s">
        <v>19</v>
      </c>
      <c r="N296" s="236"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546</v>
      </c>
      <c r="AT296" s="192" t="s">
        <v>465</v>
      </c>
      <c r="AU296" s="192" t="s">
        <v>82</v>
      </c>
      <c r="AY296" s="19" t="s">
        <v>380</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281</v>
      </c>
      <c r="BM296" s="192" t="s">
        <v>1610</v>
      </c>
    </row>
    <row r="297" spans="1:65" s="2" customFormat="1" ht="29.25">
      <c r="A297" s="36"/>
      <c r="B297" s="37"/>
      <c r="C297" s="38"/>
      <c r="D297" s="196" t="s">
        <v>1226</v>
      </c>
      <c r="E297" s="38"/>
      <c r="F297" s="248" t="s">
        <v>2621</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1226</v>
      </c>
      <c r="AU297" s="19" t="s">
        <v>82</v>
      </c>
    </row>
    <row r="298" spans="1:65" s="2" customFormat="1" ht="16.5" customHeight="1">
      <c r="A298" s="36"/>
      <c r="B298" s="37"/>
      <c r="C298" s="227" t="s">
        <v>154</v>
      </c>
      <c r="D298" s="227" t="s">
        <v>465</v>
      </c>
      <c r="E298" s="228" t="s">
        <v>2622</v>
      </c>
      <c r="F298" s="229" t="s">
        <v>2623</v>
      </c>
      <c r="G298" s="230" t="s">
        <v>2393</v>
      </c>
      <c r="H298" s="231">
        <v>1</v>
      </c>
      <c r="I298" s="232"/>
      <c r="J298" s="233">
        <f>ROUND(I298*H298,2)</f>
        <v>0</v>
      </c>
      <c r="K298" s="229" t="s">
        <v>19</v>
      </c>
      <c r="L298" s="234"/>
      <c r="M298" s="235" t="s">
        <v>19</v>
      </c>
      <c r="N298" s="236"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546</v>
      </c>
      <c r="AT298" s="192" t="s">
        <v>465</v>
      </c>
      <c r="AU298" s="192" t="s">
        <v>82</v>
      </c>
      <c r="AY298" s="19" t="s">
        <v>380</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281</v>
      </c>
      <c r="BM298" s="192" t="s">
        <v>1639</v>
      </c>
    </row>
    <row r="299" spans="1:65" s="2" customFormat="1" ht="29.25">
      <c r="A299" s="36"/>
      <c r="B299" s="37"/>
      <c r="C299" s="38"/>
      <c r="D299" s="196" t="s">
        <v>1226</v>
      </c>
      <c r="E299" s="38"/>
      <c r="F299" s="248" t="s">
        <v>2624</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1226</v>
      </c>
      <c r="AU299" s="19" t="s">
        <v>82</v>
      </c>
    </row>
    <row r="300" spans="1:65" s="2" customFormat="1" ht="16.5" customHeight="1">
      <c r="A300" s="36"/>
      <c r="B300" s="37"/>
      <c r="C300" s="227" t="s">
        <v>157</v>
      </c>
      <c r="D300" s="227" t="s">
        <v>465</v>
      </c>
      <c r="E300" s="228" t="s">
        <v>2625</v>
      </c>
      <c r="F300" s="229" t="s">
        <v>2626</v>
      </c>
      <c r="G300" s="230" t="s">
        <v>2393</v>
      </c>
      <c r="H300" s="231">
        <v>1</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546</v>
      </c>
      <c r="AT300" s="192" t="s">
        <v>465</v>
      </c>
      <c r="AU300" s="192" t="s">
        <v>82</v>
      </c>
      <c r="AY300" s="19" t="s">
        <v>380</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281</v>
      </c>
      <c r="BM300" s="192" t="s">
        <v>1649</v>
      </c>
    </row>
    <row r="301" spans="1:65" s="2" customFormat="1" ht="29.25">
      <c r="A301" s="36"/>
      <c r="B301" s="37"/>
      <c r="C301" s="38"/>
      <c r="D301" s="196" t="s">
        <v>1226</v>
      </c>
      <c r="E301" s="38"/>
      <c r="F301" s="248" t="s">
        <v>2627</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1226</v>
      </c>
      <c r="AU301" s="19" t="s">
        <v>82</v>
      </c>
    </row>
    <row r="302" spans="1:65" s="2" customFormat="1" ht="16.5" customHeight="1">
      <c r="A302" s="36"/>
      <c r="B302" s="37"/>
      <c r="C302" s="227" t="s">
        <v>160</v>
      </c>
      <c r="D302" s="227" t="s">
        <v>465</v>
      </c>
      <c r="E302" s="228" t="s">
        <v>2628</v>
      </c>
      <c r="F302" s="229" t="s">
        <v>2629</v>
      </c>
      <c r="G302" s="230" t="s">
        <v>2393</v>
      </c>
      <c r="H302" s="231">
        <v>6</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546</v>
      </c>
      <c r="AT302" s="192" t="s">
        <v>465</v>
      </c>
      <c r="AU302" s="192" t="s">
        <v>82</v>
      </c>
      <c r="AY302" s="19" t="s">
        <v>380</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281</v>
      </c>
      <c r="BM302" s="192" t="s">
        <v>190</v>
      </c>
    </row>
    <row r="303" spans="1:65" s="2" customFormat="1" ht="29.25">
      <c r="A303" s="36"/>
      <c r="B303" s="37"/>
      <c r="C303" s="38"/>
      <c r="D303" s="196" t="s">
        <v>1226</v>
      </c>
      <c r="E303" s="38"/>
      <c r="F303" s="248" t="s">
        <v>2630</v>
      </c>
      <c r="G303" s="38"/>
      <c r="H303" s="38"/>
      <c r="I303" s="249"/>
      <c r="J303" s="38"/>
      <c r="K303" s="38"/>
      <c r="L303" s="41"/>
      <c r="M303" s="250"/>
      <c r="N303" s="251"/>
      <c r="O303" s="66"/>
      <c r="P303" s="66"/>
      <c r="Q303" s="66"/>
      <c r="R303" s="66"/>
      <c r="S303" s="66"/>
      <c r="T303" s="67"/>
      <c r="U303" s="36"/>
      <c r="V303" s="36"/>
      <c r="W303" s="36"/>
      <c r="X303" s="36"/>
      <c r="Y303" s="36"/>
      <c r="Z303" s="36"/>
      <c r="AA303" s="36"/>
      <c r="AB303" s="36"/>
      <c r="AC303" s="36"/>
      <c r="AD303" s="36"/>
      <c r="AE303" s="36"/>
      <c r="AT303" s="19" t="s">
        <v>1226</v>
      </c>
      <c r="AU303" s="19" t="s">
        <v>82</v>
      </c>
    </row>
    <row r="304" spans="1:65" s="2" customFormat="1" ht="16.5" customHeight="1">
      <c r="A304" s="36"/>
      <c r="B304" s="37"/>
      <c r="C304" s="227" t="s">
        <v>1016</v>
      </c>
      <c r="D304" s="227" t="s">
        <v>465</v>
      </c>
      <c r="E304" s="228" t="s">
        <v>2631</v>
      </c>
      <c r="F304" s="229" t="s">
        <v>2632</v>
      </c>
      <c r="G304" s="230" t="s">
        <v>2393</v>
      </c>
      <c r="H304" s="231">
        <v>1</v>
      </c>
      <c r="I304" s="232"/>
      <c r="J304" s="233">
        <f>ROUND(I304*H304,2)</f>
        <v>0</v>
      </c>
      <c r="K304" s="229" t="s">
        <v>19</v>
      </c>
      <c r="L304" s="234"/>
      <c r="M304" s="235" t="s">
        <v>19</v>
      </c>
      <c r="N304" s="236"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546</v>
      </c>
      <c r="AT304" s="192" t="s">
        <v>465</v>
      </c>
      <c r="AU304" s="192" t="s">
        <v>82</v>
      </c>
      <c r="AY304" s="19" t="s">
        <v>380</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281</v>
      </c>
      <c r="BM304" s="192" t="s">
        <v>1667</v>
      </c>
    </row>
    <row r="305" spans="1:65" s="2" customFormat="1" ht="29.25">
      <c r="A305" s="36"/>
      <c r="B305" s="37"/>
      <c r="C305" s="38"/>
      <c r="D305" s="196" t="s">
        <v>1226</v>
      </c>
      <c r="E305" s="38"/>
      <c r="F305" s="248" t="s">
        <v>2633</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1226</v>
      </c>
      <c r="AU305" s="19" t="s">
        <v>82</v>
      </c>
    </row>
    <row r="306" spans="1:65" s="2" customFormat="1" ht="16.5" customHeight="1">
      <c r="A306" s="36"/>
      <c r="B306" s="37"/>
      <c r="C306" s="227" t="s">
        <v>163</v>
      </c>
      <c r="D306" s="227" t="s">
        <v>465</v>
      </c>
      <c r="E306" s="228" t="s">
        <v>2634</v>
      </c>
      <c r="F306" s="229" t="s">
        <v>2635</v>
      </c>
      <c r="G306" s="230" t="s">
        <v>2393</v>
      </c>
      <c r="H306" s="231">
        <v>1</v>
      </c>
      <c r="I306" s="232"/>
      <c r="J306" s="233">
        <f>ROUND(I306*H306,2)</f>
        <v>0</v>
      </c>
      <c r="K306" s="229" t="s">
        <v>19</v>
      </c>
      <c r="L306" s="234"/>
      <c r="M306" s="235" t="s">
        <v>19</v>
      </c>
      <c r="N306" s="236" t="s">
        <v>43</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546</v>
      </c>
      <c r="AT306" s="192" t="s">
        <v>465</v>
      </c>
      <c r="AU306" s="192" t="s">
        <v>82</v>
      </c>
      <c r="AY306" s="19" t="s">
        <v>380</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281</v>
      </c>
      <c r="BM306" s="192" t="s">
        <v>1675</v>
      </c>
    </row>
    <row r="307" spans="1:65" s="2" customFormat="1" ht="29.25">
      <c r="A307" s="36"/>
      <c r="B307" s="37"/>
      <c r="C307" s="38"/>
      <c r="D307" s="196" t="s">
        <v>1226</v>
      </c>
      <c r="E307" s="38"/>
      <c r="F307" s="248" t="s">
        <v>2636</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1226</v>
      </c>
      <c r="AU307" s="19" t="s">
        <v>82</v>
      </c>
    </row>
    <row r="308" spans="1:65" s="2" customFormat="1" ht="16.5" customHeight="1">
      <c r="A308" s="36"/>
      <c r="B308" s="37"/>
      <c r="C308" s="227" t="s">
        <v>1024</v>
      </c>
      <c r="D308" s="227" t="s">
        <v>465</v>
      </c>
      <c r="E308" s="228" t="s">
        <v>2637</v>
      </c>
      <c r="F308" s="229" t="s">
        <v>2638</v>
      </c>
      <c r="G308" s="230" t="s">
        <v>2393</v>
      </c>
      <c r="H308" s="231">
        <v>2</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546</v>
      </c>
      <c r="AT308" s="192" t="s">
        <v>465</v>
      </c>
      <c r="AU308" s="192" t="s">
        <v>82</v>
      </c>
      <c r="AY308" s="19" t="s">
        <v>380</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281</v>
      </c>
      <c r="BM308" s="192" t="s">
        <v>1693</v>
      </c>
    </row>
    <row r="309" spans="1:65" s="2" customFormat="1" ht="29.25">
      <c r="A309" s="36"/>
      <c r="B309" s="37"/>
      <c r="C309" s="38"/>
      <c r="D309" s="196" t="s">
        <v>1226</v>
      </c>
      <c r="E309" s="38"/>
      <c r="F309" s="248" t="s">
        <v>2639</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1226</v>
      </c>
      <c r="AU309" s="19" t="s">
        <v>82</v>
      </c>
    </row>
    <row r="310" spans="1:65" s="2" customFormat="1" ht="16.5" customHeight="1">
      <c r="A310" s="36"/>
      <c r="B310" s="37"/>
      <c r="C310" s="227" t="s">
        <v>1029</v>
      </c>
      <c r="D310" s="227" t="s">
        <v>465</v>
      </c>
      <c r="E310" s="228" t="s">
        <v>2640</v>
      </c>
      <c r="F310" s="229" t="s">
        <v>2641</v>
      </c>
      <c r="G310" s="230" t="s">
        <v>2393</v>
      </c>
      <c r="H310" s="231">
        <v>1</v>
      </c>
      <c r="I310" s="232"/>
      <c r="J310" s="233">
        <f>ROUND(I310*H310,2)</f>
        <v>0</v>
      </c>
      <c r="K310" s="229" t="s">
        <v>19</v>
      </c>
      <c r="L310" s="234"/>
      <c r="M310" s="235" t="s">
        <v>19</v>
      </c>
      <c r="N310" s="236" t="s">
        <v>43</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546</v>
      </c>
      <c r="AT310" s="192" t="s">
        <v>465</v>
      </c>
      <c r="AU310" s="192" t="s">
        <v>82</v>
      </c>
      <c r="AY310" s="19" t="s">
        <v>380</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281</v>
      </c>
      <c r="BM310" s="192" t="s">
        <v>1705</v>
      </c>
    </row>
    <row r="311" spans="1:65" s="2" customFormat="1" ht="29.25">
      <c r="A311" s="36"/>
      <c r="B311" s="37"/>
      <c r="C311" s="38"/>
      <c r="D311" s="196" t="s">
        <v>1226</v>
      </c>
      <c r="E311" s="38"/>
      <c r="F311" s="248" t="s">
        <v>2642</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1226</v>
      </c>
      <c r="AU311" s="19" t="s">
        <v>82</v>
      </c>
    </row>
    <row r="312" spans="1:65" s="2" customFormat="1" ht="16.5" customHeight="1">
      <c r="A312" s="36"/>
      <c r="B312" s="37"/>
      <c r="C312" s="227" t="s">
        <v>1034</v>
      </c>
      <c r="D312" s="227" t="s">
        <v>465</v>
      </c>
      <c r="E312" s="228" t="s">
        <v>2643</v>
      </c>
      <c r="F312" s="229" t="s">
        <v>2644</v>
      </c>
      <c r="G312" s="230" t="s">
        <v>2393</v>
      </c>
      <c r="H312" s="231">
        <v>1</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546</v>
      </c>
      <c r="AT312" s="192" t="s">
        <v>465</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281</v>
      </c>
      <c r="BM312" s="192" t="s">
        <v>1715</v>
      </c>
    </row>
    <row r="313" spans="1:65" s="2" customFormat="1" ht="29.25">
      <c r="A313" s="36"/>
      <c r="B313" s="37"/>
      <c r="C313" s="38"/>
      <c r="D313" s="196" t="s">
        <v>1226</v>
      </c>
      <c r="E313" s="38"/>
      <c r="F313" s="248" t="s">
        <v>2645</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1226</v>
      </c>
      <c r="AU313" s="19" t="s">
        <v>82</v>
      </c>
    </row>
    <row r="314" spans="1:65" s="2" customFormat="1" ht="16.5" customHeight="1">
      <c r="A314" s="36"/>
      <c r="B314" s="37"/>
      <c r="C314" s="227" t="s">
        <v>1039</v>
      </c>
      <c r="D314" s="227" t="s">
        <v>465</v>
      </c>
      <c r="E314" s="228" t="s">
        <v>2646</v>
      </c>
      <c r="F314" s="229" t="s">
        <v>2647</v>
      </c>
      <c r="G314" s="230" t="s">
        <v>2393</v>
      </c>
      <c r="H314" s="231">
        <v>1</v>
      </c>
      <c r="I314" s="232"/>
      <c r="J314" s="233">
        <f>ROUND(I314*H314,2)</f>
        <v>0</v>
      </c>
      <c r="K314" s="229" t="s">
        <v>19</v>
      </c>
      <c r="L314" s="234"/>
      <c r="M314" s="235" t="s">
        <v>19</v>
      </c>
      <c r="N314" s="236"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546</v>
      </c>
      <c r="AT314" s="192" t="s">
        <v>465</v>
      </c>
      <c r="AU314" s="192" t="s">
        <v>82</v>
      </c>
      <c r="AY314" s="19" t="s">
        <v>380</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281</v>
      </c>
      <c r="BM314" s="192" t="s">
        <v>1726</v>
      </c>
    </row>
    <row r="315" spans="1:65" s="2" customFormat="1" ht="29.25">
      <c r="A315" s="36"/>
      <c r="B315" s="37"/>
      <c r="C315" s="38"/>
      <c r="D315" s="196" t="s">
        <v>1226</v>
      </c>
      <c r="E315" s="38"/>
      <c r="F315" s="248" t="s">
        <v>2648</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1226</v>
      </c>
      <c r="AU315" s="19" t="s">
        <v>82</v>
      </c>
    </row>
    <row r="316" spans="1:65" s="2" customFormat="1" ht="16.5" customHeight="1">
      <c r="A316" s="36"/>
      <c r="B316" s="37"/>
      <c r="C316" s="227" t="s">
        <v>1043</v>
      </c>
      <c r="D316" s="227" t="s">
        <v>465</v>
      </c>
      <c r="E316" s="228" t="s">
        <v>2649</v>
      </c>
      <c r="F316" s="229" t="s">
        <v>2650</v>
      </c>
      <c r="G316" s="230" t="s">
        <v>2393</v>
      </c>
      <c r="H316" s="231">
        <v>2</v>
      </c>
      <c r="I316" s="232"/>
      <c r="J316" s="233">
        <f>ROUND(I316*H316,2)</f>
        <v>0</v>
      </c>
      <c r="K316" s="229" t="s">
        <v>19</v>
      </c>
      <c r="L316" s="234"/>
      <c r="M316" s="235" t="s">
        <v>19</v>
      </c>
      <c r="N316" s="236" t="s">
        <v>43</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546</v>
      </c>
      <c r="AT316" s="192" t="s">
        <v>465</v>
      </c>
      <c r="AU316" s="192" t="s">
        <v>82</v>
      </c>
      <c r="AY316" s="19" t="s">
        <v>380</v>
      </c>
      <c r="BE316" s="193">
        <f>IF(N316="základní",J316,0)</f>
        <v>0</v>
      </c>
      <c r="BF316" s="193">
        <f>IF(N316="snížená",J316,0)</f>
        <v>0</v>
      </c>
      <c r="BG316" s="193">
        <f>IF(N316="zákl. přenesená",J316,0)</f>
        <v>0</v>
      </c>
      <c r="BH316" s="193">
        <f>IF(N316="sníž. přenesená",J316,0)</f>
        <v>0</v>
      </c>
      <c r="BI316" s="193">
        <f>IF(N316="nulová",J316,0)</f>
        <v>0</v>
      </c>
      <c r="BJ316" s="19" t="s">
        <v>79</v>
      </c>
      <c r="BK316" s="193">
        <f>ROUND(I316*H316,2)</f>
        <v>0</v>
      </c>
      <c r="BL316" s="19" t="s">
        <v>281</v>
      </c>
      <c r="BM316" s="192" t="s">
        <v>1736</v>
      </c>
    </row>
    <row r="317" spans="1:65" s="2" customFormat="1" ht="29.25">
      <c r="A317" s="36"/>
      <c r="B317" s="37"/>
      <c r="C317" s="38"/>
      <c r="D317" s="196" t="s">
        <v>1226</v>
      </c>
      <c r="E317" s="38"/>
      <c r="F317" s="248" t="s">
        <v>2651</v>
      </c>
      <c r="G317" s="38"/>
      <c r="H317" s="38"/>
      <c r="I317" s="249"/>
      <c r="J317" s="38"/>
      <c r="K317" s="38"/>
      <c r="L317" s="41"/>
      <c r="M317" s="250"/>
      <c r="N317" s="251"/>
      <c r="O317" s="66"/>
      <c r="P317" s="66"/>
      <c r="Q317" s="66"/>
      <c r="R317" s="66"/>
      <c r="S317" s="66"/>
      <c r="T317" s="67"/>
      <c r="U317" s="36"/>
      <c r="V317" s="36"/>
      <c r="W317" s="36"/>
      <c r="X317" s="36"/>
      <c r="Y317" s="36"/>
      <c r="Z317" s="36"/>
      <c r="AA317" s="36"/>
      <c r="AB317" s="36"/>
      <c r="AC317" s="36"/>
      <c r="AD317" s="36"/>
      <c r="AE317" s="36"/>
      <c r="AT317" s="19" t="s">
        <v>1226</v>
      </c>
      <c r="AU317" s="19" t="s">
        <v>82</v>
      </c>
    </row>
    <row r="318" spans="1:65" s="2" customFormat="1" ht="16.5" customHeight="1">
      <c r="A318" s="36"/>
      <c r="B318" s="37"/>
      <c r="C318" s="227" t="s">
        <v>1049</v>
      </c>
      <c r="D318" s="227" t="s">
        <v>465</v>
      </c>
      <c r="E318" s="228" t="s">
        <v>2652</v>
      </c>
      <c r="F318" s="229" t="s">
        <v>2653</v>
      </c>
      <c r="G318" s="230" t="s">
        <v>2393</v>
      </c>
      <c r="H318" s="231">
        <v>1</v>
      </c>
      <c r="I318" s="232"/>
      <c r="J318" s="233">
        <f>ROUND(I318*H318,2)</f>
        <v>0</v>
      </c>
      <c r="K318" s="229" t="s">
        <v>19</v>
      </c>
      <c r="L318" s="234"/>
      <c r="M318" s="235" t="s">
        <v>19</v>
      </c>
      <c r="N318" s="236"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546</v>
      </c>
      <c r="AT318" s="192" t="s">
        <v>465</v>
      </c>
      <c r="AU318" s="192" t="s">
        <v>82</v>
      </c>
      <c r="AY318" s="19" t="s">
        <v>380</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281</v>
      </c>
      <c r="BM318" s="192" t="s">
        <v>1746</v>
      </c>
    </row>
    <row r="319" spans="1:65" s="2" customFormat="1" ht="29.25">
      <c r="A319" s="36"/>
      <c r="B319" s="37"/>
      <c r="C319" s="38"/>
      <c r="D319" s="196" t="s">
        <v>1226</v>
      </c>
      <c r="E319" s="38"/>
      <c r="F319" s="248" t="s">
        <v>2654</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1226</v>
      </c>
      <c r="AU319" s="19" t="s">
        <v>82</v>
      </c>
    </row>
    <row r="320" spans="1:65" s="2" customFormat="1" ht="16.5" customHeight="1">
      <c r="A320" s="36"/>
      <c r="B320" s="37"/>
      <c r="C320" s="181" t="s">
        <v>1054</v>
      </c>
      <c r="D320" s="181" t="s">
        <v>382</v>
      </c>
      <c r="E320" s="182" t="s">
        <v>2655</v>
      </c>
      <c r="F320" s="183" t="s">
        <v>2656</v>
      </c>
      <c r="G320" s="184" t="s">
        <v>641</v>
      </c>
      <c r="H320" s="185">
        <v>4</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281</v>
      </c>
      <c r="AT320" s="192" t="s">
        <v>382</v>
      </c>
      <c r="AU320" s="192" t="s">
        <v>82</v>
      </c>
      <c r="AY320" s="19" t="s">
        <v>380</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281</v>
      </c>
      <c r="BM320" s="192" t="s">
        <v>1756</v>
      </c>
    </row>
    <row r="321" spans="1:65" s="2" customFormat="1" ht="16.5" customHeight="1">
      <c r="A321" s="36"/>
      <c r="B321" s="37"/>
      <c r="C321" s="227" t="s">
        <v>1059</v>
      </c>
      <c r="D321" s="227" t="s">
        <v>465</v>
      </c>
      <c r="E321" s="228" t="s">
        <v>2657</v>
      </c>
      <c r="F321" s="229" t="s">
        <v>2658</v>
      </c>
      <c r="G321" s="230" t="s">
        <v>2393</v>
      </c>
      <c r="H321" s="231">
        <v>2</v>
      </c>
      <c r="I321" s="232"/>
      <c r="J321" s="233">
        <f>ROUND(I321*H321,2)</f>
        <v>0</v>
      </c>
      <c r="K321" s="229" t="s">
        <v>19</v>
      </c>
      <c r="L321" s="234"/>
      <c r="M321" s="235" t="s">
        <v>19</v>
      </c>
      <c r="N321" s="236" t="s">
        <v>43</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546</v>
      </c>
      <c r="AT321" s="192" t="s">
        <v>465</v>
      </c>
      <c r="AU321" s="192" t="s">
        <v>82</v>
      </c>
      <c r="AY321" s="19" t="s">
        <v>380</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281</v>
      </c>
      <c r="BM321" s="192" t="s">
        <v>1771</v>
      </c>
    </row>
    <row r="322" spans="1:65" s="2" customFormat="1" ht="29.25">
      <c r="A322" s="36"/>
      <c r="B322" s="37"/>
      <c r="C322" s="38"/>
      <c r="D322" s="196" t="s">
        <v>1226</v>
      </c>
      <c r="E322" s="38"/>
      <c r="F322" s="248" t="s">
        <v>2659</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1226</v>
      </c>
      <c r="AU322" s="19" t="s">
        <v>82</v>
      </c>
    </row>
    <row r="323" spans="1:65" s="2" customFormat="1" ht="16.5" customHeight="1">
      <c r="A323" s="36"/>
      <c r="B323" s="37"/>
      <c r="C323" s="227" t="s">
        <v>1064</v>
      </c>
      <c r="D323" s="227" t="s">
        <v>465</v>
      </c>
      <c r="E323" s="228" t="s">
        <v>2660</v>
      </c>
      <c r="F323" s="229" t="s">
        <v>2661</v>
      </c>
      <c r="G323" s="230" t="s">
        <v>2393</v>
      </c>
      <c r="H323" s="231">
        <v>2</v>
      </c>
      <c r="I323" s="232"/>
      <c r="J323" s="233">
        <f>ROUND(I323*H323,2)</f>
        <v>0</v>
      </c>
      <c r="K323" s="229" t="s">
        <v>19</v>
      </c>
      <c r="L323" s="234"/>
      <c r="M323" s="235" t="s">
        <v>19</v>
      </c>
      <c r="N323" s="236" t="s">
        <v>43</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546</v>
      </c>
      <c r="AT323" s="192" t="s">
        <v>465</v>
      </c>
      <c r="AU323" s="192" t="s">
        <v>82</v>
      </c>
      <c r="AY323" s="19" t="s">
        <v>380</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281</v>
      </c>
      <c r="BM323" s="192" t="s">
        <v>1787</v>
      </c>
    </row>
    <row r="324" spans="1:65" s="2" customFormat="1" ht="29.25">
      <c r="A324" s="36"/>
      <c r="B324" s="37"/>
      <c r="C324" s="38"/>
      <c r="D324" s="196" t="s">
        <v>1226</v>
      </c>
      <c r="E324" s="38"/>
      <c r="F324" s="248" t="s">
        <v>2662</v>
      </c>
      <c r="G324" s="38"/>
      <c r="H324" s="38"/>
      <c r="I324" s="249"/>
      <c r="J324" s="38"/>
      <c r="K324" s="38"/>
      <c r="L324" s="41"/>
      <c r="M324" s="250"/>
      <c r="N324" s="251"/>
      <c r="O324" s="66"/>
      <c r="P324" s="66"/>
      <c r="Q324" s="66"/>
      <c r="R324" s="66"/>
      <c r="S324" s="66"/>
      <c r="T324" s="67"/>
      <c r="U324" s="36"/>
      <c r="V324" s="36"/>
      <c r="W324" s="36"/>
      <c r="X324" s="36"/>
      <c r="Y324" s="36"/>
      <c r="Z324" s="36"/>
      <c r="AA324" s="36"/>
      <c r="AB324" s="36"/>
      <c r="AC324" s="36"/>
      <c r="AD324" s="36"/>
      <c r="AE324" s="36"/>
      <c r="AT324" s="19" t="s">
        <v>1226</v>
      </c>
      <c r="AU324" s="19" t="s">
        <v>82</v>
      </c>
    </row>
    <row r="325" spans="1:65" s="2" customFormat="1" ht="16.5" customHeight="1">
      <c r="A325" s="36"/>
      <c r="B325" s="37"/>
      <c r="C325" s="181" t="s">
        <v>1068</v>
      </c>
      <c r="D325" s="181" t="s">
        <v>382</v>
      </c>
      <c r="E325" s="182" t="s">
        <v>2663</v>
      </c>
      <c r="F325" s="183" t="s">
        <v>2664</v>
      </c>
      <c r="G325" s="184" t="s">
        <v>641</v>
      </c>
      <c r="H325" s="185">
        <v>8</v>
      </c>
      <c r="I325" s="186"/>
      <c r="J325" s="187">
        <f>ROUND(I325*H325,2)</f>
        <v>0</v>
      </c>
      <c r="K325" s="183" t="s">
        <v>19</v>
      </c>
      <c r="L325" s="41"/>
      <c r="M325" s="188" t="s">
        <v>19</v>
      </c>
      <c r="N325" s="189" t="s">
        <v>43</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281</v>
      </c>
      <c r="AT325" s="192" t="s">
        <v>382</v>
      </c>
      <c r="AU325" s="192" t="s">
        <v>82</v>
      </c>
      <c r="AY325" s="19" t="s">
        <v>380</v>
      </c>
      <c r="BE325" s="193">
        <f>IF(N325="základní",J325,0)</f>
        <v>0</v>
      </c>
      <c r="BF325" s="193">
        <f>IF(N325="snížená",J325,0)</f>
        <v>0</v>
      </c>
      <c r="BG325" s="193">
        <f>IF(N325="zákl. přenesená",J325,0)</f>
        <v>0</v>
      </c>
      <c r="BH325" s="193">
        <f>IF(N325="sníž. přenesená",J325,0)</f>
        <v>0</v>
      </c>
      <c r="BI325" s="193">
        <f>IF(N325="nulová",J325,0)</f>
        <v>0</v>
      </c>
      <c r="BJ325" s="19" t="s">
        <v>79</v>
      </c>
      <c r="BK325" s="193">
        <f>ROUND(I325*H325,2)</f>
        <v>0</v>
      </c>
      <c r="BL325" s="19" t="s">
        <v>281</v>
      </c>
      <c r="BM325" s="192" t="s">
        <v>1800</v>
      </c>
    </row>
    <row r="326" spans="1:65" s="2" customFormat="1" ht="16.5" customHeight="1">
      <c r="A326" s="36"/>
      <c r="B326" s="37"/>
      <c r="C326" s="227" t="s">
        <v>1072</v>
      </c>
      <c r="D326" s="227" t="s">
        <v>465</v>
      </c>
      <c r="E326" s="228" t="s">
        <v>2665</v>
      </c>
      <c r="F326" s="229" t="s">
        <v>2666</v>
      </c>
      <c r="G326" s="230" t="s">
        <v>2393</v>
      </c>
      <c r="H326" s="231">
        <v>5</v>
      </c>
      <c r="I326" s="232"/>
      <c r="J326" s="233">
        <f>ROUND(I326*H326,2)</f>
        <v>0</v>
      </c>
      <c r="K326" s="229" t="s">
        <v>19</v>
      </c>
      <c r="L326" s="234"/>
      <c r="M326" s="235" t="s">
        <v>19</v>
      </c>
      <c r="N326" s="236"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546</v>
      </c>
      <c r="AT326" s="192" t="s">
        <v>465</v>
      </c>
      <c r="AU326" s="192" t="s">
        <v>82</v>
      </c>
      <c r="AY326" s="19" t="s">
        <v>380</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281</v>
      </c>
      <c r="BM326" s="192" t="s">
        <v>1809</v>
      </c>
    </row>
    <row r="327" spans="1:65" s="2" customFormat="1" ht="29.25">
      <c r="A327" s="36"/>
      <c r="B327" s="37"/>
      <c r="C327" s="38"/>
      <c r="D327" s="196" t="s">
        <v>1226</v>
      </c>
      <c r="E327" s="38"/>
      <c r="F327" s="248" t="s">
        <v>2667</v>
      </c>
      <c r="G327" s="38"/>
      <c r="H327" s="38"/>
      <c r="I327" s="249"/>
      <c r="J327" s="38"/>
      <c r="K327" s="38"/>
      <c r="L327" s="41"/>
      <c r="M327" s="250"/>
      <c r="N327" s="251"/>
      <c r="O327" s="66"/>
      <c r="P327" s="66"/>
      <c r="Q327" s="66"/>
      <c r="R327" s="66"/>
      <c r="S327" s="66"/>
      <c r="T327" s="67"/>
      <c r="U327" s="36"/>
      <c r="V327" s="36"/>
      <c r="W327" s="36"/>
      <c r="X327" s="36"/>
      <c r="Y327" s="36"/>
      <c r="Z327" s="36"/>
      <c r="AA327" s="36"/>
      <c r="AB327" s="36"/>
      <c r="AC327" s="36"/>
      <c r="AD327" s="36"/>
      <c r="AE327" s="36"/>
      <c r="AT327" s="19" t="s">
        <v>1226</v>
      </c>
      <c r="AU327" s="19" t="s">
        <v>82</v>
      </c>
    </row>
    <row r="328" spans="1:65" s="2" customFormat="1" ht="16.5" customHeight="1">
      <c r="A328" s="36"/>
      <c r="B328" s="37"/>
      <c r="C328" s="227" t="s">
        <v>1079</v>
      </c>
      <c r="D328" s="227" t="s">
        <v>465</v>
      </c>
      <c r="E328" s="228" t="s">
        <v>2668</v>
      </c>
      <c r="F328" s="229" t="s">
        <v>2669</v>
      </c>
      <c r="G328" s="230" t="s">
        <v>2393</v>
      </c>
      <c r="H328" s="231">
        <v>3</v>
      </c>
      <c r="I328" s="232"/>
      <c r="J328" s="233">
        <f>ROUND(I328*H328,2)</f>
        <v>0</v>
      </c>
      <c r="K328" s="229" t="s">
        <v>19</v>
      </c>
      <c r="L328" s="234"/>
      <c r="M328" s="235" t="s">
        <v>19</v>
      </c>
      <c r="N328" s="236" t="s">
        <v>43</v>
      </c>
      <c r="O328" s="66"/>
      <c r="P328" s="190">
        <f>O328*H328</f>
        <v>0</v>
      </c>
      <c r="Q328" s="190">
        <v>0</v>
      </c>
      <c r="R328" s="190">
        <f>Q328*H328</f>
        <v>0</v>
      </c>
      <c r="S328" s="190">
        <v>0</v>
      </c>
      <c r="T328" s="191">
        <f>S328*H328</f>
        <v>0</v>
      </c>
      <c r="U328" s="36"/>
      <c r="V328" s="36"/>
      <c r="W328" s="36"/>
      <c r="X328" s="36"/>
      <c r="Y328" s="36"/>
      <c r="Z328" s="36"/>
      <c r="AA328" s="36"/>
      <c r="AB328" s="36"/>
      <c r="AC328" s="36"/>
      <c r="AD328" s="36"/>
      <c r="AE328" s="36"/>
      <c r="AR328" s="192" t="s">
        <v>546</v>
      </c>
      <c r="AT328" s="192" t="s">
        <v>465</v>
      </c>
      <c r="AU328" s="192" t="s">
        <v>82</v>
      </c>
      <c r="AY328" s="19" t="s">
        <v>380</v>
      </c>
      <c r="BE328" s="193">
        <f>IF(N328="základní",J328,0)</f>
        <v>0</v>
      </c>
      <c r="BF328" s="193">
        <f>IF(N328="snížená",J328,0)</f>
        <v>0</v>
      </c>
      <c r="BG328" s="193">
        <f>IF(N328="zákl. přenesená",J328,0)</f>
        <v>0</v>
      </c>
      <c r="BH328" s="193">
        <f>IF(N328="sníž. přenesená",J328,0)</f>
        <v>0</v>
      </c>
      <c r="BI328" s="193">
        <f>IF(N328="nulová",J328,0)</f>
        <v>0</v>
      </c>
      <c r="BJ328" s="19" t="s">
        <v>79</v>
      </c>
      <c r="BK328" s="193">
        <f>ROUND(I328*H328,2)</f>
        <v>0</v>
      </c>
      <c r="BL328" s="19" t="s">
        <v>281</v>
      </c>
      <c r="BM328" s="192" t="s">
        <v>1821</v>
      </c>
    </row>
    <row r="329" spans="1:65" s="2" customFormat="1" ht="29.25">
      <c r="A329" s="36"/>
      <c r="B329" s="37"/>
      <c r="C329" s="38"/>
      <c r="D329" s="196" t="s">
        <v>1226</v>
      </c>
      <c r="E329" s="38"/>
      <c r="F329" s="248" t="s">
        <v>2670</v>
      </c>
      <c r="G329" s="38"/>
      <c r="H329" s="38"/>
      <c r="I329" s="249"/>
      <c r="J329" s="38"/>
      <c r="K329" s="38"/>
      <c r="L329" s="41"/>
      <c r="M329" s="250"/>
      <c r="N329" s="251"/>
      <c r="O329" s="66"/>
      <c r="P329" s="66"/>
      <c r="Q329" s="66"/>
      <c r="R329" s="66"/>
      <c r="S329" s="66"/>
      <c r="T329" s="67"/>
      <c r="U329" s="36"/>
      <c r="V329" s="36"/>
      <c r="W329" s="36"/>
      <c r="X329" s="36"/>
      <c r="Y329" s="36"/>
      <c r="Z329" s="36"/>
      <c r="AA329" s="36"/>
      <c r="AB329" s="36"/>
      <c r="AC329" s="36"/>
      <c r="AD329" s="36"/>
      <c r="AE329" s="36"/>
      <c r="AT329" s="19" t="s">
        <v>1226</v>
      </c>
      <c r="AU329" s="19" t="s">
        <v>82</v>
      </c>
    </row>
    <row r="330" spans="1:65" s="2" customFormat="1" ht="16.5" customHeight="1">
      <c r="A330" s="36"/>
      <c r="B330" s="37"/>
      <c r="C330" s="181" t="s">
        <v>1088</v>
      </c>
      <c r="D330" s="181" t="s">
        <v>382</v>
      </c>
      <c r="E330" s="182" t="s">
        <v>2671</v>
      </c>
      <c r="F330" s="183" t="s">
        <v>2672</v>
      </c>
      <c r="G330" s="184" t="s">
        <v>437</v>
      </c>
      <c r="H330" s="185">
        <v>1.9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281</v>
      </c>
      <c r="AT330" s="192" t="s">
        <v>382</v>
      </c>
      <c r="AU330" s="192" t="s">
        <v>82</v>
      </c>
      <c r="AY330" s="19" t="s">
        <v>380</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281</v>
      </c>
      <c r="BM330" s="192" t="s">
        <v>1831</v>
      </c>
    </row>
    <row r="331" spans="1:65" s="2" customFormat="1" ht="16.5" customHeight="1">
      <c r="A331" s="36"/>
      <c r="B331" s="37"/>
      <c r="C331" s="181" t="s">
        <v>1095</v>
      </c>
      <c r="D331" s="181" t="s">
        <v>382</v>
      </c>
      <c r="E331" s="182" t="s">
        <v>2673</v>
      </c>
      <c r="F331" s="183" t="s">
        <v>2674</v>
      </c>
      <c r="G331" s="184" t="s">
        <v>437</v>
      </c>
      <c r="H331" s="185">
        <v>1.9</v>
      </c>
      <c r="I331" s="186"/>
      <c r="J331" s="187">
        <f>ROUND(I331*H331,2)</f>
        <v>0</v>
      </c>
      <c r="K331" s="183" t="s">
        <v>19</v>
      </c>
      <c r="L331" s="41"/>
      <c r="M331" s="188" t="s">
        <v>19</v>
      </c>
      <c r="N331" s="189" t="s">
        <v>43</v>
      </c>
      <c r="O331" s="66"/>
      <c r="P331" s="190">
        <f>O331*H331</f>
        <v>0</v>
      </c>
      <c r="Q331" s="190">
        <v>0</v>
      </c>
      <c r="R331" s="190">
        <f>Q331*H331</f>
        <v>0</v>
      </c>
      <c r="S331" s="190">
        <v>0</v>
      </c>
      <c r="T331" s="191">
        <f>S331*H331</f>
        <v>0</v>
      </c>
      <c r="U331" s="36"/>
      <c r="V331" s="36"/>
      <c r="W331" s="36"/>
      <c r="X331" s="36"/>
      <c r="Y331" s="36"/>
      <c r="Z331" s="36"/>
      <c r="AA331" s="36"/>
      <c r="AB331" s="36"/>
      <c r="AC331" s="36"/>
      <c r="AD331" s="36"/>
      <c r="AE331" s="36"/>
      <c r="AR331" s="192" t="s">
        <v>281</v>
      </c>
      <c r="AT331" s="192" t="s">
        <v>382</v>
      </c>
      <c r="AU331" s="192" t="s">
        <v>82</v>
      </c>
      <c r="AY331" s="19" t="s">
        <v>380</v>
      </c>
      <c r="BE331" s="193">
        <f>IF(N331="základní",J331,0)</f>
        <v>0</v>
      </c>
      <c r="BF331" s="193">
        <f>IF(N331="snížená",J331,0)</f>
        <v>0</v>
      </c>
      <c r="BG331" s="193">
        <f>IF(N331="zákl. přenesená",J331,0)</f>
        <v>0</v>
      </c>
      <c r="BH331" s="193">
        <f>IF(N331="sníž. přenesená",J331,0)</f>
        <v>0</v>
      </c>
      <c r="BI331" s="193">
        <f>IF(N331="nulová",J331,0)</f>
        <v>0</v>
      </c>
      <c r="BJ331" s="19" t="s">
        <v>79</v>
      </c>
      <c r="BK331" s="193">
        <f>ROUND(I331*H331,2)</f>
        <v>0</v>
      </c>
      <c r="BL331" s="19" t="s">
        <v>281</v>
      </c>
      <c r="BM331" s="192" t="s">
        <v>1846</v>
      </c>
    </row>
    <row r="332" spans="1:65" s="12" customFormat="1" ht="22.9" customHeight="1">
      <c r="B332" s="165"/>
      <c r="C332" s="166"/>
      <c r="D332" s="167" t="s">
        <v>71</v>
      </c>
      <c r="E332" s="179" t="s">
        <v>2076</v>
      </c>
      <c r="F332" s="179" t="s">
        <v>2675</v>
      </c>
      <c r="G332" s="166"/>
      <c r="H332" s="166"/>
      <c r="I332" s="169"/>
      <c r="J332" s="180">
        <f>BK332</f>
        <v>0</v>
      </c>
      <c r="K332" s="166"/>
      <c r="L332" s="171"/>
      <c r="M332" s="172"/>
      <c r="N332" s="173"/>
      <c r="O332" s="173"/>
      <c r="P332" s="174">
        <f>SUM(P333:P338)</f>
        <v>0</v>
      </c>
      <c r="Q332" s="173"/>
      <c r="R332" s="174">
        <f>SUM(R333:R338)</f>
        <v>0</v>
      </c>
      <c r="S332" s="173"/>
      <c r="T332" s="175">
        <f>SUM(T333:T338)</f>
        <v>0</v>
      </c>
      <c r="AR332" s="176" t="s">
        <v>82</v>
      </c>
      <c r="AT332" s="177" t="s">
        <v>71</v>
      </c>
      <c r="AU332" s="177" t="s">
        <v>79</v>
      </c>
      <c r="AY332" s="176" t="s">
        <v>380</v>
      </c>
      <c r="BK332" s="178">
        <f>SUM(BK333:BK338)</f>
        <v>0</v>
      </c>
    </row>
    <row r="333" spans="1:65" s="2" customFormat="1" ht="16.5" customHeight="1">
      <c r="A333" s="36"/>
      <c r="B333" s="37"/>
      <c r="C333" s="181" t="s">
        <v>1107</v>
      </c>
      <c r="D333" s="181" t="s">
        <v>382</v>
      </c>
      <c r="E333" s="182" t="s">
        <v>2676</v>
      </c>
      <c r="F333" s="183" t="s">
        <v>2677</v>
      </c>
      <c r="G333" s="184" t="s">
        <v>2678</v>
      </c>
      <c r="H333" s="185">
        <v>258.5</v>
      </c>
      <c r="I333" s="186"/>
      <c r="J333" s="187">
        <f>ROUND(I333*H333,2)</f>
        <v>0</v>
      </c>
      <c r="K333" s="183" t="s">
        <v>19</v>
      </c>
      <c r="L333" s="41"/>
      <c r="M333" s="188" t="s">
        <v>19</v>
      </c>
      <c r="N333" s="189" t="s">
        <v>43</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281</v>
      </c>
      <c r="AT333" s="192" t="s">
        <v>382</v>
      </c>
      <c r="AU333" s="192" t="s">
        <v>82</v>
      </c>
      <c r="AY333" s="19" t="s">
        <v>380</v>
      </c>
      <c r="BE333" s="193">
        <f>IF(N333="základní",J333,0)</f>
        <v>0</v>
      </c>
      <c r="BF333" s="193">
        <f>IF(N333="snížená",J333,0)</f>
        <v>0</v>
      </c>
      <c r="BG333" s="193">
        <f>IF(N333="zákl. přenesená",J333,0)</f>
        <v>0</v>
      </c>
      <c r="BH333" s="193">
        <f>IF(N333="sníž. přenesená",J333,0)</f>
        <v>0</v>
      </c>
      <c r="BI333" s="193">
        <f>IF(N333="nulová",J333,0)</f>
        <v>0</v>
      </c>
      <c r="BJ333" s="19" t="s">
        <v>79</v>
      </c>
      <c r="BK333" s="193">
        <f>ROUND(I333*H333,2)</f>
        <v>0</v>
      </c>
      <c r="BL333" s="19" t="s">
        <v>281</v>
      </c>
      <c r="BM333" s="192" t="s">
        <v>1855</v>
      </c>
    </row>
    <row r="334" spans="1:65" s="2" customFormat="1" ht="16.5" customHeight="1">
      <c r="A334" s="36"/>
      <c r="B334" s="37"/>
      <c r="C334" s="227" t="s">
        <v>1112</v>
      </c>
      <c r="D334" s="227" t="s">
        <v>465</v>
      </c>
      <c r="E334" s="228" t="s">
        <v>2679</v>
      </c>
      <c r="F334" s="229" t="s">
        <v>2680</v>
      </c>
      <c r="G334" s="230" t="s">
        <v>2678</v>
      </c>
      <c r="H334" s="231">
        <v>258.5</v>
      </c>
      <c r="I334" s="232"/>
      <c r="J334" s="233">
        <f>ROUND(I334*H334,2)</f>
        <v>0</v>
      </c>
      <c r="K334" s="229" t="s">
        <v>19</v>
      </c>
      <c r="L334" s="234"/>
      <c r="M334" s="235" t="s">
        <v>19</v>
      </c>
      <c r="N334" s="236"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546</v>
      </c>
      <c r="AT334" s="192" t="s">
        <v>465</v>
      </c>
      <c r="AU334" s="192" t="s">
        <v>82</v>
      </c>
      <c r="AY334" s="19" t="s">
        <v>380</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281</v>
      </c>
      <c r="BM334" s="192" t="s">
        <v>1865</v>
      </c>
    </row>
    <row r="335" spans="1:65" s="2" customFormat="1" ht="19.5">
      <c r="A335" s="36"/>
      <c r="B335" s="37"/>
      <c r="C335" s="38"/>
      <c r="D335" s="196" t="s">
        <v>1226</v>
      </c>
      <c r="E335" s="38"/>
      <c r="F335" s="248" t="s">
        <v>2681</v>
      </c>
      <c r="G335" s="38"/>
      <c r="H335" s="38"/>
      <c r="I335" s="249"/>
      <c r="J335" s="38"/>
      <c r="K335" s="38"/>
      <c r="L335" s="41"/>
      <c r="M335" s="250"/>
      <c r="N335" s="251"/>
      <c r="O335" s="66"/>
      <c r="P335" s="66"/>
      <c r="Q335" s="66"/>
      <c r="R335" s="66"/>
      <c r="S335" s="66"/>
      <c r="T335" s="67"/>
      <c r="U335" s="36"/>
      <c r="V335" s="36"/>
      <c r="W335" s="36"/>
      <c r="X335" s="36"/>
      <c r="Y335" s="36"/>
      <c r="Z335" s="36"/>
      <c r="AA335" s="36"/>
      <c r="AB335" s="36"/>
      <c r="AC335" s="36"/>
      <c r="AD335" s="36"/>
      <c r="AE335" s="36"/>
      <c r="AT335" s="19" t="s">
        <v>1226</v>
      </c>
      <c r="AU335" s="19" t="s">
        <v>82</v>
      </c>
    </row>
    <row r="336" spans="1:65" s="13" customFormat="1" ht="11.25">
      <c r="B336" s="194"/>
      <c r="C336" s="195"/>
      <c r="D336" s="196" t="s">
        <v>388</v>
      </c>
      <c r="E336" s="197" t="s">
        <v>19</v>
      </c>
      <c r="F336" s="198" t="s">
        <v>2682</v>
      </c>
      <c r="G336" s="195"/>
      <c r="H336" s="197" t="s">
        <v>19</v>
      </c>
      <c r="I336" s="199"/>
      <c r="J336" s="195"/>
      <c r="K336" s="195"/>
      <c r="L336" s="200"/>
      <c r="M336" s="201"/>
      <c r="N336" s="202"/>
      <c r="O336" s="202"/>
      <c r="P336" s="202"/>
      <c r="Q336" s="202"/>
      <c r="R336" s="202"/>
      <c r="S336" s="202"/>
      <c r="T336" s="203"/>
      <c r="AT336" s="204" t="s">
        <v>388</v>
      </c>
      <c r="AU336" s="204" t="s">
        <v>82</v>
      </c>
      <c r="AV336" s="13" t="s">
        <v>79</v>
      </c>
      <c r="AW336" s="13" t="s">
        <v>33</v>
      </c>
      <c r="AX336" s="13" t="s">
        <v>72</v>
      </c>
      <c r="AY336" s="204" t="s">
        <v>380</v>
      </c>
    </row>
    <row r="337" spans="1:65" s="14" customFormat="1" ht="11.25">
      <c r="B337" s="205"/>
      <c r="C337" s="206"/>
      <c r="D337" s="196" t="s">
        <v>388</v>
      </c>
      <c r="E337" s="207" t="s">
        <v>19</v>
      </c>
      <c r="F337" s="208" t="s">
        <v>2683</v>
      </c>
      <c r="G337" s="206"/>
      <c r="H337" s="209">
        <v>258.5</v>
      </c>
      <c r="I337" s="210"/>
      <c r="J337" s="206"/>
      <c r="K337" s="206"/>
      <c r="L337" s="211"/>
      <c r="M337" s="212"/>
      <c r="N337" s="213"/>
      <c r="O337" s="213"/>
      <c r="P337" s="213"/>
      <c r="Q337" s="213"/>
      <c r="R337" s="213"/>
      <c r="S337" s="213"/>
      <c r="T337" s="214"/>
      <c r="AT337" s="215" t="s">
        <v>388</v>
      </c>
      <c r="AU337" s="215" t="s">
        <v>82</v>
      </c>
      <c r="AV337" s="14" t="s">
        <v>82</v>
      </c>
      <c r="AW337" s="14" t="s">
        <v>33</v>
      </c>
      <c r="AX337" s="14" t="s">
        <v>72</v>
      </c>
      <c r="AY337" s="215" t="s">
        <v>380</v>
      </c>
    </row>
    <row r="338" spans="1:65" s="15" customFormat="1" ht="11.25">
      <c r="B338" s="216"/>
      <c r="C338" s="217"/>
      <c r="D338" s="196" t="s">
        <v>388</v>
      </c>
      <c r="E338" s="218" t="s">
        <v>19</v>
      </c>
      <c r="F338" s="219" t="s">
        <v>419</v>
      </c>
      <c r="G338" s="217"/>
      <c r="H338" s="220">
        <v>258.5</v>
      </c>
      <c r="I338" s="221"/>
      <c r="J338" s="217"/>
      <c r="K338" s="217"/>
      <c r="L338" s="222"/>
      <c r="M338" s="223"/>
      <c r="N338" s="224"/>
      <c r="O338" s="224"/>
      <c r="P338" s="224"/>
      <c r="Q338" s="224"/>
      <c r="R338" s="224"/>
      <c r="S338" s="224"/>
      <c r="T338" s="225"/>
      <c r="AT338" s="226" t="s">
        <v>388</v>
      </c>
      <c r="AU338" s="226" t="s">
        <v>82</v>
      </c>
      <c r="AV338" s="15" t="s">
        <v>386</v>
      </c>
      <c r="AW338" s="15" t="s">
        <v>33</v>
      </c>
      <c r="AX338" s="15" t="s">
        <v>79</v>
      </c>
      <c r="AY338" s="226" t="s">
        <v>380</v>
      </c>
    </row>
    <row r="339" spans="1:65" s="12" customFormat="1" ht="22.9" customHeight="1">
      <c r="B339" s="165"/>
      <c r="C339" s="166"/>
      <c r="D339" s="167" t="s">
        <v>71</v>
      </c>
      <c r="E339" s="179" t="s">
        <v>2287</v>
      </c>
      <c r="F339" s="179" t="s">
        <v>2684</v>
      </c>
      <c r="G339" s="166"/>
      <c r="H339" s="166"/>
      <c r="I339" s="169"/>
      <c r="J339" s="180">
        <f>BK339</f>
        <v>0</v>
      </c>
      <c r="K339" s="166"/>
      <c r="L339" s="171"/>
      <c r="M339" s="172"/>
      <c r="N339" s="173"/>
      <c r="O339" s="173"/>
      <c r="P339" s="174">
        <f>SUM(P340:P348)</f>
        <v>0</v>
      </c>
      <c r="Q339" s="173"/>
      <c r="R339" s="174">
        <f>SUM(R340:R348)</f>
        <v>0</v>
      </c>
      <c r="S339" s="173"/>
      <c r="T339" s="175">
        <f>SUM(T340:T348)</f>
        <v>0</v>
      </c>
      <c r="AR339" s="176" t="s">
        <v>82</v>
      </c>
      <c r="AT339" s="177" t="s">
        <v>71</v>
      </c>
      <c r="AU339" s="177" t="s">
        <v>79</v>
      </c>
      <c r="AY339" s="176" t="s">
        <v>380</v>
      </c>
      <c r="BK339" s="178">
        <f>SUM(BK340:BK348)</f>
        <v>0</v>
      </c>
    </row>
    <row r="340" spans="1:65" s="2" customFormat="1" ht="16.5" customHeight="1">
      <c r="A340" s="36"/>
      <c r="B340" s="37"/>
      <c r="C340" s="181" t="s">
        <v>1117</v>
      </c>
      <c r="D340" s="181" t="s">
        <v>382</v>
      </c>
      <c r="E340" s="182" t="s">
        <v>2685</v>
      </c>
      <c r="F340" s="183" t="s">
        <v>2686</v>
      </c>
      <c r="G340" s="184" t="s">
        <v>452</v>
      </c>
      <c r="H340" s="185">
        <v>1129.3</v>
      </c>
      <c r="I340" s="186"/>
      <c r="J340" s="187">
        <f>ROUND(I340*H340,2)</f>
        <v>0</v>
      </c>
      <c r="K340" s="183" t="s">
        <v>19</v>
      </c>
      <c r="L340" s="41"/>
      <c r="M340" s="188" t="s">
        <v>19</v>
      </c>
      <c r="N340" s="189" t="s">
        <v>43</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281</v>
      </c>
      <c r="AT340" s="192" t="s">
        <v>382</v>
      </c>
      <c r="AU340" s="192" t="s">
        <v>82</v>
      </c>
      <c r="AY340" s="19" t="s">
        <v>380</v>
      </c>
      <c r="BE340" s="193">
        <f>IF(N340="základní",J340,0)</f>
        <v>0</v>
      </c>
      <c r="BF340" s="193">
        <f>IF(N340="snížená",J340,0)</f>
        <v>0</v>
      </c>
      <c r="BG340" s="193">
        <f>IF(N340="zákl. přenesená",J340,0)</f>
        <v>0</v>
      </c>
      <c r="BH340" s="193">
        <f>IF(N340="sníž. přenesená",J340,0)</f>
        <v>0</v>
      </c>
      <c r="BI340" s="193">
        <f>IF(N340="nulová",J340,0)</f>
        <v>0</v>
      </c>
      <c r="BJ340" s="19" t="s">
        <v>79</v>
      </c>
      <c r="BK340" s="193">
        <f>ROUND(I340*H340,2)</f>
        <v>0</v>
      </c>
      <c r="BL340" s="19" t="s">
        <v>281</v>
      </c>
      <c r="BM340" s="192" t="s">
        <v>1875</v>
      </c>
    </row>
    <row r="341" spans="1:65" s="14" customFormat="1" ht="11.25">
      <c r="B341" s="205"/>
      <c r="C341" s="206"/>
      <c r="D341" s="196" t="s">
        <v>388</v>
      </c>
      <c r="E341" s="207" t="s">
        <v>19</v>
      </c>
      <c r="F341" s="208" t="s">
        <v>2687</v>
      </c>
      <c r="G341" s="206"/>
      <c r="H341" s="209">
        <v>1129.3</v>
      </c>
      <c r="I341" s="210"/>
      <c r="J341" s="206"/>
      <c r="K341" s="206"/>
      <c r="L341" s="211"/>
      <c r="M341" s="212"/>
      <c r="N341" s="213"/>
      <c r="O341" s="213"/>
      <c r="P341" s="213"/>
      <c r="Q341" s="213"/>
      <c r="R341" s="213"/>
      <c r="S341" s="213"/>
      <c r="T341" s="214"/>
      <c r="AT341" s="215" t="s">
        <v>388</v>
      </c>
      <c r="AU341" s="215" t="s">
        <v>82</v>
      </c>
      <c r="AV341" s="14" t="s">
        <v>82</v>
      </c>
      <c r="AW341" s="14" t="s">
        <v>33</v>
      </c>
      <c r="AX341" s="14" t="s">
        <v>72</v>
      </c>
      <c r="AY341" s="215" t="s">
        <v>380</v>
      </c>
    </row>
    <row r="342" spans="1:65" s="15" customFormat="1" ht="11.25">
      <c r="B342" s="216"/>
      <c r="C342" s="217"/>
      <c r="D342" s="196" t="s">
        <v>388</v>
      </c>
      <c r="E342" s="218" t="s">
        <v>19</v>
      </c>
      <c r="F342" s="219" t="s">
        <v>419</v>
      </c>
      <c r="G342" s="217"/>
      <c r="H342" s="220">
        <v>1129.3</v>
      </c>
      <c r="I342" s="221"/>
      <c r="J342" s="217"/>
      <c r="K342" s="217"/>
      <c r="L342" s="222"/>
      <c r="M342" s="223"/>
      <c r="N342" s="224"/>
      <c r="O342" s="224"/>
      <c r="P342" s="224"/>
      <c r="Q342" s="224"/>
      <c r="R342" s="224"/>
      <c r="S342" s="224"/>
      <c r="T342" s="225"/>
      <c r="AT342" s="226" t="s">
        <v>388</v>
      </c>
      <c r="AU342" s="226" t="s">
        <v>82</v>
      </c>
      <c r="AV342" s="15" t="s">
        <v>386</v>
      </c>
      <c r="AW342" s="15" t="s">
        <v>33</v>
      </c>
      <c r="AX342" s="15" t="s">
        <v>79</v>
      </c>
      <c r="AY342" s="226" t="s">
        <v>380</v>
      </c>
    </row>
    <row r="343" spans="1:65" s="2" customFormat="1" ht="16.5" customHeight="1">
      <c r="A343" s="36"/>
      <c r="B343" s="37"/>
      <c r="C343" s="181" t="s">
        <v>1122</v>
      </c>
      <c r="D343" s="181" t="s">
        <v>382</v>
      </c>
      <c r="E343" s="182" t="s">
        <v>2688</v>
      </c>
      <c r="F343" s="183" t="s">
        <v>2689</v>
      </c>
      <c r="G343" s="184" t="s">
        <v>452</v>
      </c>
      <c r="H343" s="185">
        <v>1129.3</v>
      </c>
      <c r="I343" s="186"/>
      <c r="J343" s="187">
        <f>ROUND(I343*H343,2)</f>
        <v>0</v>
      </c>
      <c r="K343" s="183" t="s">
        <v>19</v>
      </c>
      <c r="L343" s="41"/>
      <c r="M343" s="188" t="s">
        <v>19</v>
      </c>
      <c r="N343" s="189" t="s">
        <v>43</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281</v>
      </c>
      <c r="AT343" s="192" t="s">
        <v>382</v>
      </c>
      <c r="AU343" s="192" t="s">
        <v>82</v>
      </c>
      <c r="AY343" s="19" t="s">
        <v>380</v>
      </c>
      <c r="BE343" s="193">
        <f>IF(N343="základní",J343,0)</f>
        <v>0</v>
      </c>
      <c r="BF343" s="193">
        <f>IF(N343="snížená",J343,0)</f>
        <v>0</v>
      </c>
      <c r="BG343" s="193">
        <f>IF(N343="zákl. přenesená",J343,0)</f>
        <v>0</v>
      </c>
      <c r="BH343" s="193">
        <f>IF(N343="sníž. přenesená",J343,0)</f>
        <v>0</v>
      </c>
      <c r="BI343" s="193">
        <f>IF(N343="nulová",J343,0)</f>
        <v>0</v>
      </c>
      <c r="BJ343" s="19" t="s">
        <v>79</v>
      </c>
      <c r="BK343" s="193">
        <f>ROUND(I343*H343,2)</f>
        <v>0</v>
      </c>
      <c r="BL343" s="19" t="s">
        <v>281</v>
      </c>
      <c r="BM343" s="192" t="s">
        <v>1887</v>
      </c>
    </row>
    <row r="344" spans="1:65" s="14" customFormat="1" ht="11.25">
      <c r="B344" s="205"/>
      <c r="C344" s="206"/>
      <c r="D344" s="196" t="s">
        <v>388</v>
      </c>
      <c r="E344" s="207" t="s">
        <v>19</v>
      </c>
      <c r="F344" s="208" t="s">
        <v>2687</v>
      </c>
      <c r="G344" s="206"/>
      <c r="H344" s="209">
        <v>1129.3</v>
      </c>
      <c r="I344" s="210"/>
      <c r="J344" s="206"/>
      <c r="K344" s="206"/>
      <c r="L344" s="211"/>
      <c r="M344" s="212"/>
      <c r="N344" s="213"/>
      <c r="O344" s="213"/>
      <c r="P344" s="213"/>
      <c r="Q344" s="213"/>
      <c r="R344" s="213"/>
      <c r="S344" s="213"/>
      <c r="T344" s="214"/>
      <c r="AT344" s="215" t="s">
        <v>388</v>
      </c>
      <c r="AU344" s="215" t="s">
        <v>82</v>
      </c>
      <c r="AV344" s="14" t="s">
        <v>82</v>
      </c>
      <c r="AW344" s="14" t="s">
        <v>33</v>
      </c>
      <c r="AX344" s="14" t="s">
        <v>72</v>
      </c>
      <c r="AY344" s="215" t="s">
        <v>380</v>
      </c>
    </row>
    <row r="345" spans="1:65" s="15" customFormat="1" ht="11.25">
      <c r="B345" s="216"/>
      <c r="C345" s="217"/>
      <c r="D345" s="196" t="s">
        <v>388</v>
      </c>
      <c r="E345" s="218" t="s">
        <v>19</v>
      </c>
      <c r="F345" s="219" t="s">
        <v>419</v>
      </c>
      <c r="G345" s="217"/>
      <c r="H345" s="220">
        <v>1129.3</v>
      </c>
      <c r="I345" s="221"/>
      <c r="J345" s="217"/>
      <c r="K345" s="217"/>
      <c r="L345" s="222"/>
      <c r="M345" s="223"/>
      <c r="N345" s="224"/>
      <c r="O345" s="224"/>
      <c r="P345" s="224"/>
      <c r="Q345" s="224"/>
      <c r="R345" s="224"/>
      <c r="S345" s="224"/>
      <c r="T345" s="225"/>
      <c r="AT345" s="226" t="s">
        <v>388</v>
      </c>
      <c r="AU345" s="226" t="s">
        <v>82</v>
      </c>
      <c r="AV345" s="15" t="s">
        <v>386</v>
      </c>
      <c r="AW345" s="15" t="s">
        <v>33</v>
      </c>
      <c r="AX345" s="15" t="s">
        <v>79</v>
      </c>
      <c r="AY345" s="226" t="s">
        <v>380</v>
      </c>
    </row>
    <row r="346" spans="1:65" s="2" customFormat="1" ht="16.5" customHeight="1">
      <c r="A346" s="36"/>
      <c r="B346" s="37"/>
      <c r="C346" s="181" t="s">
        <v>1126</v>
      </c>
      <c r="D346" s="181" t="s">
        <v>382</v>
      </c>
      <c r="E346" s="182" t="s">
        <v>2690</v>
      </c>
      <c r="F346" s="183" t="s">
        <v>2691</v>
      </c>
      <c r="G346" s="184" t="s">
        <v>452</v>
      </c>
      <c r="H346" s="185">
        <v>1129.3</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281</v>
      </c>
      <c r="AT346" s="192" t="s">
        <v>382</v>
      </c>
      <c r="AU346" s="192" t="s">
        <v>82</v>
      </c>
      <c r="AY346" s="19" t="s">
        <v>380</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281</v>
      </c>
      <c r="BM346" s="192" t="s">
        <v>1899</v>
      </c>
    </row>
    <row r="347" spans="1:65" s="14" customFormat="1" ht="11.25">
      <c r="B347" s="205"/>
      <c r="C347" s="206"/>
      <c r="D347" s="196" t="s">
        <v>388</v>
      </c>
      <c r="E347" s="207" t="s">
        <v>19</v>
      </c>
      <c r="F347" s="208" t="s">
        <v>2687</v>
      </c>
      <c r="G347" s="206"/>
      <c r="H347" s="209">
        <v>1129.3</v>
      </c>
      <c r="I347" s="210"/>
      <c r="J347" s="206"/>
      <c r="K347" s="206"/>
      <c r="L347" s="211"/>
      <c r="M347" s="212"/>
      <c r="N347" s="213"/>
      <c r="O347" s="213"/>
      <c r="P347" s="213"/>
      <c r="Q347" s="213"/>
      <c r="R347" s="213"/>
      <c r="S347" s="213"/>
      <c r="T347" s="214"/>
      <c r="AT347" s="215" t="s">
        <v>388</v>
      </c>
      <c r="AU347" s="215" t="s">
        <v>82</v>
      </c>
      <c r="AV347" s="14" t="s">
        <v>82</v>
      </c>
      <c r="AW347" s="14" t="s">
        <v>33</v>
      </c>
      <c r="AX347" s="14" t="s">
        <v>72</v>
      </c>
      <c r="AY347" s="215" t="s">
        <v>380</v>
      </c>
    </row>
    <row r="348" spans="1:65" s="15" customFormat="1" ht="11.25">
      <c r="B348" s="216"/>
      <c r="C348" s="217"/>
      <c r="D348" s="196" t="s">
        <v>388</v>
      </c>
      <c r="E348" s="218" t="s">
        <v>19</v>
      </c>
      <c r="F348" s="219" t="s">
        <v>419</v>
      </c>
      <c r="G348" s="217"/>
      <c r="H348" s="220">
        <v>1129.3</v>
      </c>
      <c r="I348" s="221"/>
      <c r="J348" s="217"/>
      <c r="K348" s="217"/>
      <c r="L348" s="222"/>
      <c r="M348" s="223"/>
      <c r="N348" s="224"/>
      <c r="O348" s="224"/>
      <c r="P348" s="224"/>
      <c r="Q348" s="224"/>
      <c r="R348" s="224"/>
      <c r="S348" s="224"/>
      <c r="T348" s="225"/>
      <c r="AT348" s="226" t="s">
        <v>388</v>
      </c>
      <c r="AU348" s="226" t="s">
        <v>82</v>
      </c>
      <c r="AV348" s="15" t="s">
        <v>386</v>
      </c>
      <c r="AW348" s="15" t="s">
        <v>33</v>
      </c>
      <c r="AX348" s="15" t="s">
        <v>79</v>
      </c>
      <c r="AY348" s="226" t="s">
        <v>380</v>
      </c>
    </row>
    <row r="349" spans="1:65" s="12" customFormat="1" ht="22.9" customHeight="1">
      <c r="B349" s="165"/>
      <c r="C349" s="166"/>
      <c r="D349" s="167" t="s">
        <v>71</v>
      </c>
      <c r="E349" s="179" t="s">
        <v>2692</v>
      </c>
      <c r="F349" s="179" t="s">
        <v>2693</v>
      </c>
      <c r="G349" s="166"/>
      <c r="H349" s="166"/>
      <c r="I349" s="169"/>
      <c r="J349" s="180">
        <f>BK349</f>
        <v>0</v>
      </c>
      <c r="K349" s="166"/>
      <c r="L349" s="171"/>
      <c r="M349" s="172"/>
      <c r="N349" s="173"/>
      <c r="O349" s="173"/>
      <c r="P349" s="174">
        <f>SUM(P350:P353)</f>
        <v>0</v>
      </c>
      <c r="Q349" s="173"/>
      <c r="R349" s="174">
        <f>SUM(R350:R353)</f>
        <v>0</v>
      </c>
      <c r="S349" s="173"/>
      <c r="T349" s="175">
        <f>SUM(T350:T353)</f>
        <v>0</v>
      </c>
      <c r="AR349" s="176" t="s">
        <v>79</v>
      </c>
      <c r="AT349" s="177" t="s">
        <v>71</v>
      </c>
      <c r="AU349" s="177" t="s">
        <v>79</v>
      </c>
      <c r="AY349" s="176" t="s">
        <v>380</v>
      </c>
      <c r="BK349" s="178">
        <f>SUM(BK350:BK353)</f>
        <v>0</v>
      </c>
    </row>
    <row r="350" spans="1:65" s="2" customFormat="1" ht="16.5" customHeight="1">
      <c r="A350" s="36"/>
      <c r="B350" s="37"/>
      <c r="C350" s="181" t="s">
        <v>1131</v>
      </c>
      <c r="D350" s="181" t="s">
        <v>382</v>
      </c>
      <c r="E350" s="182" t="s">
        <v>2694</v>
      </c>
      <c r="F350" s="183" t="s">
        <v>2695</v>
      </c>
      <c r="G350" s="184" t="s">
        <v>2006</v>
      </c>
      <c r="H350" s="185">
        <v>1</v>
      </c>
      <c r="I350" s="186"/>
      <c r="J350" s="187">
        <f>ROUND(I350*H350,2)</f>
        <v>0</v>
      </c>
      <c r="K350" s="183" t="s">
        <v>19</v>
      </c>
      <c r="L350" s="41"/>
      <c r="M350" s="188" t="s">
        <v>19</v>
      </c>
      <c r="N350" s="189" t="s">
        <v>43</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386</v>
      </c>
      <c r="AT350" s="192" t="s">
        <v>382</v>
      </c>
      <c r="AU350" s="192" t="s">
        <v>82</v>
      </c>
      <c r="AY350" s="19" t="s">
        <v>380</v>
      </c>
      <c r="BE350" s="193">
        <f>IF(N350="základní",J350,0)</f>
        <v>0</v>
      </c>
      <c r="BF350" s="193">
        <f>IF(N350="snížená",J350,0)</f>
        <v>0</v>
      </c>
      <c r="BG350" s="193">
        <f>IF(N350="zákl. přenesená",J350,0)</f>
        <v>0</v>
      </c>
      <c r="BH350" s="193">
        <f>IF(N350="sníž. přenesená",J350,0)</f>
        <v>0</v>
      </c>
      <c r="BI350" s="193">
        <f>IF(N350="nulová",J350,0)</f>
        <v>0</v>
      </c>
      <c r="BJ350" s="19" t="s">
        <v>79</v>
      </c>
      <c r="BK350" s="193">
        <f>ROUND(I350*H350,2)</f>
        <v>0</v>
      </c>
      <c r="BL350" s="19" t="s">
        <v>386</v>
      </c>
      <c r="BM350" s="192" t="s">
        <v>1907</v>
      </c>
    </row>
    <row r="351" spans="1:65" s="2" customFormat="1" ht="19.5">
      <c r="A351" s="36"/>
      <c r="B351" s="37"/>
      <c r="C351" s="38"/>
      <c r="D351" s="196" t="s">
        <v>1226</v>
      </c>
      <c r="E351" s="38"/>
      <c r="F351" s="248" t="s">
        <v>2696</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1226</v>
      </c>
      <c r="AU351" s="19" t="s">
        <v>82</v>
      </c>
    </row>
    <row r="352" spans="1:65" s="2" customFormat="1" ht="16.5" customHeight="1">
      <c r="A352" s="36"/>
      <c r="B352" s="37"/>
      <c r="C352" s="181" t="s">
        <v>1136</v>
      </c>
      <c r="D352" s="181" t="s">
        <v>382</v>
      </c>
      <c r="E352" s="182" t="s">
        <v>2697</v>
      </c>
      <c r="F352" s="183" t="s">
        <v>2698</v>
      </c>
      <c r="G352" s="184" t="s">
        <v>2006</v>
      </c>
      <c r="H352" s="185">
        <v>1</v>
      </c>
      <c r="I352" s="186"/>
      <c r="J352" s="187">
        <f>ROUND(I352*H352,2)</f>
        <v>0</v>
      </c>
      <c r="K352" s="183" t="s">
        <v>19</v>
      </c>
      <c r="L352" s="41"/>
      <c r="M352" s="188" t="s">
        <v>19</v>
      </c>
      <c r="N352" s="189" t="s">
        <v>43</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386</v>
      </c>
      <c r="AT352" s="192" t="s">
        <v>382</v>
      </c>
      <c r="AU352" s="192" t="s">
        <v>82</v>
      </c>
      <c r="AY352" s="19" t="s">
        <v>380</v>
      </c>
      <c r="BE352" s="193">
        <f>IF(N352="základní",J352,0)</f>
        <v>0</v>
      </c>
      <c r="BF352" s="193">
        <f>IF(N352="snížená",J352,0)</f>
        <v>0</v>
      </c>
      <c r="BG352" s="193">
        <f>IF(N352="zákl. přenesená",J352,0)</f>
        <v>0</v>
      </c>
      <c r="BH352" s="193">
        <f>IF(N352="sníž. přenesená",J352,0)</f>
        <v>0</v>
      </c>
      <c r="BI352" s="193">
        <f>IF(N352="nulová",J352,0)</f>
        <v>0</v>
      </c>
      <c r="BJ352" s="19" t="s">
        <v>79</v>
      </c>
      <c r="BK352" s="193">
        <f>ROUND(I352*H352,2)</f>
        <v>0</v>
      </c>
      <c r="BL352" s="19" t="s">
        <v>386</v>
      </c>
      <c r="BM352" s="192" t="s">
        <v>1915</v>
      </c>
    </row>
    <row r="353" spans="1:65" s="2" customFormat="1" ht="19.5">
      <c r="A353" s="36"/>
      <c r="B353" s="37"/>
      <c r="C353" s="38"/>
      <c r="D353" s="196" t="s">
        <v>1226</v>
      </c>
      <c r="E353" s="38"/>
      <c r="F353" s="248" t="s">
        <v>2699</v>
      </c>
      <c r="G353" s="38"/>
      <c r="H353" s="38"/>
      <c r="I353" s="249"/>
      <c r="J353" s="38"/>
      <c r="K353" s="38"/>
      <c r="L353" s="41"/>
      <c r="M353" s="250"/>
      <c r="N353" s="251"/>
      <c r="O353" s="66"/>
      <c r="P353" s="66"/>
      <c r="Q353" s="66"/>
      <c r="R353" s="66"/>
      <c r="S353" s="66"/>
      <c r="T353" s="67"/>
      <c r="U353" s="36"/>
      <c r="V353" s="36"/>
      <c r="W353" s="36"/>
      <c r="X353" s="36"/>
      <c r="Y353" s="36"/>
      <c r="Z353" s="36"/>
      <c r="AA353" s="36"/>
      <c r="AB353" s="36"/>
      <c r="AC353" s="36"/>
      <c r="AD353" s="36"/>
      <c r="AE353" s="36"/>
      <c r="AT353" s="19" t="s">
        <v>1226</v>
      </c>
      <c r="AU353" s="19" t="s">
        <v>82</v>
      </c>
    </row>
    <row r="354" spans="1:65" s="12" customFormat="1" ht="22.9" customHeight="1">
      <c r="B354" s="165"/>
      <c r="C354" s="166"/>
      <c r="D354" s="167" t="s">
        <v>71</v>
      </c>
      <c r="E354" s="179" t="s">
        <v>2700</v>
      </c>
      <c r="F354" s="179" t="s">
        <v>2701</v>
      </c>
      <c r="G354" s="166"/>
      <c r="H354" s="166"/>
      <c r="I354" s="169"/>
      <c r="J354" s="180">
        <f>BK354</f>
        <v>0</v>
      </c>
      <c r="K354" s="166"/>
      <c r="L354" s="171"/>
      <c r="M354" s="172"/>
      <c r="N354" s="173"/>
      <c r="O354" s="173"/>
      <c r="P354" s="174">
        <f>SUM(P355:P362)</f>
        <v>0</v>
      </c>
      <c r="Q354" s="173"/>
      <c r="R354" s="174">
        <f>SUM(R355:R362)</f>
        <v>0</v>
      </c>
      <c r="S354" s="173"/>
      <c r="T354" s="175">
        <f>SUM(T355:T362)</f>
        <v>0</v>
      </c>
      <c r="AR354" s="176" t="s">
        <v>79</v>
      </c>
      <c r="AT354" s="177" t="s">
        <v>71</v>
      </c>
      <c r="AU354" s="177" t="s">
        <v>79</v>
      </c>
      <c r="AY354" s="176" t="s">
        <v>380</v>
      </c>
      <c r="BK354" s="178">
        <f>SUM(BK355:BK362)</f>
        <v>0</v>
      </c>
    </row>
    <row r="355" spans="1:65" s="2" customFormat="1" ht="16.5" customHeight="1">
      <c r="A355" s="36"/>
      <c r="B355" s="37"/>
      <c r="C355" s="181" t="s">
        <v>1140</v>
      </c>
      <c r="D355" s="181" t="s">
        <v>382</v>
      </c>
      <c r="E355" s="182" t="s">
        <v>2702</v>
      </c>
      <c r="F355" s="183" t="s">
        <v>2703</v>
      </c>
      <c r="G355" s="184" t="s">
        <v>2389</v>
      </c>
      <c r="H355" s="185">
        <v>8</v>
      </c>
      <c r="I355" s="186"/>
      <c r="J355" s="187">
        <f>ROUND(I355*H355,2)</f>
        <v>0</v>
      </c>
      <c r="K355" s="183" t="s">
        <v>19</v>
      </c>
      <c r="L355" s="41"/>
      <c r="M355" s="188" t="s">
        <v>19</v>
      </c>
      <c r="N355" s="189" t="s">
        <v>43</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386</v>
      </c>
      <c r="AT355" s="192" t="s">
        <v>382</v>
      </c>
      <c r="AU355" s="192" t="s">
        <v>82</v>
      </c>
      <c r="AY355" s="19" t="s">
        <v>380</v>
      </c>
      <c r="BE355" s="193">
        <f>IF(N355="základní",J355,0)</f>
        <v>0</v>
      </c>
      <c r="BF355" s="193">
        <f>IF(N355="snížená",J355,0)</f>
        <v>0</v>
      </c>
      <c r="BG355" s="193">
        <f>IF(N355="zákl. přenesená",J355,0)</f>
        <v>0</v>
      </c>
      <c r="BH355" s="193">
        <f>IF(N355="sníž. přenesená",J355,0)</f>
        <v>0</v>
      </c>
      <c r="BI355" s="193">
        <f>IF(N355="nulová",J355,0)</f>
        <v>0</v>
      </c>
      <c r="BJ355" s="19" t="s">
        <v>79</v>
      </c>
      <c r="BK355" s="193">
        <f>ROUND(I355*H355,2)</f>
        <v>0</v>
      </c>
      <c r="BL355" s="19" t="s">
        <v>386</v>
      </c>
      <c r="BM355" s="192" t="s">
        <v>1923</v>
      </c>
    </row>
    <row r="356" spans="1:65" s="2" customFormat="1" ht="16.5" customHeight="1">
      <c r="A356" s="36"/>
      <c r="B356" s="37"/>
      <c r="C356" s="227" t="s">
        <v>1150</v>
      </c>
      <c r="D356" s="227" t="s">
        <v>465</v>
      </c>
      <c r="E356" s="228" t="s">
        <v>2704</v>
      </c>
      <c r="F356" s="229" t="s">
        <v>2705</v>
      </c>
      <c r="G356" s="230" t="s">
        <v>2393</v>
      </c>
      <c r="H356" s="231">
        <v>2</v>
      </c>
      <c r="I356" s="232"/>
      <c r="J356" s="233">
        <f>ROUND(I356*H356,2)</f>
        <v>0</v>
      </c>
      <c r="K356" s="229" t="s">
        <v>19</v>
      </c>
      <c r="L356" s="234"/>
      <c r="M356" s="235" t="s">
        <v>19</v>
      </c>
      <c r="N356" s="236" t="s">
        <v>43</v>
      </c>
      <c r="O356" s="66"/>
      <c r="P356" s="190">
        <f>O356*H356</f>
        <v>0</v>
      </c>
      <c r="Q356" s="190">
        <v>0</v>
      </c>
      <c r="R356" s="190">
        <f>Q356*H356</f>
        <v>0</v>
      </c>
      <c r="S356" s="190">
        <v>0</v>
      </c>
      <c r="T356" s="191">
        <f>S356*H356</f>
        <v>0</v>
      </c>
      <c r="U356" s="36"/>
      <c r="V356" s="36"/>
      <c r="W356" s="36"/>
      <c r="X356" s="36"/>
      <c r="Y356" s="36"/>
      <c r="Z356" s="36"/>
      <c r="AA356" s="36"/>
      <c r="AB356" s="36"/>
      <c r="AC356" s="36"/>
      <c r="AD356" s="36"/>
      <c r="AE356" s="36"/>
      <c r="AR356" s="192" t="s">
        <v>424</v>
      </c>
      <c r="AT356" s="192" t="s">
        <v>465</v>
      </c>
      <c r="AU356" s="192" t="s">
        <v>82</v>
      </c>
      <c r="AY356" s="19" t="s">
        <v>380</v>
      </c>
      <c r="BE356" s="193">
        <f>IF(N356="základní",J356,0)</f>
        <v>0</v>
      </c>
      <c r="BF356" s="193">
        <f>IF(N356="snížená",J356,0)</f>
        <v>0</v>
      </c>
      <c r="BG356" s="193">
        <f>IF(N356="zákl. přenesená",J356,0)</f>
        <v>0</v>
      </c>
      <c r="BH356" s="193">
        <f>IF(N356="sníž. přenesená",J356,0)</f>
        <v>0</v>
      </c>
      <c r="BI356" s="193">
        <f>IF(N356="nulová",J356,0)</f>
        <v>0</v>
      </c>
      <c r="BJ356" s="19" t="s">
        <v>79</v>
      </c>
      <c r="BK356" s="193">
        <f>ROUND(I356*H356,2)</f>
        <v>0</v>
      </c>
      <c r="BL356" s="19" t="s">
        <v>386</v>
      </c>
      <c r="BM356" s="192" t="s">
        <v>1931</v>
      </c>
    </row>
    <row r="357" spans="1:65" s="2" customFormat="1" ht="19.5">
      <c r="A357" s="36"/>
      <c r="B357" s="37"/>
      <c r="C357" s="38"/>
      <c r="D357" s="196" t="s">
        <v>1226</v>
      </c>
      <c r="E357" s="38"/>
      <c r="F357" s="248" t="s">
        <v>2706</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1226</v>
      </c>
      <c r="AU357" s="19" t="s">
        <v>82</v>
      </c>
    </row>
    <row r="358" spans="1:65" s="2" customFormat="1" ht="16.5" customHeight="1">
      <c r="A358" s="36"/>
      <c r="B358" s="37"/>
      <c r="C358" s="227" t="s">
        <v>1156</v>
      </c>
      <c r="D358" s="227" t="s">
        <v>465</v>
      </c>
      <c r="E358" s="228" t="s">
        <v>2707</v>
      </c>
      <c r="F358" s="229" t="s">
        <v>2708</v>
      </c>
      <c r="G358" s="230" t="s">
        <v>2393</v>
      </c>
      <c r="H358" s="231">
        <v>6</v>
      </c>
      <c r="I358" s="232"/>
      <c r="J358" s="233">
        <f>ROUND(I358*H358,2)</f>
        <v>0</v>
      </c>
      <c r="K358" s="229" t="s">
        <v>19</v>
      </c>
      <c r="L358" s="234"/>
      <c r="M358" s="235" t="s">
        <v>19</v>
      </c>
      <c r="N358" s="236"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424</v>
      </c>
      <c r="AT358" s="192" t="s">
        <v>465</v>
      </c>
      <c r="AU358" s="192" t="s">
        <v>82</v>
      </c>
      <c r="AY358" s="19" t="s">
        <v>380</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386</v>
      </c>
      <c r="BM358" s="192" t="s">
        <v>1939</v>
      </c>
    </row>
    <row r="359" spans="1:65" s="2" customFormat="1" ht="19.5">
      <c r="A359" s="36"/>
      <c r="B359" s="37"/>
      <c r="C359" s="38"/>
      <c r="D359" s="196" t="s">
        <v>1226</v>
      </c>
      <c r="E359" s="38"/>
      <c r="F359" s="248" t="s">
        <v>2706</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1226</v>
      </c>
      <c r="AU359" s="19" t="s">
        <v>82</v>
      </c>
    </row>
    <row r="360" spans="1:65" s="2" customFormat="1" ht="16.5" customHeight="1">
      <c r="A360" s="36"/>
      <c r="B360" s="37"/>
      <c r="C360" s="181" t="s">
        <v>1161</v>
      </c>
      <c r="D360" s="181" t="s">
        <v>382</v>
      </c>
      <c r="E360" s="182" t="s">
        <v>2709</v>
      </c>
      <c r="F360" s="183" t="s">
        <v>2710</v>
      </c>
      <c r="G360" s="184" t="s">
        <v>2389</v>
      </c>
      <c r="H360" s="185">
        <v>6</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386</v>
      </c>
      <c r="AT360" s="192" t="s">
        <v>382</v>
      </c>
      <c r="AU360" s="192" t="s">
        <v>82</v>
      </c>
      <c r="AY360" s="19" t="s">
        <v>380</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386</v>
      </c>
      <c r="BM360" s="192" t="s">
        <v>1947</v>
      </c>
    </row>
    <row r="361" spans="1:65" s="2" customFormat="1" ht="16.5" customHeight="1">
      <c r="A361" s="36"/>
      <c r="B361" s="37"/>
      <c r="C361" s="227" t="s">
        <v>1165</v>
      </c>
      <c r="D361" s="227" t="s">
        <v>465</v>
      </c>
      <c r="E361" s="228" t="s">
        <v>2711</v>
      </c>
      <c r="F361" s="229" t="s">
        <v>2712</v>
      </c>
      <c r="G361" s="230" t="s">
        <v>2393</v>
      </c>
      <c r="H361" s="231">
        <v>4</v>
      </c>
      <c r="I361" s="232"/>
      <c r="J361" s="233">
        <f>ROUND(I361*H361,2)</f>
        <v>0</v>
      </c>
      <c r="K361" s="229" t="s">
        <v>19</v>
      </c>
      <c r="L361" s="234"/>
      <c r="M361" s="235" t="s">
        <v>19</v>
      </c>
      <c r="N361" s="236"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424</v>
      </c>
      <c r="AT361" s="192" t="s">
        <v>465</v>
      </c>
      <c r="AU361" s="192" t="s">
        <v>82</v>
      </c>
      <c r="AY361" s="19" t="s">
        <v>380</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386</v>
      </c>
      <c r="BM361" s="192" t="s">
        <v>1955</v>
      </c>
    </row>
    <row r="362" spans="1:65" s="2" customFormat="1" ht="19.5">
      <c r="A362" s="36"/>
      <c r="B362" s="37"/>
      <c r="C362" s="38"/>
      <c r="D362" s="196" t="s">
        <v>1226</v>
      </c>
      <c r="E362" s="38"/>
      <c r="F362" s="248" t="s">
        <v>2706</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1226</v>
      </c>
      <c r="AU362" s="19" t="s">
        <v>82</v>
      </c>
    </row>
    <row r="363" spans="1:65" s="12" customFormat="1" ht="22.9" customHeight="1">
      <c r="B363" s="165"/>
      <c r="C363" s="166"/>
      <c r="D363" s="167" t="s">
        <v>71</v>
      </c>
      <c r="E363" s="179" t="s">
        <v>2713</v>
      </c>
      <c r="F363" s="179" t="s">
        <v>2714</v>
      </c>
      <c r="G363" s="166"/>
      <c r="H363" s="166"/>
      <c r="I363" s="169"/>
      <c r="J363" s="180">
        <f>BK363</f>
        <v>0</v>
      </c>
      <c r="K363" s="166"/>
      <c r="L363" s="171"/>
      <c r="M363" s="172"/>
      <c r="N363" s="173"/>
      <c r="O363" s="173"/>
      <c r="P363" s="174">
        <f>SUM(P364:P395)</f>
        <v>0</v>
      </c>
      <c r="Q363" s="173"/>
      <c r="R363" s="174">
        <f>SUM(R364:R395)</f>
        <v>0</v>
      </c>
      <c r="S363" s="173"/>
      <c r="T363" s="175">
        <f>SUM(T364:T395)</f>
        <v>0</v>
      </c>
      <c r="AR363" s="176" t="s">
        <v>79</v>
      </c>
      <c r="AT363" s="177" t="s">
        <v>71</v>
      </c>
      <c r="AU363" s="177" t="s">
        <v>79</v>
      </c>
      <c r="AY363" s="176" t="s">
        <v>380</v>
      </c>
      <c r="BK363" s="178">
        <f>SUM(BK364:BK395)</f>
        <v>0</v>
      </c>
    </row>
    <row r="364" spans="1:65" s="2" customFormat="1" ht="16.5" customHeight="1">
      <c r="A364" s="36"/>
      <c r="B364" s="37"/>
      <c r="C364" s="181" t="s">
        <v>1178</v>
      </c>
      <c r="D364" s="181" t="s">
        <v>382</v>
      </c>
      <c r="E364" s="182" t="s">
        <v>2715</v>
      </c>
      <c r="F364" s="183" t="s">
        <v>2716</v>
      </c>
      <c r="G364" s="184" t="s">
        <v>398</v>
      </c>
      <c r="H364" s="185">
        <v>583</v>
      </c>
      <c r="I364" s="186"/>
      <c r="J364" s="187">
        <f t="shared" ref="J364:J378" si="10">ROUND(I364*H364,2)</f>
        <v>0</v>
      </c>
      <c r="K364" s="183" t="s">
        <v>19</v>
      </c>
      <c r="L364" s="41"/>
      <c r="M364" s="188" t="s">
        <v>19</v>
      </c>
      <c r="N364" s="189" t="s">
        <v>43</v>
      </c>
      <c r="O364" s="66"/>
      <c r="P364" s="190">
        <f t="shared" ref="P364:P378" si="11">O364*H364</f>
        <v>0</v>
      </c>
      <c r="Q364" s="190">
        <v>0</v>
      </c>
      <c r="R364" s="190">
        <f t="shared" ref="R364:R378" si="12">Q364*H364</f>
        <v>0</v>
      </c>
      <c r="S364" s="190">
        <v>0</v>
      </c>
      <c r="T364" s="191">
        <f t="shared" ref="T364:T378" si="13">S364*H364</f>
        <v>0</v>
      </c>
      <c r="U364" s="36"/>
      <c r="V364" s="36"/>
      <c r="W364" s="36"/>
      <c r="X364" s="36"/>
      <c r="Y364" s="36"/>
      <c r="Z364" s="36"/>
      <c r="AA364" s="36"/>
      <c r="AB364" s="36"/>
      <c r="AC364" s="36"/>
      <c r="AD364" s="36"/>
      <c r="AE364" s="36"/>
      <c r="AR364" s="192" t="s">
        <v>386</v>
      </c>
      <c r="AT364" s="192" t="s">
        <v>382</v>
      </c>
      <c r="AU364" s="192" t="s">
        <v>82</v>
      </c>
      <c r="AY364" s="19" t="s">
        <v>380</v>
      </c>
      <c r="BE364" s="193">
        <f t="shared" ref="BE364:BE378" si="14">IF(N364="základní",J364,0)</f>
        <v>0</v>
      </c>
      <c r="BF364" s="193">
        <f t="shared" ref="BF364:BF378" si="15">IF(N364="snížená",J364,0)</f>
        <v>0</v>
      </c>
      <c r="BG364" s="193">
        <f t="shared" ref="BG364:BG378" si="16">IF(N364="zákl. přenesená",J364,0)</f>
        <v>0</v>
      </c>
      <c r="BH364" s="193">
        <f t="shared" ref="BH364:BH378" si="17">IF(N364="sníž. přenesená",J364,0)</f>
        <v>0</v>
      </c>
      <c r="BI364" s="193">
        <f t="shared" ref="BI364:BI378" si="18">IF(N364="nulová",J364,0)</f>
        <v>0</v>
      </c>
      <c r="BJ364" s="19" t="s">
        <v>79</v>
      </c>
      <c r="BK364" s="193">
        <f t="shared" ref="BK364:BK378" si="19">ROUND(I364*H364,2)</f>
        <v>0</v>
      </c>
      <c r="BL364" s="19" t="s">
        <v>386</v>
      </c>
      <c r="BM364" s="192" t="s">
        <v>1963</v>
      </c>
    </row>
    <row r="365" spans="1:65" s="2" customFormat="1" ht="16.5" customHeight="1">
      <c r="A365" s="36"/>
      <c r="B365" s="37"/>
      <c r="C365" s="227" t="s">
        <v>1183</v>
      </c>
      <c r="D365" s="227" t="s">
        <v>465</v>
      </c>
      <c r="E365" s="228" t="s">
        <v>2717</v>
      </c>
      <c r="F365" s="229" t="s">
        <v>2718</v>
      </c>
      <c r="G365" s="230" t="s">
        <v>2393</v>
      </c>
      <c r="H365" s="231">
        <v>1</v>
      </c>
      <c r="I365" s="232"/>
      <c r="J365" s="233">
        <f t="shared" si="10"/>
        <v>0</v>
      </c>
      <c r="K365" s="229" t="s">
        <v>19</v>
      </c>
      <c r="L365" s="234"/>
      <c r="M365" s="235" t="s">
        <v>19</v>
      </c>
      <c r="N365" s="236" t="s">
        <v>43</v>
      </c>
      <c r="O365" s="66"/>
      <c r="P365" s="190">
        <f t="shared" si="11"/>
        <v>0</v>
      </c>
      <c r="Q365" s="190">
        <v>0</v>
      </c>
      <c r="R365" s="190">
        <f t="shared" si="12"/>
        <v>0</v>
      </c>
      <c r="S365" s="190">
        <v>0</v>
      </c>
      <c r="T365" s="191">
        <f t="shared" si="13"/>
        <v>0</v>
      </c>
      <c r="U365" s="36"/>
      <c r="V365" s="36"/>
      <c r="W365" s="36"/>
      <c r="X365" s="36"/>
      <c r="Y365" s="36"/>
      <c r="Z365" s="36"/>
      <c r="AA365" s="36"/>
      <c r="AB365" s="36"/>
      <c r="AC365" s="36"/>
      <c r="AD365" s="36"/>
      <c r="AE365" s="36"/>
      <c r="AR365" s="192" t="s">
        <v>424</v>
      </c>
      <c r="AT365" s="192" t="s">
        <v>465</v>
      </c>
      <c r="AU365" s="192" t="s">
        <v>82</v>
      </c>
      <c r="AY365" s="19" t="s">
        <v>380</v>
      </c>
      <c r="BE365" s="193">
        <f t="shared" si="14"/>
        <v>0</v>
      </c>
      <c r="BF365" s="193">
        <f t="shared" si="15"/>
        <v>0</v>
      </c>
      <c r="BG365" s="193">
        <f t="shared" si="16"/>
        <v>0</v>
      </c>
      <c r="BH365" s="193">
        <f t="shared" si="17"/>
        <v>0</v>
      </c>
      <c r="BI365" s="193">
        <f t="shared" si="18"/>
        <v>0</v>
      </c>
      <c r="BJ365" s="19" t="s">
        <v>79</v>
      </c>
      <c r="BK365" s="193">
        <f t="shared" si="19"/>
        <v>0</v>
      </c>
      <c r="BL365" s="19" t="s">
        <v>386</v>
      </c>
      <c r="BM365" s="192" t="s">
        <v>1971</v>
      </c>
    </row>
    <row r="366" spans="1:65" s="2" customFormat="1" ht="16.5" customHeight="1">
      <c r="A366" s="36"/>
      <c r="B366" s="37"/>
      <c r="C366" s="227" t="s">
        <v>1188</v>
      </c>
      <c r="D366" s="227" t="s">
        <v>465</v>
      </c>
      <c r="E366" s="228" t="s">
        <v>2719</v>
      </c>
      <c r="F366" s="229" t="s">
        <v>2720</v>
      </c>
      <c r="G366" s="230" t="s">
        <v>2393</v>
      </c>
      <c r="H366" s="231">
        <v>1</v>
      </c>
      <c r="I366" s="232"/>
      <c r="J366" s="233">
        <f t="shared" si="10"/>
        <v>0</v>
      </c>
      <c r="K366" s="229" t="s">
        <v>19</v>
      </c>
      <c r="L366" s="234"/>
      <c r="M366" s="235" t="s">
        <v>19</v>
      </c>
      <c r="N366" s="236" t="s">
        <v>43</v>
      </c>
      <c r="O366" s="66"/>
      <c r="P366" s="190">
        <f t="shared" si="11"/>
        <v>0</v>
      </c>
      <c r="Q366" s="190">
        <v>0</v>
      </c>
      <c r="R366" s="190">
        <f t="shared" si="12"/>
        <v>0</v>
      </c>
      <c r="S366" s="190">
        <v>0</v>
      </c>
      <c r="T366" s="191">
        <f t="shared" si="13"/>
        <v>0</v>
      </c>
      <c r="U366" s="36"/>
      <c r="V366" s="36"/>
      <c r="W366" s="36"/>
      <c r="X366" s="36"/>
      <c r="Y366" s="36"/>
      <c r="Z366" s="36"/>
      <c r="AA366" s="36"/>
      <c r="AB366" s="36"/>
      <c r="AC366" s="36"/>
      <c r="AD366" s="36"/>
      <c r="AE366" s="36"/>
      <c r="AR366" s="192" t="s">
        <v>424</v>
      </c>
      <c r="AT366" s="192" t="s">
        <v>465</v>
      </c>
      <c r="AU366" s="192" t="s">
        <v>82</v>
      </c>
      <c r="AY366" s="19" t="s">
        <v>380</v>
      </c>
      <c r="BE366" s="193">
        <f t="shared" si="14"/>
        <v>0</v>
      </c>
      <c r="BF366" s="193">
        <f t="shared" si="15"/>
        <v>0</v>
      </c>
      <c r="BG366" s="193">
        <f t="shared" si="16"/>
        <v>0</v>
      </c>
      <c r="BH366" s="193">
        <f t="shared" si="17"/>
        <v>0</v>
      </c>
      <c r="BI366" s="193">
        <f t="shared" si="18"/>
        <v>0</v>
      </c>
      <c r="BJ366" s="19" t="s">
        <v>79</v>
      </c>
      <c r="BK366" s="193">
        <f t="shared" si="19"/>
        <v>0</v>
      </c>
      <c r="BL366" s="19" t="s">
        <v>386</v>
      </c>
      <c r="BM366" s="192" t="s">
        <v>1979</v>
      </c>
    </row>
    <row r="367" spans="1:65" s="2" customFormat="1" ht="16.5" customHeight="1">
      <c r="A367" s="36"/>
      <c r="B367" s="37"/>
      <c r="C367" s="227" t="s">
        <v>1193</v>
      </c>
      <c r="D367" s="227" t="s">
        <v>465</v>
      </c>
      <c r="E367" s="228" t="s">
        <v>2721</v>
      </c>
      <c r="F367" s="229" t="s">
        <v>2722</v>
      </c>
      <c r="G367" s="230" t="s">
        <v>2393</v>
      </c>
      <c r="H367" s="231">
        <v>3</v>
      </c>
      <c r="I367" s="232"/>
      <c r="J367" s="233">
        <f t="shared" si="10"/>
        <v>0</v>
      </c>
      <c r="K367" s="229" t="s">
        <v>19</v>
      </c>
      <c r="L367" s="234"/>
      <c r="M367" s="235" t="s">
        <v>19</v>
      </c>
      <c r="N367" s="236" t="s">
        <v>43</v>
      </c>
      <c r="O367" s="66"/>
      <c r="P367" s="190">
        <f t="shared" si="11"/>
        <v>0</v>
      </c>
      <c r="Q367" s="190">
        <v>0</v>
      </c>
      <c r="R367" s="190">
        <f t="shared" si="12"/>
        <v>0</v>
      </c>
      <c r="S367" s="190">
        <v>0</v>
      </c>
      <c r="T367" s="191">
        <f t="shared" si="13"/>
        <v>0</v>
      </c>
      <c r="U367" s="36"/>
      <c r="V367" s="36"/>
      <c r="W367" s="36"/>
      <c r="X367" s="36"/>
      <c r="Y367" s="36"/>
      <c r="Z367" s="36"/>
      <c r="AA367" s="36"/>
      <c r="AB367" s="36"/>
      <c r="AC367" s="36"/>
      <c r="AD367" s="36"/>
      <c r="AE367" s="36"/>
      <c r="AR367" s="192" t="s">
        <v>424</v>
      </c>
      <c r="AT367" s="192" t="s">
        <v>465</v>
      </c>
      <c r="AU367" s="192" t="s">
        <v>82</v>
      </c>
      <c r="AY367" s="19" t="s">
        <v>380</v>
      </c>
      <c r="BE367" s="193">
        <f t="shared" si="14"/>
        <v>0</v>
      </c>
      <c r="BF367" s="193">
        <f t="shared" si="15"/>
        <v>0</v>
      </c>
      <c r="BG367" s="193">
        <f t="shared" si="16"/>
        <v>0</v>
      </c>
      <c r="BH367" s="193">
        <f t="shared" si="17"/>
        <v>0</v>
      </c>
      <c r="BI367" s="193">
        <f t="shared" si="18"/>
        <v>0</v>
      </c>
      <c r="BJ367" s="19" t="s">
        <v>79</v>
      </c>
      <c r="BK367" s="193">
        <f t="shared" si="19"/>
        <v>0</v>
      </c>
      <c r="BL367" s="19" t="s">
        <v>386</v>
      </c>
      <c r="BM367" s="192" t="s">
        <v>1987</v>
      </c>
    </row>
    <row r="368" spans="1:65" s="2" customFormat="1" ht="16.5" customHeight="1">
      <c r="A368" s="36"/>
      <c r="B368" s="37"/>
      <c r="C368" s="227" t="s">
        <v>1203</v>
      </c>
      <c r="D368" s="227" t="s">
        <v>465</v>
      </c>
      <c r="E368" s="228" t="s">
        <v>2723</v>
      </c>
      <c r="F368" s="229" t="s">
        <v>2724</v>
      </c>
      <c r="G368" s="230" t="s">
        <v>2393</v>
      </c>
      <c r="H368" s="231">
        <v>1</v>
      </c>
      <c r="I368" s="232"/>
      <c r="J368" s="233">
        <f t="shared" si="10"/>
        <v>0</v>
      </c>
      <c r="K368" s="229" t="s">
        <v>19</v>
      </c>
      <c r="L368" s="234"/>
      <c r="M368" s="235" t="s">
        <v>19</v>
      </c>
      <c r="N368" s="236" t="s">
        <v>43</v>
      </c>
      <c r="O368" s="66"/>
      <c r="P368" s="190">
        <f t="shared" si="11"/>
        <v>0</v>
      </c>
      <c r="Q368" s="190">
        <v>0</v>
      </c>
      <c r="R368" s="190">
        <f t="shared" si="12"/>
        <v>0</v>
      </c>
      <c r="S368" s="190">
        <v>0</v>
      </c>
      <c r="T368" s="191">
        <f t="shared" si="13"/>
        <v>0</v>
      </c>
      <c r="U368" s="36"/>
      <c r="V368" s="36"/>
      <c r="W368" s="36"/>
      <c r="X368" s="36"/>
      <c r="Y368" s="36"/>
      <c r="Z368" s="36"/>
      <c r="AA368" s="36"/>
      <c r="AB368" s="36"/>
      <c r="AC368" s="36"/>
      <c r="AD368" s="36"/>
      <c r="AE368" s="36"/>
      <c r="AR368" s="192" t="s">
        <v>424</v>
      </c>
      <c r="AT368" s="192" t="s">
        <v>465</v>
      </c>
      <c r="AU368" s="192" t="s">
        <v>82</v>
      </c>
      <c r="AY368" s="19" t="s">
        <v>380</v>
      </c>
      <c r="BE368" s="193">
        <f t="shared" si="14"/>
        <v>0</v>
      </c>
      <c r="BF368" s="193">
        <f t="shared" si="15"/>
        <v>0</v>
      </c>
      <c r="BG368" s="193">
        <f t="shared" si="16"/>
        <v>0</v>
      </c>
      <c r="BH368" s="193">
        <f t="shared" si="17"/>
        <v>0</v>
      </c>
      <c r="BI368" s="193">
        <f t="shared" si="18"/>
        <v>0</v>
      </c>
      <c r="BJ368" s="19" t="s">
        <v>79</v>
      </c>
      <c r="BK368" s="193">
        <f t="shared" si="19"/>
        <v>0</v>
      </c>
      <c r="BL368" s="19" t="s">
        <v>386</v>
      </c>
      <c r="BM368" s="192" t="s">
        <v>1995</v>
      </c>
    </row>
    <row r="369" spans="1:65" s="2" customFormat="1" ht="16.5" customHeight="1">
      <c r="A369" s="36"/>
      <c r="B369" s="37"/>
      <c r="C369" s="227" t="s">
        <v>1209</v>
      </c>
      <c r="D369" s="227" t="s">
        <v>465</v>
      </c>
      <c r="E369" s="228" t="s">
        <v>2725</v>
      </c>
      <c r="F369" s="229" t="s">
        <v>2726</v>
      </c>
      <c r="G369" s="230" t="s">
        <v>2393</v>
      </c>
      <c r="H369" s="231">
        <v>1</v>
      </c>
      <c r="I369" s="232"/>
      <c r="J369" s="233">
        <f t="shared" si="10"/>
        <v>0</v>
      </c>
      <c r="K369" s="229" t="s">
        <v>19</v>
      </c>
      <c r="L369" s="234"/>
      <c r="M369" s="235" t="s">
        <v>19</v>
      </c>
      <c r="N369" s="236" t="s">
        <v>43</v>
      </c>
      <c r="O369" s="66"/>
      <c r="P369" s="190">
        <f t="shared" si="11"/>
        <v>0</v>
      </c>
      <c r="Q369" s="190">
        <v>0</v>
      </c>
      <c r="R369" s="190">
        <f t="shared" si="12"/>
        <v>0</v>
      </c>
      <c r="S369" s="190">
        <v>0</v>
      </c>
      <c r="T369" s="191">
        <f t="shared" si="13"/>
        <v>0</v>
      </c>
      <c r="U369" s="36"/>
      <c r="V369" s="36"/>
      <c r="W369" s="36"/>
      <c r="X369" s="36"/>
      <c r="Y369" s="36"/>
      <c r="Z369" s="36"/>
      <c r="AA369" s="36"/>
      <c r="AB369" s="36"/>
      <c r="AC369" s="36"/>
      <c r="AD369" s="36"/>
      <c r="AE369" s="36"/>
      <c r="AR369" s="192" t="s">
        <v>424</v>
      </c>
      <c r="AT369" s="192" t="s">
        <v>465</v>
      </c>
      <c r="AU369" s="192" t="s">
        <v>82</v>
      </c>
      <c r="AY369" s="19" t="s">
        <v>380</v>
      </c>
      <c r="BE369" s="193">
        <f t="shared" si="14"/>
        <v>0</v>
      </c>
      <c r="BF369" s="193">
        <f t="shared" si="15"/>
        <v>0</v>
      </c>
      <c r="BG369" s="193">
        <f t="shared" si="16"/>
        <v>0</v>
      </c>
      <c r="BH369" s="193">
        <f t="shared" si="17"/>
        <v>0</v>
      </c>
      <c r="BI369" s="193">
        <f t="shared" si="18"/>
        <v>0</v>
      </c>
      <c r="BJ369" s="19" t="s">
        <v>79</v>
      </c>
      <c r="BK369" s="193">
        <f t="shared" si="19"/>
        <v>0</v>
      </c>
      <c r="BL369" s="19" t="s">
        <v>386</v>
      </c>
      <c r="BM369" s="192" t="s">
        <v>2003</v>
      </c>
    </row>
    <row r="370" spans="1:65" s="2" customFormat="1" ht="16.5" customHeight="1">
      <c r="A370" s="36"/>
      <c r="B370" s="37"/>
      <c r="C370" s="227" t="s">
        <v>1215</v>
      </c>
      <c r="D370" s="227" t="s">
        <v>465</v>
      </c>
      <c r="E370" s="228" t="s">
        <v>2727</v>
      </c>
      <c r="F370" s="229" t="s">
        <v>2728</v>
      </c>
      <c r="G370" s="230" t="s">
        <v>452</v>
      </c>
      <c r="H370" s="231">
        <v>1</v>
      </c>
      <c r="I370" s="232"/>
      <c r="J370" s="233">
        <f t="shared" si="10"/>
        <v>0</v>
      </c>
      <c r="K370" s="229" t="s">
        <v>19</v>
      </c>
      <c r="L370" s="234"/>
      <c r="M370" s="235" t="s">
        <v>19</v>
      </c>
      <c r="N370" s="236" t="s">
        <v>43</v>
      </c>
      <c r="O370" s="66"/>
      <c r="P370" s="190">
        <f t="shared" si="11"/>
        <v>0</v>
      </c>
      <c r="Q370" s="190">
        <v>0</v>
      </c>
      <c r="R370" s="190">
        <f t="shared" si="12"/>
        <v>0</v>
      </c>
      <c r="S370" s="190">
        <v>0</v>
      </c>
      <c r="T370" s="191">
        <f t="shared" si="13"/>
        <v>0</v>
      </c>
      <c r="U370" s="36"/>
      <c r="V370" s="36"/>
      <c r="W370" s="36"/>
      <c r="X370" s="36"/>
      <c r="Y370" s="36"/>
      <c r="Z370" s="36"/>
      <c r="AA370" s="36"/>
      <c r="AB370" s="36"/>
      <c r="AC370" s="36"/>
      <c r="AD370" s="36"/>
      <c r="AE370" s="36"/>
      <c r="AR370" s="192" t="s">
        <v>424</v>
      </c>
      <c r="AT370" s="192" t="s">
        <v>465</v>
      </c>
      <c r="AU370" s="192" t="s">
        <v>82</v>
      </c>
      <c r="AY370" s="19" t="s">
        <v>380</v>
      </c>
      <c r="BE370" s="193">
        <f t="shared" si="14"/>
        <v>0</v>
      </c>
      <c r="BF370" s="193">
        <f t="shared" si="15"/>
        <v>0</v>
      </c>
      <c r="BG370" s="193">
        <f t="shared" si="16"/>
        <v>0</v>
      </c>
      <c r="BH370" s="193">
        <f t="shared" si="17"/>
        <v>0</v>
      </c>
      <c r="BI370" s="193">
        <f t="shared" si="18"/>
        <v>0</v>
      </c>
      <c r="BJ370" s="19" t="s">
        <v>79</v>
      </c>
      <c r="BK370" s="193">
        <f t="shared" si="19"/>
        <v>0</v>
      </c>
      <c r="BL370" s="19" t="s">
        <v>386</v>
      </c>
      <c r="BM370" s="192" t="s">
        <v>2014</v>
      </c>
    </row>
    <row r="371" spans="1:65" s="2" customFormat="1" ht="16.5" customHeight="1">
      <c r="A371" s="36"/>
      <c r="B371" s="37"/>
      <c r="C371" s="227" t="s">
        <v>1222</v>
      </c>
      <c r="D371" s="227" t="s">
        <v>465</v>
      </c>
      <c r="E371" s="228" t="s">
        <v>2729</v>
      </c>
      <c r="F371" s="229" t="s">
        <v>2730</v>
      </c>
      <c r="G371" s="230" t="s">
        <v>2393</v>
      </c>
      <c r="H371" s="231">
        <v>1</v>
      </c>
      <c r="I371" s="232"/>
      <c r="J371" s="233">
        <f t="shared" si="10"/>
        <v>0</v>
      </c>
      <c r="K371" s="229" t="s">
        <v>19</v>
      </c>
      <c r="L371" s="234"/>
      <c r="M371" s="235" t="s">
        <v>19</v>
      </c>
      <c r="N371" s="236" t="s">
        <v>43</v>
      </c>
      <c r="O371" s="66"/>
      <c r="P371" s="190">
        <f t="shared" si="11"/>
        <v>0</v>
      </c>
      <c r="Q371" s="190">
        <v>0</v>
      </c>
      <c r="R371" s="190">
        <f t="shared" si="12"/>
        <v>0</v>
      </c>
      <c r="S371" s="190">
        <v>0</v>
      </c>
      <c r="T371" s="191">
        <f t="shared" si="13"/>
        <v>0</v>
      </c>
      <c r="U371" s="36"/>
      <c r="V371" s="36"/>
      <c r="W371" s="36"/>
      <c r="X371" s="36"/>
      <c r="Y371" s="36"/>
      <c r="Z371" s="36"/>
      <c r="AA371" s="36"/>
      <c r="AB371" s="36"/>
      <c r="AC371" s="36"/>
      <c r="AD371" s="36"/>
      <c r="AE371" s="36"/>
      <c r="AR371" s="192" t="s">
        <v>424</v>
      </c>
      <c r="AT371" s="192" t="s">
        <v>465</v>
      </c>
      <c r="AU371" s="192" t="s">
        <v>82</v>
      </c>
      <c r="AY371" s="19" t="s">
        <v>380</v>
      </c>
      <c r="BE371" s="193">
        <f t="shared" si="14"/>
        <v>0</v>
      </c>
      <c r="BF371" s="193">
        <f t="shared" si="15"/>
        <v>0</v>
      </c>
      <c r="BG371" s="193">
        <f t="shared" si="16"/>
        <v>0</v>
      </c>
      <c r="BH371" s="193">
        <f t="shared" si="17"/>
        <v>0</v>
      </c>
      <c r="BI371" s="193">
        <f t="shared" si="18"/>
        <v>0</v>
      </c>
      <c r="BJ371" s="19" t="s">
        <v>79</v>
      </c>
      <c r="BK371" s="193">
        <f t="shared" si="19"/>
        <v>0</v>
      </c>
      <c r="BL371" s="19" t="s">
        <v>386</v>
      </c>
      <c r="BM371" s="192" t="s">
        <v>2024</v>
      </c>
    </row>
    <row r="372" spans="1:65" s="2" customFormat="1" ht="16.5" customHeight="1">
      <c r="A372" s="36"/>
      <c r="B372" s="37"/>
      <c r="C372" s="227" t="s">
        <v>1234</v>
      </c>
      <c r="D372" s="227" t="s">
        <v>465</v>
      </c>
      <c r="E372" s="228" t="s">
        <v>2731</v>
      </c>
      <c r="F372" s="229" t="s">
        <v>2732</v>
      </c>
      <c r="G372" s="230" t="s">
        <v>452</v>
      </c>
      <c r="H372" s="231">
        <v>4</v>
      </c>
      <c r="I372" s="232"/>
      <c r="J372" s="233">
        <f t="shared" si="10"/>
        <v>0</v>
      </c>
      <c r="K372" s="229" t="s">
        <v>19</v>
      </c>
      <c r="L372" s="234"/>
      <c r="M372" s="235" t="s">
        <v>19</v>
      </c>
      <c r="N372" s="236" t="s">
        <v>43</v>
      </c>
      <c r="O372" s="66"/>
      <c r="P372" s="190">
        <f t="shared" si="11"/>
        <v>0</v>
      </c>
      <c r="Q372" s="190">
        <v>0</v>
      </c>
      <c r="R372" s="190">
        <f t="shared" si="12"/>
        <v>0</v>
      </c>
      <c r="S372" s="190">
        <v>0</v>
      </c>
      <c r="T372" s="191">
        <f t="shared" si="13"/>
        <v>0</v>
      </c>
      <c r="U372" s="36"/>
      <c r="V372" s="36"/>
      <c r="W372" s="36"/>
      <c r="X372" s="36"/>
      <c r="Y372" s="36"/>
      <c r="Z372" s="36"/>
      <c r="AA372" s="36"/>
      <c r="AB372" s="36"/>
      <c r="AC372" s="36"/>
      <c r="AD372" s="36"/>
      <c r="AE372" s="36"/>
      <c r="AR372" s="192" t="s">
        <v>424</v>
      </c>
      <c r="AT372" s="192" t="s">
        <v>465</v>
      </c>
      <c r="AU372" s="192" t="s">
        <v>82</v>
      </c>
      <c r="AY372" s="19" t="s">
        <v>380</v>
      </c>
      <c r="BE372" s="193">
        <f t="shared" si="14"/>
        <v>0</v>
      </c>
      <c r="BF372" s="193">
        <f t="shared" si="15"/>
        <v>0</v>
      </c>
      <c r="BG372" s="193">
        <f t="shared" si="16"/>
        <v>0</v>
      </c>
      <c r="BH372" s="193">
        <f t="shared" si="17"/>
        <v>0</v>
      </c>
      <c r="BI372" s="193">
        <f t="shared" si="18"/>
        <v>0</v>
      </c>
      <c r="BJ372" s="19" t="s">
        <v>79</v>
      </c>
      <c r="BK372" s="193">
        <f t="shared" si="19"/>
        <v>0</v>
      </c>
      <c r="BL372" s="19" t="s">
        <v>386</v>
      </c>
      <c r="BM372" s="192" t="s">
        <v>2032</v>
      </c>
    </row>
    <row r="373" spans="1:65" s="2" customFormat="1" ht="16.5" customHeight="1">
      <c r="A373" s="36"/>
      <c r="B373" s="37"/>
      <c r="C373" s="227" t="s">
        <v>1239</v>
      </c>
      <c r="D373" s="227" t="s">
        <v>465</v>
      </c>
      <c r="E373" s="228" t="s">
        <v>2733</v>
      </c>
      <c r="F373" s="229" t="s">
        <v>2734</v>
      </c>
      <c r="G373" s="230" t="s">
        <v>2393</v>
      </c>
      <c r="H373" s="231">
        <v>2</v>
      </c>
      <c r="I373" s="232"/>
      <c r="J373" s="233">
        <f t="shared" si="10"/>
        <v>0</v>
      </c>
      <c r="K373" s="229" t="s">
        <v>19</v>
      </c>
      <c r="L373" s="234"/>
      <c r="M373" s="235" t="s">
        <v>19</v>
      </c>
      <c r="N373" s="236" t="s">
        <v>43</v>
      </c>
      <c r="O373" s="66"/>
      <c r="P373" s="190">
        <f t="shared" si="11"/>
        <v>0</v>
      </c>
      <c r="Q373" s="190">
        <v>0</v>
      </c>
      <c r="R373" s="190">
        <f t="shared" si="12"/>
        <v>0</v>
      </c>
      <c r="S373" s="190">
        <v>0</v>
      </c>
      <c r="T373" s="191">
        <f t="shared" si="13"/>
        <v>0</v>
      </c>
      <c r="U373" s="36"/>
      <c r="V373" s="36"/>
      <c r="W373" s="36"/>
      <c r="X373" s="36"/>
      <c r="Y373" s="36"/>
      <c r="Z373" s="36"/>
      <c r="AA373" s="36"/>
      <c r="AB373" s="36"/>
      <c r="AC373" s="36"/>
      <c r="AD373" s="36"/>
      <c r="AE373" s="36"/>
      <c r="AR373" s="192" t="s">
        <v>424</v>
      </c>
      <c r="AT373" s="192" t="s">
        <v>465</v>
      </c>
      <c r="AU373" s="192" t="s">
        <v>82</v>
      </c>
      <c r="AY373" s="19" t="s">
        <v>380</v>
      </c>
      <c r="BE373" s="193">
        <f t="shared" si="14"/>
        <v>0</v>
      </c>
      <c r="BF373" s="193">
        <f t="shared" si="15"/>
        <v>0</v>
      </c>
      <c r="BG373" s="193">
        <f t="shared" si="16"/>
        <v>0</v>
      </c>
      <c r="BH373" s="193">
        <f t="shared" si="17"/>
        <v>0</v>
      </c>
      <c r="BI373" s="193">
        <f t="shared" si="18"/>
        <v>0</v>
      </c>
      <c r="BJ373" s="19" t="s">
        <v>79</v>
      </c>
      <c r="BK373" s="193">
        <f t="shared" si="19"/>
        <v>0</v>
      </c>
      <c r="BL373" s="19" t="s">
        <v>386</v>
      </c>
      <c r="BM373" s="192" t="s">
        <v>2040</v>
      </c>
    </row>
    <row r="374" spans="1:65" s="2" customFormat="1" ht="16.5" customHeight="1">
      <c r="A374" s="36"/>
      <c r="B374" s="37"/>
      <c r="C374" s="227" t="s">
        <v>1245</v>
      </c>
      <c r="D374" s="227" t="s">
        <v>465</v>
      </c>
      <c r="E374" s="228" t="s">
        <v>2735</v>
      </c>
      <c r="F374" s="229" t="s">
        <v>2736</v>
      </c>
      <c r="G374" s="230" t="s">
        <v>2393</v>
      </c>
      <c r="H374" s="231">
        <v>3</v>
      </c>
      <c r="I374" s="232"/>
      <c r="J374" s="233">
        <f t="shared" si="10"/>
        <v>0</v>
      </c>
      <c r="K374" s="229" t="s">
        <v>19</v>
      </c>
      <c r="L374" s="234"/>
      <c r="M374" s="235" t="s">
        <v>19</v>
      </c>
      <c r="N374" s="236" t="s">
        <v>43</v>
      </c>
      <c r="O374" s="66"/>
      <c r="P374" s="190">
        <f t="shared" si="11"/>
        <v>0</v>
      </c>
      <c r="Q374" s="190">
        <v>0</v>
      </c>
      <c r="R374" s="190">
        <f t="shared" si="12"/>
        <v>0</v>
      </c>
      <c r="S374" s="190">
        <v>0</v>
      </c>
      <c r="T374" s="191">
        <f t="shared" si="13"/>
        <v>0</v>
      </c>
      <c r="U374" s="36"/>
      <c r="V374" s="36"/>
      <c r="W374" s="36"/>
      <c r="X374" s="36"/>
      <c r="Y374" s="36"/>
      <c r="Z374" s="36"/>
      <c r="AA374" s="36"/>
      <c r="AB374" s="36"/>
      <c r="AC374" s="36"/>
      <c r="AD374" s="36"/>
      <c r="AE374" s="36"/>
      <c r="AR374" s="192" t="s">
        <v>424</v>
      </c>
      <c r="AT374" s="192" t="s">
        <v>465</v>
      </c>
      <c r="AU374" s="192" t="s">
        <v>82</v>
      </c>
      <c r="AY374" s="19" t="s">
        <v>380</v>
      </c>
      <c r="BE374" s="193">
        <f t="shared" si="14"/>
        <v>0</v>
      </c>
      <c r="BF374" s="193">
        <f t="shared" si="15"/>
        <v>0</v>
      </c>
      <c r="BG374" s="193">
        <f t="shared" si="16"/>
        <v>0</v>
      </c>
      <c r="BH374" s="193">
        <f t="shared" si="17"/>
        <v>0</v>
      </c>
      <c r="BI374" s="193">
        <f t="shared" si="18"/>
        <v>0</v>
      </c>
      <c r="BJ374" s="19" t="s">
        <v>79</v>
      </c>
      <c r="BK374" s="193">
        <f t="shared" si="19"/>
        <v>0</v>
      </c>
      <c r="BL374" s="19" t="s">
        <v>386</v>
      </c>
      <c r="BM374" s="192" t="s">
        <v>2048</v>
      </c>
    </row>
    <row r="375" spans="1:65" s="2" customFormat="1" ht="16.5" customHeight="1">
      <c r="A375" s="36"/>
      <c r="B375" s="37"/>
      <c r="C375" s="227" t="s">
        <v>1251</v>
      </c>
      <c r="D375" s="227" t="s">
        <v>465</v>
      </c>
      <c r="E375" s="228" t="s">
        <v>2737</v>
      </c>
      <c r="F375" s="229" t="s">
        <v>2738</v>
      </c>
      <c r="G375" s="230" t="s">
        <v>2393</v>
      </c>
      <c r="H375" s="231">
        <v>2</v>
      </c>
      <c r="I375" s="232"/>
      <c r="J375" s="233">
        <f t="shared" si="10"/>
        <v>0</v>
      </c>
      <c r="K375" s="229" t="s">
        <v>19</v>
      </c>
      <c r="L375" s="234"/>
      <c r="M375" s="235" t="s">
        <v>19</v>
      </c>
      <c r="N375" s="236" t="s">
        <v>43</v>
      </c>
      <c r="O375" s="66"/>
      <c r="P375" s="190">
        <f t="shared" si="11"/>
        <v>0</v>
      </c>
      <c r="Q375" s="190">
        <v>0</v>
      </c>
      <c r="R375" s="190">
        <f t="shared" si="12"/>
        <v>0</v>
      </c>
      <c r="S375" s="190">
        <v>0</v>
      </c>
      <c r="T375" s="191">
        <f t="shared" si="13"/>
        <v>0</v>
      </c>
      <c r="U375" s="36"/>
      <c r="V375" s="36"/>
      <c r="W375" s="36"/>
      <c r="X375" s="36"/>
      <c r="Y375" s="36"/>
      <c r="Z375" s="36"/>
      <c r="AA375" s="36"/>
      <c r="AB375" s="36"/>
      <c r="AC375" s="36"/>
      <c r="AD375" s="36"/>
      <c r="AE375" s="36"/>
      <c r="AR375" s="192" t="s">
        <v>424</v>
      </c>
      <c r="AT375" s="192" t="s">
        <v>465</v>
      </c>
      <c r="AU375" s="192" t="s">
        <v>82</v>
      </c>
      <c r="AY375" s="19" t="s">
        <v>380</v>
      </c>
      <c r="BE375" s="193">
        <f t="shared" si="14"/>
        <v>0</v>
      </c>
      <c r="BF375" s="193">
        <f t="shared" si="15"/>
        <v>0</v>
      </c>
      <c r="BG375" s="193">
        <f t="shared" si="16"/>
        <v>0</v>
      </c>
      <c r="BH375" s="193">
        <f t="shared" si="17"/>
        <v>0</v>
      </c>
      <c r="BI375" s="193">
        <f t="shared" si="18"/>
        <v>0</v>
      </c>
      <c r="BJ375" s="19" t="s">
        <v>79</v>
      </c>
      <c r="BK375" s="193">
        <f t="shared" si="19"/>
        <v>0</v>
      </c>
      <c r="BL375" s="19" t="s">
        <v>386</v>
      </c>
      <c r="BM375" s="192" t="s">
        <v>2056</v>
      </c>
    </row>
    <row r="376" spans="1:65" s="2" customFormat="1" ht="16.5" customHeight="1">
      <c r="A376" s="36"/>
      <c r="B376" s="37"/>
      <c r="C376" s="227" t="s">
        <v>1256</v>
      </c>
      <c r="D376" s="227" t="s">
        <v>465</v>
      </c>
      <c r="E376" s="228" t="s">
        <v>2739</v>
      </c>
      <c r="F376" s="229" t="s">
        <v>2740</v>
      </c>
      <c r="G376" s="230" t="s">
        <v>2393</v>
      </c>
      <c r="H376" s="231">
        <v>3</v>
      </c>
      <c r="I376" s="232"/>
      <c r="J376" s="233">
        <f t="shared" si="10"/>
        <v>0</v>
      </c>
      <c r="K376" s="229" t="s">
        <v>19</v>
      </c>
      <c r="L376" s="234"/>
      <c r="M376" s="235" t="s">
        <v>19</v>
      </c>
      <c r="N376" s="236" t="s">
        <v>43</v>
      </c>
      <c r="O376" s="66"/>
      <c r="P376" s="190">
        <f t="shared" si="11"/>
        <v>0</v>
      </c>
      <c r="Q376" s="190">
        <v>0</v>
      </c>
      <c r="R376" s="190">
        <f t="shared" si="12"/>
        <v>0</v>
      </c>
      <c r="S376" s="190">
        <v>0</v>
      </c>
      <c r="T376" s="191">
        <f t="shared" si="13"/>
        <v>0</v>
      </c>
      <c r="U376" s="36"/>
      <c r="V376" s="36"/>
      <c r="W376" s="36"/>
      <c r="X376" s="36"/>
      <c r="Y376" s="36"/>
      <c r="Z376" s="36"/>
      <c r="AA376" s="36"/>
      <c r="AB376" s="36"/>
      <c r="AC376" s="36"/>
      <c r="AD376" s="36"/>
      <c r="AE376" s="36"/>
      <c r="AR376" s="192" t="s">
        <v>424</v>
      </c>
      <c r="AT376" s="192" t="s">
        <v>465</v>
      </c>
      <c r="AU376" s="192" t="s">
        <v>82</v>
      </c>
      <c r="AY376" s="19" t="s">
        <v>380</v>
      </c>
      <c r="BE376" s="193">
        <f t="shared" si="14"/>
        <v>0</v>
      </c>
      <c r="BF376" s="193">
        <f t="shared" si="15"/>
        <v>0</v>
      </c>
      <c r="BG376" s="193">
        <f t="shared" si="16"/>
        <v>0</v>
      </c>
      <c r="BH376" s="193">
        <f t="shared" si="17"/>
        <v>0</v>
      </c>
      <c r="BI376" s="193">
        <f t="shared" si="18"/>
        <v>0</v>
      </c>
      <c r="BJ376" s="19" t="s">
        <v>79</v>
      </c>
      <c r="BK376" s="193">
        <f t="shared" si="19"/>
        <v>0</v>
      </c>
      <c r="BL376" s="19" t="s">
        <v>386</v>
      </c>
      <c r="BM376" s="192" t="s">
        <v>2064</v>
      </c>
    </row>
    <row r="377" spans="1:65" s="2" customFormat="1" ht="16.5" customHeight="1">
      <c r="A377" s="36"/>
      <c r="B377" s="37"/>
      <c r="C377" s="227" t="s">
        <v>1261</v>
      </c>
      <c r="D377" s="227" t="s">
        <v>465</v>
      </c>
      <c r="E377" s="228" t="s">
        <v>2741</v>
      </c>
      <c r="F377" s="229" t="s">
        <v>2742</v>
      </c>
      <c r="G377" s="230" t="s">
        <v>2393</v>
      </c>
      <c r="H377" s="231">
        <v>2</v>
      </c>
      <c r="I377" s="232"/>
      <c r="J377" s="233">
        <f t="shared" si="10"/>
        <v>0</v>
      </c>
      <c r="K377" s="229" t="s">
        <v>19</v>
      </c>
      <c r="L377" s="234"/>
      <c r="M377" s="235" t="s">
        <v>19</v>
      </c>
      <c r="N377" s="236" t="s">
        <v>43</v>
      </c>
      <c r="O377" s="66"/>
      <c r="P377" s="190">
        <f t="shared" si="11"/>
        <v>0</v>
      </c>
      <c r="Q377" s="190">
        <v>0</v>
      </c>
      <c r="R377" s="190">
        <f t="shared" si="12"/>
        <v>0</v>
      </c>
      <c r="S377" s="190">
        <v>0</v>
      </c>
      <c r="T377" s="191">
        <f t="shared" si="13"/>
        <v>0</v>
      </c>
      <c r="U377" s="36"/>
      <c r="V377" s="36"/>
      <c r="W377" s="36"/>
      <c r="X377" s="36"/>
      <c r="Y377" s="36"/>
      <c r="Z377" s="36"/>
      <c r="AA377" s="36"/>
      <c r="AB377" s="36"/>
      <c r="AC377" s="36"/>
      <c r="AD377" s="36"/>
      <c r="AE377" s="36"/>
      <c r="AR377" s="192" t="s">
        <v>424</v>
      </c>
      <c r="AT377" s="192" t="s">
        <v>465</v>
      </c>
      <c r="AU377" s="192" t="s">
        <v>82</v>
      </c>
      <c r="AY377" s="19" t="s">
        <v>380</v>
      </c>
      <c r="BE377" s="193">
        <f t="shared" si="14"/>
        <v>0</v>
      </c>
      <c r="BF377" s="193">
        <f t="shared" si="15"/>
        <v>0</v>
      </c>
      <c r="BG377" s="193">
        <f t="shared" si="16"/>
        <v>0</v>
      </c>
      <c r="BH377" s="193">
        <f t="shared" si="17"/>
        <v>0</v>
      </c>
      <c r="BI377" s="193">
        <f t="shared" si="18"/>
        <v>0</v>
      </c>
      <c r="BJ377" s="19" t="s">
        <v>79</v>
      </c>
      <c r="BK377" s="193">
        <f t="shared" si="19"/>
        <v>0</v>
      </c>
      <c r="BL377" s="19" t="s">
        <v>386</v>
      </c>
      <c r="BM377" s="192" t="s">
        <v>2072</v>
      </c>
    </row>
    <row r="378" spans="1:65" s="2" customFormat="1" ht="16.5" customHeight="1">
      <c r="A378" s="36"/>
      <c r="B378" s="37"/>
      <c r="C378" s="227" t="s">
        <v>1266</v>
      </c>
      <c r="D378" s="227" t="s">
        <v>465</v>
      </c>
      <c r="E378" s="228" t="s">
        <v>2743</v>
      </c>
      <c r="F378" s="229" t="s">
        <v>2744</v>
      </c>
      <c r="G378" s="230" t="s">
        <v>452</v>
      </c>
      <c r="H378" s="231">
        <v>665.5</v>
      </c>
      <c r="I378" s="232"/>
      <c r="J378" s="233">
        <f t="shared" si="10"/>
        <v>0</v>
      </c>
      <c r="K378" s="229" t="s">
        <v>19</v>
      </c>
      <c r="L378" s="234"/>
      <c r="M378" s="235" t="s">
        <v>19</v>
      </c>
      <c r="N378" s="236" t="s">
        <v>43</v>
      </c>
      <c r="O378" s="66"/>
      <c r="P378" s="190">
        <f t="shared" si="11"/>
        <v>0</v>
      </c>
      <c r="Q378" s="190">
        <v>0</v>
      </c>
      <c r="R378" s="190">
        <f t="shared" si="12"/>
        <v>0</v>
      </c>
      <c r="S378" s="190">
        <v>0</v>
      </c>
      <c r="T378" s="191">
        <f t="shared" si="13"/>
        <v>0</v>
      </c>
      <c r="U378" s="36"/>
      <c r="V378" s="36"/>
      <c r="W378" s="36"/>
      <c r="X378" s="36"/>
      <c r="Y378" s="36"/>
      <c r="Z378" s="36"/>
      <c r="AA378" s="36"/>
      <c r="AB378" s="36"/>
      <c r="AC378" s="36"/>
      <c r="AD378" s="36"/>
      <c r="AE378" s="36"/>
      <c r="AR378" s="192" t="s">
        <v>424</v>
      </c>
      <c r="AT378" s="192" t="s">
        <v>465</v>
      </c>
      <c r="AU378" s="192" t="s">
        <v>82</v>
      </c>
      <c r="AY378" s="19" t="s">
        <v>380</v>
      </c>
      <c r="BE378" s="193">
        <f t="shared" si="14"/>
        <v>0</v>
      </c>
      <c r="BF378" s="193">
        <f t="shared" si="15"/>
        <v>0</v>
      </c>
      <c r="BG378" s="193">
        <f t="shared" si="16"/>
        <v>0</v>
      </c>
      <c r="BH378" s="193">
        <f t="shared" si="17"/>
        <v>0</v>
      </c>
      <c r="BI378" s="193">
        <f t="shared" si="18"/>
        <v>0</v>
      </c>
      <c r="BJ378" s="19" t="s">
        <v>79</v>
      </c>
      <c r="BK378" s="193">
        <f t="shared" si="19"/>
        <v>0</v>
      </c>
      <c r="BL378" s="19" t="s">
        <v>386</v>
      </c>
      <c r="BM378" s="192" t="s">
        <v>2083</v>
      </c>
    </row>
    <row r="379" spans="1:65" s="14" customFormat="1" ht="11.25">
      <c r="B379" s="205"/>
      <c r="C379" s="206"/>
      <c r="D379" s="196" t="s">
        <v>388</v>
      </c>
      <c r="E379" s="207" t="s">
        <v>19</v>
      </c>
      <c r="F379" s="208" t="s">
        <v>2745</v>
      </c>
      <c r="G379" s="206"/>
      <c r="H379" s="209">
        <v>665.5</v>
      </c>
      <c r="I379" s="210"/>
      <c r="J379" s="206"/>
      <c r="K379" s="206"/>
      <c r="L379" s="211"/>
      <c r="M379" s="212"/>
      <c r="N379" s="213"/>
      <c r="O379" s="213"/>
      <c r="P379" s="213"/>
      <c r="Q379" s="213"/>
      <c r="R379" s="213"/>
      <c r="S379" s="213"/>
      <c r="T379" s="214"/>
      <c r="AT379" s="215" t="s">
        <v>388</v>
      </c>
      <c r="AU379" s="215" t="s">
        <v>82</v>
      </c>
      <c r="AV379" s="14" t="s">
        <v>82</v>
      </c>
      <c r="AW379" s="14" t="s">
        <v>33</v>
      </c>
      <c r="AX379" s="14" t="s">
        <v>72</v>
      </c>
      <c r="AY379" s="215" t="s">
        <v>380</v>
      </c>
    </row>
    <row r="380" spans="1:65" s="15" customFormat="1" ht="11.25">
      <c r="B380" s="216"/>
      <c r="C380" s="217"/>
      <c r="D380" s="196" t="s">
        <v>388</v>
      </c>
      <c r="E380" s="218" t="s">
        <v>19</v>
      </c>
      <c r="F380" s="219" t="s">
        <v>419</v>
      </c>
      <c r="G380" s="217"/>
      <c r="H380" s="220">
        <v>665.5</v>
      </c>
      <c r="I380" s="221"/>
      <c r="J380" s="217"/>
      <c r="K380" s="217"/>
      <c r="L380" s="222"/>
      <c r="M380" s="223"/>
      <c r="N380" s="224"/>
      <c r="O380" s="224"/>
      <c r="P380" s="224"/>
      <c r="Q380" s="224"/>
      <c r="R380" s="224"/>
      <c r="S380" s="224"/>
      <c r="T380" s="225"/>
      <c r="AT380" s="226" t="s">
        <v>388</v>
      </c>
      <c r="AU380" s="226" t="s">
        <v>82</v>
      </c>
      <c r="AV380" s="15" t="s">
        <v>386</v>
      </c>
      <c r="AW380" s="15" t="s">
        <v>33</v>
      </c>
      <c r="AX380" s="15" t="s">
        <v>79</v>
      </c>
      <c r="AY380" s="226" t="s">
        <v>380</v>
      </c>
    </row>
    <row r="381" spans="1:65" s="2" customFormat="1" ht="16.5" customHeight="1">
      <c r="A381" s="36"/>
      <c r="B381" s="37"/>
      <c r="C381" s="227" t="s">
        <v>1271</v>
      </c>
      <c r="D381" s="227" t="s">
        <v>465</v>
      </c>
      <c r="E381" s="228" t="s">
        <v>2746</v>
      </c>
      <c r="F381" s="229" t="s">
        <v>2747</v>
      </c>
      <c r="G381" s="230" t="s">
        <v>452</v>
      </c>
      <c r="H381" s="231">
        <v>9.9</v>
      </c>
      <c r="I381" s="232"/>
      <c r="J381" s="233">
        <f>ROUND(I381*H381,2)</f>
        <v>0</v>
      </c>
      <c r="K381" s="229" t="s">
        <v>19</v>
      </c>
      <c r="L381" s="234"/>
      <c r="M381" s="235" t="s">
        <v>19</v>
      </c>
      <c r="N381" s="236" t="s">
        <v>43</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424</v>
      </c>
      <c r="AT381" s="192" t="s">
        <v>465</v>
      </c>
      <c r="AU381" s="192" t="s">
        <v>82</v>
      </c>
      <c r="AY381" s="19" t="s">
        <v>380</v>
      </c>
      <c r="BE381" s="193">
        <f>IF(N381="základní",J381,0)</f>
        <v>0</v>
      </c>
      <c r="BF381" s="193">
        <f>IF(N381="snížená",J381,0)</f>
        <v>0</v>
      </c>
      <c r="BG381" s="193">
        <f>IF(N381="zákl. přenesená",J381,0)</f>
        <v>0</v>
      </c>
      <c r="BH381" s="193">
        <f>IF(N381="sníž. přenesená",J381,0)</f>
        <v>0</v>
      </c>
      <c r="BI381" s="193">
        <f>IF(N381="nulová",J381,0)</f>
        <v>0</v>
      </c>
      <c r="BJ381" s="19" t="s">
        <v>79</v>
      </c>
      <c r="BK381" s="193">
        <f>ROUND(I381*H381,2)</f>
        <v>0</v>
      </c>
      <c r="BL381" s="19" t="s">
        <v>386</v>
      </c>
      <c r="BM381" s="192" t="s">
        <v>2091</v>
      </c>
    </row>
    <row r="382" spans="1:65" s="2" customFormat="1" ht="19.5">
      <c r="A382" s="36"/>
      <c r="B382" s="37"/>
      <c r="C382" s="38"/>
      <c r="D382" s="196" t="s">
        <v>1226</v>
      </c>
      <c r="E382" s="38"/>
      <c r="F382" s="248" t="s">
        <v>2748</v>
      </c>
      <c r="G382" s="38"/>
      <c r="H382" s="38"/>
      <c r="I382" s="249"/>
      <c r="J382" s="38"/>
      <c r="K382" s="38"/>
      <c r="L382" s="41"/>
      <c r="M382" s="250"/>
      <c r="N382" s="251"/>
      <c r="O382" s="66"/>
      <c r="P382" s="66"/>
      <c r="Q382" s="66"/>
      <c r="R382" s="66"/>
      <c r="S382" s="66"/>
      <c r="T382" s="67"/>
      <c r="U382" s="36"/>
      <c r="V382" s="36"/>
      <c r="W382" s="36"/>
      <c r="X382" s="36"/>
      <c r="Y382" s="36"/>
      <c r="Z382" s="36"/>
      <c r="AA382" s="36"/>
      <c r="AB382" s="36"/>
      <c r="AC382" s="36"/>
      <c r="AD382" s="36"/>
      <c r="AE382" s="36"/>
      <c r="AT382" s="19" t="s">
        <v>1226</v>
      </c>
      <c r="AU382" s="19" t="s">
        <v>82</v>
      </c>
    </row>
    <row r="383" spans="1:65" s="14" customFormat="1" ht="11.25">
      <c r="B383" s="205"/>
      <c r="C383" s="206"/>
      <c r="D383" s="196" t="s">
        <v>388</v>
      </c>
      <c r="E383" s="207" t="s">
        <v>19</v>
      </c>
      <c r="F383" s="208" t="s">
        <v>2749</v>
      </c>
      <c r="G383" s="206"/>
      <c r="H383" s="209">
        <v>9.9</v>
      </c>
      <c r="I383" s="210"/>
      <c r="J383" s="206"/>
      <c r="K383" s="206"/>
      <c r="L383" s="211"/>
      <c r="M383" s="212"/>
      <c r="N383" s="213"/>
      <c r="O383" s="213"/>
      <c r="P383" s="213"/>
      <c r="Q383" s="213"/>
      <c r="R383" s="213"/>
      <c r="S383" s="213"/>
      <c r="T383" s="214"/>
      <c r="AT383" s="215" t="s">
        <v>388</v>
      </c>
      <c r="AU383" s="215" t="s">
        <v>82</v>
      </c>
      <c r="AV383" s="14" t="s">
        <v>82</v>
      </c>
      <c r="AW383" s="14" t="s">
        <v>33</v>
      </c>
      <c r="AX383" s="14" t="s">
        <v>72</v>
      </c>
      <c r="AY383" s="215" t="s">
        <v>380</v>
      </c>
    </row>
    <row r="384" spans="1:65" s="15" customFormat="1" ht="11.25">
      <c r="B384" s="216"/>
      <c r="C384" s="217"/>
      <c r="D384" s="196" t="s">
        <v>388</v>
      </c>
      <c r="E384" s="218" t="s">
        <v>19</v>
      </c>
      <c r="F384" s="219" t="s">
        <v>419</v>
      </c>
      <c r="G384" s="217"/>
      <c r="H384" s="220">
        <v>9.9</v>
      </c>
      <c r="I384" s="221"/>
      <c r="J384" s="217"/>
      <c r="K384" s="217"/>
      <c r="L384" s="222"/>
      <c r="M384" s="223"/>
      <c r="N384" s="224"/>
      <c r="O384" s="224"/>
      <c r="P384" s="224"/>
      <c r="Q384" s="224"/>
      <c r="R384" s="224"/>
      <c r="S384" s="224"/>
      <c r="T384" s="225"/>
      <c r="AT384" s="226" t="s">
        <v>388</v>
      </c>
      <c r="AU384" s="226" t="s">
        <v>82</v>
      </c>
      <c r="AV384" s="15" t="s">
        <v>386</v>
      </c>
      <c r="AW384" s="15" t="s">
        <v>33</v>
      </c>
      <c r="AX384" s="15" t="s">
        <v>79</v>
      </c>
      <c r="AY384" s="226" t="s">
        <v>380</v>
      </c>
    </row>
    <row r="385" spans="1:65" s="2" customFormat="1" ht="16.5" customHeight="1">
      <c r="A385" s="36"/>
      <c r="B385" s="37"/>
      <c r="C385" s="227" t="s">
        <v>1275</v>
      </c>
      <c r="D385" s="227" t="s">
        <v>465</v>
      </c>
      <c r="E385" s="228" t="s">
        <v>2750</v>
      </c>
      <c r="F385" s="229" t="s">
        <v>2751</v>
      </c>
      <c r="G385" s="230" t="s">
        <v>452</v>
      </c>
      <c r="H385" s="231">
        <v>667.7</v>
      </c>
      <c r="I385" s="232"/>
      <c r="J385" s="233">
        <f>ROUND(I385*H385,2)</f>
        <v>0</v>
      </c>
      <c r="K385" s="229" t="s">
        <v>19</v>
      </c>
      <c r="L385" s="234"/>
      <c r="M385" s="235" t="s">
        <v>19</v>
      </c>
      <c r="N385" s="236" t="s">
        <v>43</v>
      </c>
      <c r="O385" s="66"/>
      <c r="P385" s="190">
        <f>O385*H385</f>
        <v>0</v>
      </c>
      <c r="Q385" s="190">
        <v>0</v>
      </c>
      <c r="R385" s="190">
        <f>Q385*H385</f>
        <v>0</v>
      </c>
      <c r="S385" s="190">
        <v>0</v>
      </c>
      <c r="T385" s="191">
        <f>S385*H385</f>
        <v>0</v>
      </c>
      <c r="U385" s="36"/>
      <c r="V385" s="36"/>
      <c r="W385" s="36"/>
      <c r="X385" s="36"/>
      <c r="Y385" s="36"/>
      <c r="Z385" s="36"/>
      <c r="AA385" s="36"/>
      <c r="AB385" s="36"/>
      <c r="AC385" s="36"/>
      <c r="AD385" s="36"/>
      <c r="AE385" s="36"/>
      <c r="AR385" s="192" t="s">
        <v>424</v>
      </c>
      <c r="AT385" s="192" t="s">
        <v>465</v>
      </c>
      <c r="AU385" s="192" t="s">
        <v>82</v>
      </c>
      <c r="AY385" s="19" t="s">
        <v>380</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386</v>
      </c>
      <c r="BM385" s="192" t="s">
        <v>2099</v>
      </c>
    </row>
    <row r="386" spans="1:65" s="2" customFormat="1" ht="19.5">
      <c r="A386" s="36"/>
      <c r="B386" s="37"/>
      <c r="C386" s="38"/>
      <c r="D386" s="196" t="s">
        <v>1226</v>
      </c>
      <c r="E386" s="38"/>
      <c r="F386" s="248" t="s">
        <v>2752</v>
      </c>
      <c r="G386" s="38"/>
      <c r="H386" s="38"/>
      <c r="I386" s="249"/>
      <c r="J386" s="38"/>
      <c r="K386" s="38"/>
      <c r="L386" s="41"/>
      <c r="M386" s="250"/>
      <c r="N386" s="251"/>
      <c r="O386" s="66"/>
      <c r="P386" s="66"/>
      <c r="Q386" s="66"/>
      <c r="R386" s="66"/>
      <c r="S386" s="66"/>
      <c r="T386" s="67"/>
      <c r="U386" s="36"/>
      <c r="V386" s="36"/>
      <c r="W386" s="36"/>
      <c r="X386" s="36"/>
      <c r="Y386" s="36"/>
      <c r="Z386" s="36"/>
      <c r="AA386" s="36"/>
      <c r="AB386" s="36"/>
      <c r="AC386" s="36"/>
      <c r="AD386" s="36"/>
      <c r="AE386" s="36"/>
      <c r="AT386" s="19" t="s">
        <v>1226</v>
      </c>
      <c r="AU386" s="19" t="s">
        <v>82</v>
      </c>
    </row>
    <row r="387" spans="1:65" s="14" customFormat="1" ht="11.25">
      <c r="B387" s="205"/>
      <c r="C387" s="206"/>
      <c r="D387" s="196" t="s">
        <v>388</v>
      </c>
      <c r="E387" s="207" t="s">
        <v>19</v>
      </c>
      <c r="F387" s="208" t="s">
        <v>2753</v>
      </c>
      <c r="G387" s="206"/>
      <c r="H387" s="209">
        <v>667.7</v>
      </c>
      <c r="I387" s="210"/>
      <c r="J387" s="206"/>
      <c r="K387" s="206"/>
      <c r="L387" s="211"/>
      <c r="M387" s="212"/>
      <c r="N387" s="213"/>
      <c r="O387" s="213"/>
      <c r="P387" s="213"/>
      <c r="Q387" s="213"/>
      <c r="R387" s="213"/>
      <c r="S387" s="213"/>
      <c r="T387" s="214"/>
      <c r="AT387" s="215" t="s">
        <v>388</v>
      </c>
      <c r="AU387" s="215" t="s">
        <v>82</v>
      </c>
      <c r="AV387" s="14" t="s">
        <v>82</v>
      </c>
      <c r="AW387" s="14" t="s">
        <v>33</v>
      </c>
      <c r="AX387" s="14" t="s">
        <v>72</v>
      </c>
      <c r="AY387" s="215" t="s">
        <v>380</v>
      </c>
    </row>
    <row r="388" spans="1:65" s="15" customFormat="1" ht="11.25">
      <c r="B388" s="216"/>
      <c r="C388" s="217"/>
      <c r="D388" s="196" t="s">
        <v>388</v>
      </c>
      <c r="E388" s="218" t="s">
        <v>19</v>
      </c>
      <c r="F388" s="219" t="s">
        <v>419</v>
      </c>
      <c r="G388" s="217"/>
      <c r="H388" s="220">
        <v>667.7</v>
      </c>
      <c r="I388" s="221"/>
      <c r="J388" s="217"/>
      <c r="K388" s="217"/>
      <c r="L388" s="222"/>
      <c r="M388" s="223"/>
      <c r="N388" s="224"/>
      <c r="O388" s="224"/>
      <c r="P388" s="224"/>
      <c r="Q388" s="224"/>
      <c r="R388" s="224"/>
      <c r="S388" s="224"/>
      <c r="T388" s="225"/>
      <c r="AT388" s="226" t="s">
        <v>388</v>
      </c>
      <c r="AU388" s="226" t="s">
        <v>82</v>
      </c>
      <c r="AV388" s="15" t="s">
        <v>386</v>
      </c>
      <c r="AW388" s="15" t="s">
        <v>33</v>
      </c>
      <c r="AX388" s="15" t="s">
        <v>79</v>
      </c>
      <c r="AY388" s="226" t="s">
        <v>380</v>
      </c>
    </row>
    <row r="389" spans="1:65" s="2" customFormat="1" ht="16.5" customHeight="1">
      <c r="A389" s="36"/>
      <c r="B389" s="37"/>
      <c r="C389" s="227" t="s">
        <v>1280</v>
      </c>
      <c r="D389" s="227" t="s">
        <v>465</v>
      </c>
      <c r="E389" s="228" t="s">
        <v>2754</v>
      </c>
      <c r="F389" s="229" t="s">
        <v>2755</v>
      </c>
      <c r="G389" s="230" t="s">
        <v>452</v>
      </c>
      <c r="H389" s="231">
        <v>123.2</v>
      </c>
      <c r="I389" s="232"/>
      <c r="J389" s="233">
        <f>ROUND(I389*H389,2)</f>
        <v>0</v>
      </c>
      <c r="K389" s="229" t="s">
        <v>19</v>
      </c>
      <c r="L389" s="234"/>
      <c r="M389" s="235" t="s">
        <v>19</v>
      </c>
      <c r="N389" s="236" t="s">
        <v>43</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424</v>
      </c>
      <c r="AT389" s="192" t="s">
        <v>465</v>
      </c>
      <c r="AU389" s="192" t="s">
        <v>82</v>
      </c>
      <c r="AY389" s="19" t="s">
        <v>380</v>
      </c>
      <c r="BE389" s="193">
        <f>IF(N389="základní",J389,0)</f>
        <v>0</v>
      </c>
      <c r="BF389" s="193">
        <f>IF(N389="snížená",J389,0)</f>
        <v>0</v>
      </c>
      <c r="BG389" s="193">
        <f>IF(N389="zákl. přenesená",J389,0)</f>
        <v>0</v>
      </c>
      <c r="BH389" s="193">
        <f>IF(N389="sníž. přenesená",J389,0)</f>
        <v>0</v>
      </c>
      <c r="BI389" s="193">
        <f>IF(N389="nulová",J389,0)</f>
        <v>0</v>
      </c>
      <c r="BJ389" s="19" t="s">
        <v>79</v>
      </c>
      <c r="BK389" s="193">
        <f>ROUND(I389*H389,2)</f>
        <v>0</v>
      </c>
      <c r="BL389" s="19" t="s">
        <v>386</v>
      </c>
      <c r="BM389" s="192" t="s">
        <v>2110</v>
      </c>
    </row>
    <row r="390" spans="1:65" s="2" customFormat="1" ht="19.5">
      <c r="A390" s="36"/>
      <c r="B390" s="37"/>
      <c r="C390" s="38"/>
      <c r="D390" s="196" t="s">
        <v>1226</v>
      </c>
      <c r="E390" s="38"/>
      <c r="F390" s="248" t="s">
        <v>2752</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1226</v>
      </c>
      <c r="AU390" s="19" t="s">
        <v>82</v>
      </c>
    </row>
    <row r="391" spans="1:65" s="14" customFormat="1" ht="11.25">
      <c r="B391" s="205"/>
      <c r="C391" s="206"/>
      <c r="D391" s="196" t="s">
        <v>388</v>
      </c>
      <c r="E391" s="207" t="s">
        <v>19</v>
      </c>
      <c r="F391" s="208" t="s">
        <v>2756</v>
      </c>
      <c r="G391" s="206"/>
      <c r="H391" s="209">
        <v>123.2</v>
      </c>
      <c r="I391" s="210"/>
      <c r="J391" s="206"/>
      <c r="K391" s="206"/>
      <c r="L391" s="211"/>
      <c r="M391" s="212"/>
      <c r="N391" s="213"/>
      <c r="O391" s="213"/>
      <c r="P391" s="213"/>
      <c r="Q391" s="213"/>
      <c r="R391" s="213"/>
      <c r="S391" s="213"/>
      <c r="T391" s="214"/>
      <c r="AT391" s="215" t="s">
        <v>388</v>
      </c>
      <c r="AU391" s="215" t="s">
        <v>82</v>
      </c>
      <c r="AV391" s="14" t="s">
        <v>82</v>
      </c>
      <c r="AW391" s="14" t="s">
        <v>33</v>
      </c>
      <c r="AX391" s="14" t="s">
        <v>72</v>
      </c>
      <c r="AY391" s="215" t="s">
        <v>380</v>
      </c>
    </row>
    <row r="392" spans="1:65" s="15" customFormat="1" ht="11.25">
      <c r="B392" s="216"/>
      <c r="C392" s="217"/>
      <c r="D392" s="196" t="s">
        <v>388</v>
      </c>
      <c r="E392" s="218" t="s">
        <v>19</v>
      </c>
      <c r="F392" s="219" t="s">
        <v>419</v>
      </c>
      <c r="G392" s="217"/>
      <c r="H392" s="220">
        <v>123.2</v>
      </c>
      <c r="I392" s="221"/>
      <c r="J392" s="217"/>
      <c r="K392" s="217"/>
      <c r="L392" s="222"/>
      <c r="M392" s="223"/>
      <c r="N392" s="224"/>
      <c r="O392" s="224"/>
      <c r="P392" s="224"/>
      <c r="Q392" s="224"/>
      <c r="R392" s="224"/>
      <c r="S392" s="224"/>
      <c r="T392" s="225"/>
      <c r="AT392" s="226" t="s">
        <v>388</v>
      </c>
      <c r="AU392" s="226" t="s">
        <v>82</v>
      </c>
      <c r="AV392" s="15" t="s">
        <v>386</v>
      </c>
      <c r="AW392" s="15" t="s">
        <v>33</v>
      </c>
      <c r="AX392" s="15" t="s">
        <v>79</v>
      </c>
      <c r="AY392" s="226" t="s">
        <v>380</v>
      </c>
    </row>
    <row r="393" spans="1:65" s="2" customFormat="1" ht="16.5" customHeight="1">
      <c r="A393" s="36"/>
      <c r="B393" s="37"/>
      <c r="C393" s="227" t="s">
        <v>1286</v>
      </c>
      <c r="D393" s="227" t="s">
        <v>465</v>
      </c>
      <c r="E393" s="228" t="s">
        <v>2757</v>
      </c>
      <c r="F393" s="229" t="s">
        <v>2758</v>
      </c>
      <c r="G393" s="230" t="s">
        <v>398</v>
      </c>
      <c r="H393" s="231">
        <v>641.29999999999995</v>
      </c>
      <c r="I393" s="232"/>
      <c r="J393" s="233">
        <f>ROUND(I393*H393,2)</f>
        <v>0</v>
      </c>
      <c r="K393" s="229" t="s">
        <v>19</v>
      </c>
      <c r="L393" s="234"/>
      <c r="M393" s="235" t="s">
        <v>19</v>
      </c>
      <c r="N393" s="236" t="s">
        <v>43</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424</v>
      </c>
      <c r="AT393" s="192" t="s">
        <v>465</v>
      </c>
      <c r="AU393" s="192" t="s">
        <v>82</v>
      </c>
      <c r="AY393" s="19" t="s">
        <v>380</v>
      </c>
      <c r="BE393" s="193">
        <f>IF(N393="základní",J393,0)</f>
        <v>0</v>
      </c>
      <c r="BF393" s="193">
        <f>IF(N393="snížená",J393,0)</f>
        <v>0</v>
      </c>
      <c r="BG393" s="193">
        <f>IF(N393="zákl. přenesená",J393,0)</f>
        <v>0</v>
      </c>
      <c r="BH393" s="193">
        <f>IF(N393="sníž. přenesená",J393,0)</f>
        <v>0</v>
      </c>
      <c r="BI393" s="193">
        <f>IF(N393="nulová",J393,0)</f>
        <v>0</v>
      </c>
      <c r="BJ393" s="19" t="s">
        <v>79</v>
      </c>
      <c r="BK393" s="193">
        <f>ROUND(I393*H393,2)</f>
        <v>0</v>
      </c>
      <c r="BL393" s="19" t="s">
        <v>386</v>
      </c>
      <c r="BM393" s="192" t="s">
        <v>2123</v>
      </c>
    </row>
    <row r="394" spans="1:65" s="14" customFormat="1" ht="11.25">
      <c r="B394" s="205"/>
      <c r="C394" s="206"/>
      <c r="D394" s="196" t="s">
        <v>388</v>
      </c>
      <c r="E394" s="207" t="s">
        <v>19</v>
      </c>
      <c r="F394" s="208" t="s">
        <v>2759</v>
      </c>
      <c r="G394" s="206"/>
      <c r="H394" s="209">
        <v>641.29999999999995</v>
      </c>
      <c r="I394" s="210"/>
      <c r="J394" s="206"/>
      <c r="K394" s="206"/>
      <c r="L394" s="211"/>
      <c r="M394" s="212"/>
      <c r="N394" s="213"/>
      <c r="O394" s="213"/>
      <c r="P394" s="213"/>
      <c r="Q394" s="213"/>
      <c r="R394" s="213"/>
      <c r="S394" s="213"/>
      <c r="T394" s="214"/>
      <c r="AT394" s="215" t="s">
        <v>388</v>
      </c>
      <c r="AU394" s="215" t="s">
        <v>82</v>
      </c>
      <c r="AV394" s="14" t="s">
        <v>82</v>
      </c>
      <c r="AW394" s="14" t="s">
        <v>33</v>
      </c>
      <c r="AX394" s="14" t="s">
        <v>72</v>
      </c>
      <c r="AY394" s="215" t="s">
        <v>380</v>
      </c>
    </row>
    <row r="395" spans="1:65" s="15" customFormat="1" ht="11.25">
      <c r="B395" s="216"/>
      <c r="C395" s="217"/>
      <c r="D395" s="196" t="s">
        <v>388</v>
      </c>
      <c r="E395" s="218" t="s">
        <v>19</v>
      </c>
      <c r="F395" s="219" t="s">
        <v>419</v>
      </c>
      <c r="G395" s="217"/>
      <c r="H395" s="220">
        <v>641.29999999999995</v>
      </c>
      <c r="I395" s="221"/>
      <c r="J395" s="217"/>
      <c r="K395" s="217"/>
      <c r="L395" s="222"/>
      <c r="M395" s="223"/>
      <c r="N395" s="224"/>
      <c r="O395" s="224"/>
      <c r="P395" s="224"/>
      <c r="Q395" s="224"/>
      <c r="R395" s="224"/>
      <c r="S395" s="224"/>
      <c r="T395" s="225"/>
      <c r="AT395" s="226" t="s">
        <v>388</v>
      </c>
      <c r="AU395" s="226" t="s">
        <v>82</v>
      </c>
      <c r="AV395" s="15" t="s">
        <v>386</v>
      </c>
      <c r="AW395" s="15" t="s">
        <v>33</v>
      </c>
      <c r="AX395" s="15" t="s">
        <v>79</v>
      </c>
      <c r="AY395" s="226" t="s">
        <v>380</v>
      </c>
    </row>
    <row r="396" spans="1:65" s="12" customFormat="1" ht="22.9" customHeight="1">
      <c r="B396" s="165"/>
      <c r="C396" s="166"/>
      <c r="D396" s="167" t="s">
        <v>71</v>
      </c>
      <c r="E396" s="179" t="s">
        <v>2760</v>
      </c>
      <c r="F396" s="179" t="s">
        <v>2761</v>
      </c>
      <c r="G396" s="166"/>
      <c r="H396" s="166"/>
      <c r="I396" s="169"/>
      <c r="J396" s="180">
        <f>BK396</f>
        <v>0</v>
      </c>
      <c r="K396" s="166"/>
      <c r="L396" s="171"/>
      <c r="M396" s="172"/>
      <c r="N396" s="173"/>
      <c r="O396" s="173"/>
      <c r="P396" s="174">
        <f>SUM(P397:P428)</f>
        <v>0</v>
      </c>
      <c r="Q396" s="173"/>
      <c r="R396" s="174">
        <f>SUM(R397:R428)</f>
        <v>0</v>
      </c>
      <c r="S396" s="173"/>
      <c r="T396" s="175">
        <f>SUM(T397:T428)</f>
        <v>0</v>
      </c>
      <c r="AR396" s="176" t="s">
        <v>79</v>
      </c>
      <c r="AT396" s="177" t="s">
        <v>71</v>
      </c>
      <c r="AU396" s="177" t="s">
        <v>79</v>
      </c>
      <c r="AY396" s="176" t="s">
        <v>380</v>
      </c>
      <c r="BK396" s="178">
        <f>SUM(BK397:BK428)</f>
        <v>0</v>
      </c>
    </row>
    <row r="397" spans="1:65" s="2" customFormat="1" ht="16.5" customHeight="1">
      <c r="A397" s="36"/>
      <c r="B397" s="37"/>
      <c r="C397" s="181" t="s">
        <v>1293</v>
      </c>
      <c r="D397" s="181" t="s">
        <v>382</v>
      </c>
      <c r="E397" s="182" t="s">
        <v>2762</v>
      </c>
      <c r="F397" s="183" t="s">
        <v>2763</v>
      </c>
      <c r="G397" s="184" t="s">
        <v>398</v>
      </c>
      <c r="H397" s="185">
        <v>179</v>
      </c>
      <c r="I397" s="186"/>
      <c r="J397" s="187">
        <f>ROUND(I397*H397,2)</f>
        <v>0</v>
      </c>
      <c r="K397" s="183" t="s">
        <v>19</v>
      </c>
      <c r="L397" s="41"/>
      <c r="M397" s="188" t="s">
        <v>19</v>
      </c>
      <c r="N397" s="189" t="s">
        <v>43</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386</v>
      </c>
      <c r="AT397" s="192" t="s">
        <v>382</v>
      </c>
      <c r="AU397" s="192" t="s">
        <v>82</v>
      </c>
      <c r="AY397" s="19" t="s">
        <v>380</v>
      </c>
      <c r="BE397" s="193">
        <f>IF(N397="základní",J397,0)</f>
        <v>0</v>
      </c>
      <c r="BF397" s="193">
        <f>IF(N397="snížená",J397,0)</f>
        <v>0</v>
      </c>
      <c r="BG397" s="193">
        <f>IF(N397="zákl. přenesená",J397,0)</f>
        <v>0</v>
      </c>
      <c r="BH397" s="193">
        <f>IF(N397="sníž. přenesená",J397,0)</f>
        <v>0</v>
      </c>
      <c r="BI397" s="193">
        <f>IF(N397="nulová",J397,0)</f>
        <v>0</v>
      </c>
      <c r="BJ397" s="19" t="s">
        <v>79</v>
      </c>
      <c r="BK397" s="193">
        <f>ROUND(I397*H397,2)</f>
        <v>0</v>
      </c>
      <c r="BL397" s="19" t="s">
        <v>386</v>
      </c>
      <c r="BM397" s="192" t="s">
        <v>2131</v>
      </c>
    </row>
    <row r="398" spans="1:65" s="2" customFormat="1" ht="16.5" customHeight="1">
      <c r="A398" s="36"/>
      <c r="B398" s="37"/>
      <c r="C398" s="227" t="s">
        <v>1297</v>
      </c>
      <c r="D398" s="227" t="s">
        <v>465</v>
      </c>
      <c r="E398" s="228" t="s">
        <v>2764</v>
      </c>
      <c r="F398" s="229" t="s">
        <v>2765</v>
      </c>
      <c r="G398" s="230" t="s">
        <v>452</v>
      </c>
      <c r="H398" s="231">
        <v>1135.2</v>
      </c>
      <c r="I398" s="232"/>
      <c r="J398" s="233">
        <f>ROUND(I398*H398,2)</f>
        <v>0</v>
      </c>
      <c r="K398" s="229" t="s">
        <v>19</v>
      </c>
      <c r="L398" s="234"/>
      <c r="M398" s="235" t="s">
        <v>19</v>
      </c>
      <c r="N398" s="236"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424</v>
      </c>
      <c r="AT398" s="192" t="s">
        <v>465</v>
      </c>
      <c r="AU398" s="192" t="s">
        <v>82</v>
      </c>
      <c r="AY398" s="19" t="s">
        <v>380</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386</v>
      </c>
      <c r="BM398" s="192" t="s">
        <v>2139</v>
      </c>
    </row>
    <row r="399" spans="1:65" s="14" customFormat="1" ht="11.25">
      <c r="B399" s="205"/>
      <c r="C399" s="206"/>
      <c r="D399" s="196" t="s">
        <v>388</v>
      </c>
      <c r="E399" s="207" t="s">
        <v>19</v>
      </c>
      <c r="F399" s="208" t="s">
        <v>2766</v>
      </c>
      <c r="G399" s="206"/>
      <c r="H399" s="209">
        <v>1135.2</v>
      </c>
      <c r="I399" s="210"/>
      <c r="J399" s="206"/>
      <c r="K399" s="206"/>
      <c r="L399" s="211"/>
      <c r="M399" s="212"/>
      <c r="N399" s="213"/>
      <c r="O399" s="213"/>
      <c r="P399" s="213"/>
      <c r="Q399" s="213"/>
      <c r="R399" s="213"/>
      <c r="S399" s="213"/>
      <c r="T399" s="214"/>
      <c r="AT399" s="215" t="s">
        <v>388</v>
      </c>
      <c r="AU399" s="215" t="s">
        <v>82</v>
      </c>
      <c r="AV399" s="14" t="s">
        <v>82</v>
      </c>
      <c r="AW399" s="14" t="s">
        <v>33</v>
      </c>
      <c r="AX399" s="14" t="s">
        <v>72</v>
      </c>
      <c r="AY399" s="215" t="s">
        <v>380</v>
      </c>
    </row>
    <row r="400" spans="1:65" s="15" customFormat="1" ht="11.25">
      <c r="B400" s="216"/>
      <c r="C400" s="217"/>
      <c r="D400" s="196" t="s">
        <v>388</v>
      </c>
      <c r="E400" s="218" t="s">
        <v>19</v>
      </c>
      <c r="F400" s="219" t="s">
        <v>419</v>
      </c>
      <c r="G400" s="217"/>
      <c r="H400" s="220">
        <v>1135.2</v>
      </c>
      <c r="I400" s="221"/>
      <c r="J400" s="217"/>
      <c r="K400" s="217"/>
      <c r="L400" s="222"/>
      <c r="M400" s="223"/>
      <c r="N400" s="224"/>
      <c r="O400" s="224"/>
      <c r="P400" s="224"/>
      <c r="Q400" s="224"/>
      <c r="R400" s="224"/>
      <c r="S400" s="224"/>
      <c r="T400" s="225"/>
      <c r="AT400" s="226" t="s">
        <v>388</v>
      </c>
      <c r="AU400" s="226" t="s">
        <v>82</v>
      </c>
      <c r="AV400" s="15" t="s">
        <v>386</v>
      </c>
      <c r="AW400" s="15" t="s">
        <v>33</v>
      </c>
      <c r="AX400" s="15" t="s">
        <v>79</v>
      </c>
      <c r="AY400" s="226" t="s">
        <v>380</v>
      </c>
    </row>
    <row r="401" spans="1:65" s="2" customFormat="1" ht="16.5" customHeight="1">
      <c r="A401" s="36"/>
      <c r="B401" s="37"/>
      <c r="C401" s="227" t="s">
        <v>1301</v>
      </c>
      <c r="D401" s="227" t="s">
        <v>465</v>
      </c>
      <c r="E401" s="228" t="s">
        <v>2767</v>
      </c>
      <c r="F401" s="229" t="s">
        <v>2768</v>
      </c>
      <c r="G401" s="230" t="s">
        <v>398</v>
      </c>
      <c r="H401" s="231">
        <v>205.85</v>
      </c>
      <c r="I401" s="232"/>
      <c r="J401" s="233">
        <f>ROUND(I401*H401,2)</f>
        <v>0</v>
      </c>
      <c r="K401" s="229" t="s">
        <v>19</v>
      </c>
      <c r="L401" s="234"/>
      <c r="M401" s="235" t="s">
        <v>19</v>
      </c>
      <c r="N401" s="236" t="s">
        <v>43</v>
      </c>
      <c r="O401" s="66"/>
      <c r="P401" s="190">
        <f>O401*H401</f>
        <v>0</v>
      </c>
      <c r="Q401" s="190">
        <v>0</v>
      </c>
      <c r="R401" s="190">
        <f>Q401*H401</f>
        <v>0</v>
      </c>
      <c r="S401" s="190">
        <v>0</v>
      </c>
      <c r="T401" s="191">
        <f>S401*H401</f>
        <v>0</v>
      </c>
      <c r="U401" s="36"/>
      <c r="V401" s="36"/>
      <c r="W401" s="36"/>
      <c r="X401" s="36"/>
      <c r="Y401" s="36"/>
      <c r="Z401" s="36"/>
      <c r="AA401" s="36"/>
      <c r="AB401" s="36"/>
      <c r="AC401" s="36"/>
      <c r="AD401" s="36"/>
      <c r="AE401" s="36"/>
      <c r="AR401" s="192" t="s">
        <v>424</v>
      </c>
      <c r="AT401" s="192" t="s">
        <v>465</v>
      </c>
      <c r="AU401" s="192" t="s">
        <v>82</v>
      </c>
      <c r="AY401" s="19" t="s">
        <v>380</v>
      </c>
      <c r="BE401" s="193">
        <f>IF(N401="základní",J401,0)</f>
        <v>0</v>
      </c>
      <c r="BF401" s="193">
        <f>IF(N401="snížená",J401,0)</f>
        <v>0</v>
      </c>
      <c r="BG401" s="193">
        <f>IF(N401="zákl. přenesená",J401,0)</f>
        <v>0</v>
      </c>
      <c r="BH401" s="193">
        <f>IF(N401="sníž. přenesená",J401,0)</f>
        <v>0</v>
      </c>
      <c r="BI401" s="193">
        <f>IF(N401="nulová",J401,0)</f>
        <v>0</v>
      </c>
      <c r="BJ401" s="19" t="s">
        <v>79</v>
      </c>
      <c r="BK401" s="193">
        <f>ROUND(I401*H401,2)</f>
        <v>0</v>
      </c>
      <c r="BL401" s="19" t="s">
        <v>386</v>
      </c>
      <c r="BM401" s="192" t="s">
        <v>2147</v>
      </c>
    </row>
    <row r="402" spans="1:65" s="2" customFormat="1" ht="19.5">
      <c r="A402" s="36"/>
      <c r="B402" s="37"/>
      <c r="C402" s="38"/>
      <c r="D402" s="196" t="s">
        <v>1226</v>
      </c>
      <c r="E402" s="38"/>
      <c r="F402" s="248" t="s">
        <v>2769</v>
      </c>
      <c r="G402" s="38"/>
      <c r="H402" s="38"/>
      <c r="I402" s="249"/>
      <c r="J402" s="38"/>
      <c r="K402" s="38"/>
      <c r="L402" s="41"/>
      <c r="M402" s="250"/>
      <c r="N402" s="251"/>
      <c r="O402" s="66"/>
      <c r="P402" s="66"/>
      <c r="Q402" s="66"/>
      <c r="R402" s="66"/>
      <c r="S402" s="66"/>
      <c r="T402" s="67"/>
      <c r="U402" s="36"/>
      <c r="V402" s="36"/>
      <c r="W402" s="36"/>
      <c r="X402" s="36"/>
      <c r="Y402" s="36"/>
      <c r="Z402" s="36"/>
      <c r="AA402" s="36"/>
      <c r="AB402" s="36"/>
      <c r="AC402" s="36"/>
      <c r="AD402" s="36"/>
      <c r="AE402" s="36"/>
      <c r="AT402" s="19" t="s">
        <v>1226</v>
      </c>
      <c r="AU402" s="19" t="s">
        <v>82</v>
      </c>
    </row>
    <row r="403" spans="1:65" s="14" customFormat="1" ht="11.25">
      <c r="B403" s="205"/>
      <c r="C403" s="206"/>
      <c r="D403" s="196" t="s">
        <v>388</v>
      </c>
      <c r="E403" s="207" t="s">
        <v>19</v>
      </c>
      <c r="F403" s="208" t="s">
        <v>2770</v>
      </c>
      <c r="G403" s="206"/>
      <c r="H403" s="209">
        <v>205.85</v>
      </c>
      <c r="I403" s="210"/>
      <c r="J403" s="206"/>
      <c r="K403" s="206"/>
      <c r="L403" s="211"/>
      <c r="M403" s="212"/>
      <c r="N403" s="213"/>
      <c r="O403" s="213"/>
      <c r="P403" s="213"/>
      <c r="Q403" s="213"/>
      <c r="R403" s="213"/>
      <c r="S403" s="213"/>
      <c r="T403" s="214"/>
      <c r="AT403" s="215" t="s">
        <v>388</v>
      </c>
      <c r="AU403" s="215" t="s">
        <v>82</v>
      </c>
      <c r="AV403" s="14" t="s">
        <v>82</v>
      </c>
      <c r="AW403" s="14" t="s">
        <v>33</v>
      </c>
      <c r="AX403" s="14" t="s">
        <v>72</v>
      </c>
      <c r="AY403" s="215" t="s">
        <v>380</v>
      </c>
    </row>
    <row r="404" spans="1:65" s="15" customFormat="1" ht="11.25">
      <c r="B404" s="216"/>
      <c r="C404" s="217"/>
      <c r="D404" s="196" t="s">
        <v>388</v>
      </c>
      <c r="E404" s="218" t="s">
        <v>19</v>
      </c>
      <c r="F404" s="219" t="s">
        <v>419</v>
      </c>
      <c r="G404" s="217"/>
      <c r="H404" s="220">
        <v>205.85</v>
      </c>
      <c r="I404" s="221"/>
      <c r="J404" s="217"/>
      <c r="K404" s="217"/>
      <c r="L404" s="222"/>
      <c r="M404" s="223"/>
      <c r="N404" s="224"/>
      <c r="O404" s="224"/>
      <c r="P404" s="224"/>
      <c r="Q404" s="224"/>
      <c r="R404" s="224"/>
      <c r="S404" s="224"/>
      <c r="T404" s="225"/>
      <c r="AT404" s="226" t="s">
        <v>388</v>
      </c>
      <c r="AU404" s="226" t="s">
        <v>82</v>
      </c>
      <c r="AV404" s="15" t="s">
        <v>386</v>
      </c>
      <c r="AW404" s="15" t="s">
        <v>33</v>
      </c>
      <c r="AX404" s="15" t="s">
        <v>79</v>
      </c>
      <c r="AY404" s="226" t="s">
        <v>380</v>
      </c>
    </row>
    <row r="405" spans="1:65" s="2" customFormat="1" ht="16.5" customHeight="1">
      <c r="A405" s="36"/>
      <c r="B405" s="37"/>
      <c r="C405" s="227" t="s">
        <v>1305</v>
      </c>
      <c r="D405" s="227" t="s">
        <v>465</v>
      </c>
      <c r="E405" s="228" t="s">
        <v>2771</v>
      </c>
      <c r="F405" s="229" t="s">
        <v>2772</v>
      </c>
      <c r="G405" s="230" t="s">
        <v>2393</v>
      </c>
      <c r="H405" s="231">
        <v>1</v>
      </c>
      <c r="I405" s="232"/>
      <c r="J405" s="233">
        <f>ROUND(I405*H405,2)</f>
        <v>0</v>
      </c>
      <c r="K405" s="229" t="s">
        <v>19</v>
      </c>
      <c r="L405" s="234"/>
      <c r="M405" s="235" t="s">
        <v>19</v>
      </c>
      <c r="N405" s="236" t="s">
        <v>43</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424</v>
      </c>
      <c r="AT405" s="192" t="s">
        <v>465</v>
      </c>
      <c r="AU405" s="192" t="s">
        <v>82</v>
      </c>
      <c r="AY405" s="19" t="s">
        <v>380</v>
      </c>
      <c r="BE405" s="193">
        <f>IF(N405="základní",J405,0)</f>
        <v>0</v>
      </c>
      <c r="BF405" s="193">
        <f>IF(N405="snížená",J405,0)</f>
        <v>0</v>
      </c>
      <c r="BG405" s="193">
        <f>IF(N405="zákl. přenesená",J405,0)</f>
        <v>0</v>
      </c>
      <c r="BH405" s="193">
        <f>IF(N405="sníž. přenesená",J405,0)</f>
        <v>0</v>
      </c>
      <c r="BI405" s="193">
        <f>IF(N405="nulová",J405,0)</f>
        <v>0</v>
      </c>
      <c r="BJ405" s="19" t="s">
        <v>79</v>
      </c>
      <c r="BK405" s="193">
        <f>ROUND(I405*H405,2)</f>
        <v>0</v>
      </c>
      <c r="BL405" s="19" t="s">
        <v>386</v>
      </c>
      <c r="BM405" s="192" t="s">
        <v>2155</v>
      </c>
    </row>
    <row r="406" spans="1:65" s="2" customFormat="1" ht="48.75">
      <c r="A406" s="36"/>
      <c r="B406" s="37"/>
      <c r="C406" s="38"/>
      <c r="D406" s="196" t="s">
        <v>1226</v>
      </c>
      <c r="E406" s="38"/>
      <c r="F406" s="248" t="s">
        <v>2773</v>
      </c>
      <c r="G406" s="38"/>
      <c r="H406" s="38"/>
      <c r="I406" s="249"/>
      <c r="J406" s="38"/>
      <c r="K406" s="38"/>
      <c r="L406" s="41"/>
      <c r="M406" s="250"/>
      <c r="N406" s="251"/>
      <c r="O406" s="66"/>
      <c r="P406" s="66"/>
      <c r="Q406" s="66"/>
      <c r="R406" s="66"/>
      <c r="S406" s="66"/>
      <c r="T406" s="67"/>
      <c r="U406" s="36"/>
      <c r="V406" s="36"/>
      <c r="W406" s="36"/>
      <c r="X406" s="36"/>
      <c r="Y406" s="36"/>
      <c r="Z406" s="36"/>
      <c r="AA406" s="36"/>
      <c r="AB406" s="36"/>
      <c r="AC406" s="36"/>
      <c r="AD406" s="36"/>
      <c r="AE406" s="36"/>
      <c r="AT406" s="19" t="s">
        <v>1226</v>
      </c>
      <c r="AU406" s="19" t="s">
        <v>82</v>
      </c>
    </row>
    <row r="407" spans="1:65" s="2" customFormat="1" ht="16.5" customHeight="1">
      <c r="A407" s="36"/>
      <c r="B407" s="37"/>
      <c r="C407" s="227" t="s">
        <v>1309</v>
      </c>
      <c r="D407" s="227" t="s">
        <v>465</v>
      </c>
      <c r="E407" s="228" t="s">
        <v>2774</v>
      </c>
      <c r="F407" s="229" t="s">
        <v>2775</v>
      </c>
      <c r="G407" s="230" t="s">
        <v>452</v>
      </c>
      <c r="H407" s="231">
        <v>94.3</v>
      </c>
      <c r="I407" s="232"/>
      <c r="J407" s="233">
        <f>ROUND(I407*H407,2)</f>
        <v>0</v>
      </c>
      <c r="K407" s="229" t="s">
        <v>19</v>
      </c>
      <c r="L407" s="234"/>
      <c r="M407" s="235" t="s">
        <v>19</v>
      </c>
      <c r="N407" s="236"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424</v>
      </c>
      <c r="AT407" s="192" t="s">
        <v>465</v>
      </c>
      <c r="AU407" s="192" t="s">
        <v>82</v>
      </c>
      <c r="AY407" s="19" t="s">
        <v>380</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386</v>
      </c>
      <c r="BM407" s="192" t="s">
        <v>2163</v>
      </c>
    </row>
    <row r="408" spans="1:65" s="2" customFormat="1" ht="19.5">
      <c r="A408" s="36"/>
      <c r="B408" s="37"/>
      <c r="C408" s="38"/>
      <c r="D408" s="196" t="s">
        <v>1226</v>
      </c>
      <c r="E408" s="38"/>
      <c r="F408" s="248" t="s">
        <v>2776</v>
      </c>
      <c r="G408" s="38"/>
      <c r="H408" s="38"/>
      <c r="I408" s="249"/>
      <c r="J408" s="38"/>
      <c r="K408" s="38"/>
      <c r="L408" s="41"/>
      <c r="M408" s="250"/>
      <c r="N408" s="251"/>
      <c r="O408" s="66"/>
      <c r="P408" s="66"/>
      <c r="Q408" s="66"/>
      <c r="R408" s="66"/>
      <c r="S408" s="66"/>
      <c r="T408" s="67"/>
      <c r="U408" s="36"/>
      <c r="V408" s="36"/>
      <c r="W408" s="36"/>
      <c r="X408" s="36"/>
      <c r="Y408" s="36"/>
      <c r="Z408" s="36"/>
      <c r="AA408" s="36"/>
      <c r="AB408" s="36"/>
      <c r="AC408" s="36"/>
      <c r="AD408" s="36"/>
      <c r="AE408" s="36"/>
      <c r="AT408" s="19" t="s">
        <v>1226</v>
      </c>
      <c r="AU408" s="19" t="s">
        <v>82</v>
      </c>
    </row>
    <row r="409" spans="1:65" s="14" customFormat="1" ht="11.25">
      <c r="B409" s="205"/>
      <c r="C409" s="206"/>
      <c r="D409" s="196" t="s">
        <v>388</v>
      </c>
      <c r="E409" s="207" t="s">
        <v>19</v>
      </c>
      <c r="F409" s="208" t="s">
        <v>2777</v>
      </c>
      <c r="G409" s="206"/>
      <c r="H409" s="209">
        <v>94.3</v>
      </c>
      <c r="I409" s="210"/>
      <c r="J409" s="206"/>
      <c r="K409" s="206"/>
      <c r="L409" s="211"/>
      <c r="M409" s="212"/>
      <c r="N409" s="213"/>
      <c r="O409" s="213"/>
      <c r="P409" s="213"/>
      <c r="Q409" s="213"/>
      <c r="R409" s="213"/>
      <c r="S409" s="213"/>
      <c r="T409" s="214"/>
      <c r="AT409" s="215" t="s">
        <v>388</v>
      </c>
      <c r="AU409" s="215" t="s">
        <v>82</v>
      </c>
      <c r="AV409" s="14" t="s">
        <v>82</v>
      </c>
      <c r="AW409" s="14" t="s">
        <v>33</v>
      </c>
      <c r="AX409" s="14" t="s">
        <v>72</v>
      </c>
      <c r="AY409" s="215" t="s">
        <v>380</v>
      </c>
    </row>
    <row r="410" spans="1:65" s="15" customFormat="1" ht="11.25">
      <c r="B410" s="216"/>
      <c r="C410" s="217"/>
      <c r="D410" s="196" t="s">
        <v>388</v>
      </c>
      <c r="E410" s="218" t="s">
        <v>19</v>
      </c>
      <c r="F410" s="219" t="s">
        <v>419</v>
      </c>
      <c r="G410" s="217"/>
      <c r="H410" s="220">
        <v>94.3</v>
      </c>
      <c r="I410" s="221"/>
      <c r="J410" s="217"/>
      <c r="K410" s="217"/>
      <c r="L410" s="222"/>
      <c r="M410" s="223"/>
      <c r="N410" s="224"/>
      <c r="O410" s="224"/>
      <c r="P410" s="224"/>
      <c r="Q410" s="224"/>
      <c r="R410" s="224"/>
      <c r="S410" s="224"/>
      <c r="T410" s="225"/>
      <c r="AT410" s="226" t="s">
        <v>388</v>
      </c>
      <c r="AU410" s="226" t="s">
        <v>82</v>
      </c>
      <c r="AV410" s="15" t="s">
        <v>386</v>
      </c>
      <c r="AW410" s="15" t="s">
        <v>33</v>
      </c>
      <c r="AX410" s="15" t="s">
        <v>79</v>
      </c>
      <c r="AY410" s="226" t="s">
        <v>380</v>
      </c>
    </row>
    <row r="411" spans="1:65" s="2" customFormat="1" ht="16.5" customHeight="1">
      <c r="A411" s="36"/>
      <c r="B411" s="37"/>
      <c r="C411" s="227" t="s">
        <v>1313</v>
      </c>
      <c r="D411" s="227" t="s">
        <v>465</v>
      </c>
      <c r="E411" s="228" t="s">
        <v>2778</v>
      </c>
      <c r="F411" s="229" t="s">
        <v>2779</v>
      </c>
      <c r="G411" s="230" t="s">
        <v>452</v>
      </c>
      <c r="H411" s="231">
        <v>24.15</v>
      </c>
      <c r="I411" s="232"/>
      <c r="J411" s="233">
        <f>ROUND(I411*H411,2)</f>
        <v>0</v>
      </c>
      <c r="K411" s="229" t="s">
        <v>19</v>
      </c>
      <c r="L411" s="234"/>
      <c r="M411" s="235" t="s">
        <v>19</v>
      </c>
      <c r="N411" s="236" t="s">
        <v>43</v>
      </c>
      <c r="O411" s="66"/>
      <c r="P411" s="190">
        <f>O411*H411</f>
        <v>0</v>
      </c>
      <c r="Q411" s="190">
        <v>0</v>
      </c>
      <c r="R411" s="190">
        <f>Q411*H411</f>
        <v>0</v>
      </c>
      <c r="S411" s="190">
        <v>0</v>
      </c>
      <c r="T411" s="191">
        <f>S411*H411</f>
        <v>0</v>
      </c>
      <c r="U411" s="36"/>
      <c r="V411" s="36"/>
      <c r="W411" s="36"/>
      <c r="X411" s="36"/>
      <c r="Y411" s="36"/>
      <c r="Z411" s="36"/>
      <c r="AA411" s="36"/>
      <c r="AB411" s="36"/>
      <c r="AC411" s="36"/>
      <c r="AD411" s="36"/>
      <c r="AE411" s="36"/>
      <c r="AR411" s="192" t="s">
        <v>424</v>
      </c>
      <c r="AT411" s="192" t="s">
        <v>465</v>
      </c>
      <c r="AU411" s="192" t="s">
        <v>82</v>
      </c>
      <c r="AY411" s="19" t="s">
        <v>380</v>
      </c>
      <c r="BE411" s="193">
        <f>IF(N411="základní",J411,0)</f>
        <v>0</v>
      </c>
      <c r="BF411" s="193">
        <f>IF(N411="snížená",J411,0)</f>
        <v>0</v>
      </c>
      <c r="BG411" s="193">
        <f>IF(N411="zákl. přenesená",J411,0)</f>
        <v>0</v>
      </c>
      <c r="BH411" s="193">
        <f>IF(N411="sníž. přenesená",J411,0)</f>
        <v>0</v>
      </c>
      <c r="BI411" s="193">
        <f>IF(N411="nulová",J411,0)</f>
        <v>0</v>
      </c>
      <c r="BJ411" s="19" t="s">
        <v>79</v>
      </c>
      <c r="BK411" s="193">
        <f>ROUND(I411*H411,2)</f>
        <v>0</v>
      </c>
      <c r="BL411" s="19" t="s">
        <v>386</v>
      </c>
      <c r="BM411" s="192" t="s">
        <v>199</v>
      </c>
    </row>
    <row r="412" spans="1:65" s="14" customFormat="1" ht="11.25">
      <c r="B412" s="205"/>
      <c r="C412" s="206"/>
      <c r="D412" s="196" t="s">
        <v>388</v>
      </c>
      <c r="E412" s="207" t="s">
        <v>19</v>
      </c>
      <c r="F412" s="208" t="s">
        <v>2780</v>
      </c>
      <c r="G412" s="206"/>
      <c r="H412" s="209">
        <v>24.15</v>
      </c>
      <c r="I412" s="210"/>
      <c r="J412" s="206"/>
      <c r="K412" s="206"/>
      <c r="L412" s="211"/>
      <c r="M412" s="212"/>
      <c r="N412" s="213"/>
      <c r="O412" s="213"/>
      <c r="P412" s="213"/>
      <c r="Q412" s="213"/>
      <c r="R412" s="213"/>
      <c r="S412" s="213"/>
      <c r="T412" s="214"/>
      <c r="AT412" s="215" t="s">
        <v>388</v>
      </c>
      <c r="AU412" s="215" t="s">
        <v>82</v>
      </c>
      <c r="AV412" s="14" t="s">
        <v>82</v>
      </c>
      <c r="AW412" s="14" t="s">
        <v>33</v>
      </c>
      <c r="AX412" s="14" t="s">
        <v>72</v>
      </c>
      <c r="AY412" s="215" t="s">
        <v>380</v>
      </c>
    </row>
    <row r="413" spans="1:65" s="15" customFormat="1" ht="11.25">
      <c r="B413" s="216"/>
      <c r="C413" s="217"/>
      <c r="D413" s="196" t="s">
        <v>388</v>
      </c>
      <c r="E413" s="218" t="s">
        <v>19</v>
      </c>
      <c r="F413" s="219" t="s">
        <v>419</v>
      </c>
      <c r="G413" s="217"/>
      <c r="H413" s="220">
        <v>24.15</v>
      </c>
      <c r="I413" s="221"/>
      <c r="J413" s="217"/>
      <c r="K413" s="217"/>
      <c r="L413" s="222"/>
      <c r="M413" s="223"/>
      <c r="N413" s="224"/>
      <c r="O413" s="224"/>
      <c r="P413" s="224"/>
      <c r="Q413" s="224"/>
      <c r="R413" s="224"/>
      <c r="S413" s="224"/>
      <c r="T413" s="225"/>
      <c r="AT413" s="226" t="s">
        <v>388</v>
      </c>
      <c r="AU413" s="226" t="s">
        <v>82</v>
      </c>
      <c r="AV413" s="15" t="s">
        <v>386</v>
      </c>
      <c r="AW413" s="15" t="s">
        <v>33</v>
      </c>
      <c r="AX413" s="15" t="s">
        <v>79</v>
      </c>
      <c r="AY413" s="226" t="s">
        <v>380</v>
      </c>
    </row>
    <row r="414" spans="1:65" s="2" customFormat="1" ht="16.5" customHeight="1">
      <c r="A414" s="36"/>
      <c r="B414" s="37"/>
      <c r="C414" s="227" t="s">
        <v>1322</v>
      </c>
      <c r="D414" s="227" t="s">
        <v>465</v>
      </c>
      <c r="E414" s="228" t="s">
        <v>2781</v>
      </c>
      <c r="F414" s="229" t="s">
        <v>2782</v>
      </c>
      <c r="G414" s="230" t="s">
        <v>2393</v>
      </c>
      <c r="H414" s="231">
        <v>20</v>
      </c>
      <c r="I414" s="232"/>
      <c r="J414" s="233">
        <f>ROUND(I414*H414,2)</f>
        <v>0</v>
      </c>
      <c r="K414" s="229" t="s">
        <v>19</v>
      </c>
      <c r="L414" s="234"/>
      <c r="M414" s="235" t="s">
        <v>19</v>
      </c>
      <c r="N414" s="236" t="s">
        <v>43</v>
      </c>
      <c r="O414" s="66"/>
      <c r="P414" s="190">
        <f>O414*H414</f>
        <v>0</v>
      </c>
      <c r="Q414" s="190">
        <v>0</v>
      </c>
      <c r="R414" s="190">
        <f>Q414*H414</f>
        <v>0</v>
      </c>
      <c r="S414" s="190">
        <v>0</v>
      </c>
      <c r="T414" s="191">
        <f>S414*H414</f>
        <v>0</v>
      </c>
      <c r="U414" s="36"/>
      <c r="V414" s="36"/>
      <c r="W414" s="36"/>
      <c r="X414" s="36"/>
      <c r="Y414" s="36"/>
      <c r="Z414" s="36"/>
      <c r="AA414" s="36"/>
      <c r="AB414" s="36"/>
      <c r="AC414" s="36"/>
      <c r="AD414" s="36"/>
      <c r="AE414" s="36"/>
      <c r="AR414" s="192" t="s">
        <v>424</v>
      </c>
      <c r="AT414" s="192" t="s">
        <v>465</v>
      </c>
      <c r="AU414" s="192" t="s">
        <v>82</v>
      </c>
      <c r="AY414" s="19" t="s">
        <v>380</v>
      </c>
      <c r="BE414" s="193">
        <f>IF(N414="základní",J414,0)</f>
        <v>0</v>
      </c>
      <c r="BF414" s="193">
        <f>IF(N414="snížená",J414,0)</f>
        <v>0</v>
      </c>
      <c r="BG414" s="193">
        <f>IF(N414="zákl. přenesená",J414,0)</f>
        <v>0</v>
      </c>
      <c r="BH414" s="193">
        <f>IF(N414="sníž. přenesená",J414,0)</f>
        <v>0</v>
      </c>
      <c r="BI414" s="193">
        <f>IF(N414="nulová",J414,0)</f>
        <v>0</v>
      </c>
      <c r="BJ414" s="19" t="s">
        <v>79</v>
      </c>
      <c r="BK414" s="193">
        <f>ROUND(I414*H414,2)</f>
        <v>0</v>
      </c>
      <c r="BL414" s="19" t="s">
        <v>386</v>
      </c>
      <c r="BM414" s="192" t="s">
        <v>202</v>
      </c>
    </row>
    <row r="415" spans="1:65" s="2" customFormat="1" ht="19.5">
      <c r="A415" s="36"/>
      <c r="B415" s="37"/>
      <c r="C415" s="38"/>
      <c r="D415" s="196" t="s">
        <v>1226</v>
      </c>
      <c r="E415" s="38"/>
      <c r="F415" s="248" t="s">
        <v>2783</v>
      </c>
      <c r="G415" s="38"/>
      <c r="H415" s="38"/>
      <c r="I415" s="249"/>
      <c r="J415" s="38"/>
      <c r="K415" s="38"/>
      <c r="L415" s="41"/>
      <c r="M415" s="250"/>
      <c r="N415" s="251"/>
      <c r="O415" s="66"/>
      <c r="P415" s="66"/>
      <c r="Q415" s="66"/>
      <c r="R415" s="66"/>
      <c r="S415" s="66"/>
      <c r="T415" s="67"/>
      <c r="U415" s="36"/>
      <c r="V415" s="36"/>
      <c r="W415" s="36"/>
      <c r="X415" s="36"/>
      <c r="Y415" s="36"/>
      <c r="Z415" s="36"/>
      <c r="AA415" s="36"/>
      <c r="AB415" s="36"/>
      <c r="AC415" s="36"/>
      <c r="AD415" s="36"/>
      <c r="AE415" s="36"/>
      <c r="AT415" s="19" t="s">
        <v>1226</v>
      </c>
      <c r="AU415" s="19" t="s">
        <v>82</v>
      </c>
    </row>
    <row r="416" spans="1:65" s="2" customFormat="1" ht="16.5" customHeight="1">
      <c r="A416" s="36"/>
      <c r="B416" s="37"/>
      <c r="C416" s="227" t="s">
        <v>1331</v>
      </c>
      <c r="D416" s="227" t="s">
        <v>465</v>
      </c>
      <c r="E416" s="228" t="s">
        <v>2784</v>
      </c>
      <c r="F416" s="229" t="s">
        <v>2785</v>
      </c>
      <c r="G416" s="230" t="s">
        <v>2393</v>
      </c>
      <c r="H416" s="231">
        <v>20</v>
      </c>
      <c r="I416" s="232"/>
      <c r="J416" s="233">
        <f>ROUND(I416*H416,2)</f>
        <v>0</v>
      </c>
      <c r="K416" s="229" t="s">
        <v>19</v>
      </c>
      <c r="L416" s="234"/>
      <c r="M416" s="235" t="s">
        <v>19</v>
      </c>
      <c r="N416" s="236"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424</v>
      </c>
      <c r="AT416" s="192" t="s">
        <v>465</v>
      </c>
      <c r="AU416" s="192" t="s">
        <v>82</v>
      </c>
      <c r="AY416" s="19" t="s">
        <v>380</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386</v>
      </c>
      <c r="BM416" s="192" t="s">
        <v>2184</v>
      </c>
    </row>
    <row r="417" spans="1:65" s="2" customFormat="1" ht="19.5">
      <c r="A417" s="36"/>
      <c r="B417" s="37"/>
      <c r="C417" s="38"/>
      <c r="D417" s="196" t="s">
        <v>1226</v>
      </c>
      <c r="E417" s="38"/>
      <c r="F417" s="248" t="s">
        <v>2786</v>
      </c>
      <c r="G417" s="38"/>
      <c r="H417" s="38"/>
      <c r="I417" s="249"/>
      <c r="J417" s="38"/>
      <c r="K417" s="38"/>
      <c r="L417" s="41"/>
      <c r="M417" s="250"/>
      <c r="N417" s="251"/>
      <c r="O417" s="66"/>
      <c r="P417" s="66"/>
      <c r="Q417" s="66"/>
      <c r="R417" s="66"/>
      <c r="S417" s="66"/>
      <c r="T417" s="67"/>
      <c r="U417" s="36"/>
      <c r="V417" s="36"/>
      <c r="W417" s="36"/>
      <c r="X417" s="36"/>
      <c r="Y417" s="36"/>
      <c r="Z417" s="36"/>
      <c r="AA417" s="36"/>
      <c r="AB417" s="36"/>
      <c r="AC417" s="36"/>
      <c r="AD417" s="36"/>
      <c r="AE417" s="36"/>
      <c r="AT417" s="19" t="s">
        <v>1226</v>
      </c>
      <c r="AU417" s="19" t="s">
        <v>82</v>
      </c>
    </row>
    <row r="418" spans="1:65" s="2" customFormat="1" ht="16.5" customHeight="1">
      <c r="A418" s="36"/>
      <c r="B418" s="37"/>
      <c r="C418" s="227" t="s">
        <v>1340</v>
      </c>
      <c r="D418" s="227" t="s">
        <v>465</v>
      </c>
      <c r="E418" s="228" t="s">
        <v>2787</v>
      </c>
      <c r="F418" s="229" t="s">
        <v>2788</v>
      </c>
      <c r="G418" s="230" t="s">
        <v>2393</v>
      </c>
      <c r="H418" s="231">
        <v>1</v>
      </c>
      <c r="I418" s="232"/>
      <c r="J418" s="233">
        <f>ROUND(I418*H418,2)</f>
        <v>0</v>
      </c>
      <c r="K418" s="229" t="s">
        <v>19</v>
      </c>
      <c r="L418" s="234"/>
      <c r="M418" s="235" t="s">
        <v>19</v>
      </c>
      <c r="N418" s="236"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424</v>
      </c>
      <c r="AT418" s="192" t="s">
        <v>465</v>
      </c>
      <c r="AU418" s="192" t="s">
        <v>82</v>
      </c>
      <c r="AY418" s="19" t="s">
        <v>380</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386</v>
      </c>
      <c r="BM418" s="192" t="s">
        <v>2192</v>
      </c>
    </row>
    <row r="419" spans="1:65" s="2" customFormat="1" ht="19.5">
      <c r="A419" s="36"/>
      <c r="B419" s="37"/>
      <c r="C419" s="38"/>
      <c r="D419" s="196" t="s">
        <v>1226</v>
      </c>
      <c r="E419" s="38"/>
      <c r="F419" s="248" t="s">
        <v>2789</v>
      </c>
      <c r="G419" s="38"/>
      <c r="H419" s="38"/>
      <c r="I419" s="249"/>
      <c r="J419" s="38"/>
      <c r="K419" s="38"/>
      <c r="L419" s="41"/>
      <c r="M419" s="250"/>
      <c r="N419" s="251"/>
      <c r="O419" s="66"/>
      <c r="P419" s="66"/>
      <c r="Q419" s="66"/>
      <c r="R419" s="66"/>
      <c r="S419" s="66"/>
      <c r="T419" s="67"/>
      <c r="U419" s="36"/>
      <c r="V419" s="36"/>
      <c r="W419" s="36"/>
      <c r="X419" s="36"/>
      <c r="Y419" s="36"/>
      <c r="Z419" s="36"/>
      <c r="AA419" s="36"/>
      <c r="AB419" s="36"/>
      <c r="AC419" s="36"/>
      <c r="AD419" s="36"/>
      <c r="AE419" s="36"/>
      <c r="AT419" s="19" t="s">
        <v>1226</v>
      </c>
      <c r="AU419" s="19" t="s">
        <v>82</v>
      </c>
    </row>
    <row r="420" spans="1:65" s="2" customFormat="1" ht="16.5" customHeight="1">
      <c r="A420" s="36"/>
      <c r="B420" s="37"/>
      <c r="C420" s="227" t="s">
        <v>1348</v>
      </c>
      <c r="D420" s="227" t="s">
        <v>465</v>
      </c>
      <c r="E420" s="228" t="s">
        <v>2790</v>
      </c>
      <c r="F420" s="229" t="s">
        <v>2791</v>
      </c>
      <c r="G420" s="230" t="s">
        <v>2393</v>
      </c>
      <c r="H420" s="231">
        <v>10</v>
      </c>
      <c r="I420" s="232"/>
      <c r="J420" s="233">
        <f>ROUND(I420*H420,2)</f>
        <v>0</v>
      </c>
      <c r="K420" s="229" t="s">
        <v>19</v>
      </c>
      <c r="L420" s="234"/>
      <c r="M420" s="235" t="s">
        <v>19</v>
      </c>
      <c r="N420" s="236"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424</v>
      </c>
      <c r="AT420" s="192" t="s">
        <v>465</v>
      </c>
      <c r="AU420" s="192" t="s">
        <v>82</v>
      </c>
      <c r="AY420" s="19" t="s">
        <v>380</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386</v>
      </c>
      <c r="BM420" s="192" t="s">
        <v>2202</v>
      </c>
    </row>
    <row r="421" spans="1:65" s="2" customFormat="1" ht="19.5">
      <c r="A421" s="36"/>
      <c r="B421" s="37"/>
      <c r="C421" s="38"/>
      <c r="D421" s="196" t="s">
        <v>1226</v>
      </c>
      <c r="E421" s="38"/>
      <c r="F421" s="248" t="s">
        <v>2792</v>
      </c>
      <c r="G421" s="38"/>
      <c r="H421" s="38"/>
      <c r="I421" s="249"/>
      <c r="J421" s="38"/>
      <c r="K421" s="38"/>
      <c r="L421" s="41"/>
      <c r="M421" s="250"/>
      <c r="N421" s="251"/>
      <c r="O421" s="66"/>
      <c r="P421" s="66"/>
      <c r="Q421" s="66"/>
      <c r="R421" s="66"/>
      <c r="S421" s="66"/>
      <c r="T421" s="67"/>
      <c r="U421" s="36"/>
      <c r="V421" s="36"/>
      <c r="W421" s="36"/>
      <c r="X421" s="36"/>
      <c r="Y421" s="36"/>
      <c r="Z421" s="36"/>
      <c r="AA421" s="36"/>
      <c r="AB421" s="36"/>
      <c r="AC421" s="36"/>
      <c r="AD421" s="36"/>
      <c r="AE421" s="36"/>
      <c r="AT421" s="19" t="s">
        <v>1226</v>
      </c>
      <c r="AU421" s="19" t="s">
        <v>82</v>
      </c>
    </row>
    <row r="422" spans="1:65" s="2" customFormat="1" ht="16.5" customHeight="1">
      <c r="A422" s="36"/>
      <c r="B422" s="37"/>
      <c r="C422" s="227" t="s">
        <v>1353</v>
      </c>
      <c r="D422" s="227" t="s">
        <v>465</v>
      </c>
      <c r="E422" s="228" t="s">
        <v>2793</v>
      </c>
      <c r="F422" s="229" t="s">
        <v>2794</v>
      </c>
      <c r="G422" s="230" t="s">
        <v>2393</v>
      </c>
      <c r="H422" s="231">
        <v>59.8</v>
      </c>
      <c r="I422" s="232"/>
      <c r="J422" s="233">
        <f>ROUND(I422*H422,2)</f>
        <v>0</v>
      </c>
      <c r="K422" s="229" t="s">
        <v>19</v>
      </c>
      <c r="L422" s="234"/>
      <c r="M422" s="235" t="s">
        <v>19</v>
      </c>
      <c r="N422" s="236"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424</v>
      </c>
      <c r="AT422" s="192" t="s">
        <v>465</v>
      </c>
      <c r="AU422" s="192" t="s">
        <v>82</v>
      </c>
      <c r="AY422" s="19" t="s">
        <v>380</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386</v>
      </c>
      <c r="BM422" s="192" t="s">
        <v>2214</v>
      </c>
    </row>
    <row r="423" spans="1:65" s="2" customFormat="1" ht="19.5">
      <c r="A423" s="36"/>
      <c r="B423" s="37"/>
      <c r="C423" s="38"/>
      <c r="D423" s="196" t="s">
        <v>1226</v>
      </c>
      <c r="E423" s="38"/>
      <c r="F423" s="248" t="s">
        <v>2795</v>
      </c>
      <c r="G423" s="38"/>
      <c r="H423" s="38"/>
      <c r="I423" s="249"/>
      <c r="J423" s="38"/>
      <c r="K423" s="38"/>
      <c r="L423" s="41"/>
      <c r="M423" s="250"/>
      <c r="N423" s="251"/>
      <c r="O423" s="66"/>
      <c r="P423" s="66"/>
      <c r="Q423" s="66"/>
      <c r="R423" s="66"/>
      <c r="S423" s="66"/>
      <c r="T423" s="67"/>
      <c r="U423" s="36"/>
      <c r="V423" s="36"/>
      <c r="W423" s="36"/>
      <c r="X423" s="36"/>
      <c r="Y423" s="36"/>
      <c r="Z423" s="36"/>
      <c r="AA423" s="36"/>
      <c r="AB423" s="36"/>
      <c r="AC423" s="36"/>
      <c r="AD423" s="36"/>
      <c r="AE423" s="36"/>
      <c r="AT423" s="19" t="s">
        <v>1226</v>
      </c>
      <c r="AU423" s="19" t="s">
        <v>82</v>
      </c>
    </row>
    <row r="424" spans="1:65" s="14" customFormat="1" ht="11.25">
      <c r="B424" s="205"/>
      <c r="C424" s="206"/>
      <c r="D424" s="196" t="s">
        <v>388</v>
      </c>
      <c r="E424" s="207" t="s">
        <v>19</v>
      </c>
      <c r="F424" s="208" t="s">
        <v>2796</v>
      </c>
      <c r="G424" s="206"/>
      <c r="H424" s="209">
        <v>59.8</v>
      </c>
      <c r="I424" s="210"/>
      <c r="J424" s="206"/>
      <c r="K424" s="206"/>
      <c r="L424" s="211"/>
      <c r="M424" s="212"/>
      <c r="N424" s="213"/>
      <c r="O424" s="213"/>
      <c r="P424" s="213"/>
      <c r="Q424" s="213"/>
      <c r="R424" s="213"/>
      <c r="S424" s="213"/>
      <c r="T424" s="214"/>
      <c r="AT424" s="215" t="s">
        <v>388</v>
      </c>
      <c r="AU424" s="215" t="s">
        <v>82</v>
      </c>
      <c r="AV424" s="14" t="s">
        <v>82</v>
      </c>
      <c r="AW424" s="14" t="s">
        <v>33</v>
      </c>
      <c r="AX424" s="14" t="s">
        <v>72</v>
      </c>
      <c r="AY424" s="215" t="s">
        <v>380</v>
      </c>
    </row>
    <row r="425" spans="1:65" s="15" customFormat="1" ht="11.25">
      <c r="B425" s="216"/>
      <c r="C425" s="217"/>
      <c r="D425" s="196" t="s">
        <v>388</v>
      </c>
      <c r="E425" s="218" t="s">
        <v>19</v>
      </c>
      <c r="F425" s="219" t="s">
        <v>419</v>
      </c>
      <c r="G425" s="217"/>
      <c r="H425" s="220">
        <v>59.8</v>
      </c>
      <c r="I425" s="221"/>
      <c r="J425" s="217"/>
      <c r="K425" s="217"/>
      <c r="L425" s="222"/>
      <c r="M425" s="223"/>
      <c r="N425" s="224"/>
      <c r="O425" s="224"/>
      <c r="P425" s="224"/>
      <c r="Q425" s="224"/>
      <c r="R425" s="224"/>
      <c r="S425" s="224"/>
      <c r="T425" s="225"/>
      <c r="AT425" s="226" t="s">
        <v>388</v>
      </c>
      <c r="AU425" s="226" t="s">
        <v>82</v>
      </c>
      <c r="AV425" s="15" t="s">
        <v>386</v>
      </c>
      <c r="AW425" s="15" t="s">
        <v>33</v>
      </c>
      <c r="AX425" s="15" t="s">
        <v>79</v>
      </c>
      <c r="AY425" s="226" t="s">
        <v>380</v>
      </c>
    </row>
    <row r="426" spans="1:65" s="2" customFormat="1" ht="16.5" customHeight="1">
      <c r="A426" s="36"/>
      <c r="B426" s="37"/>
      <c r="C426" s="227" t="s">
        <v>1358</v>
      </c>
      <c r="D426" s="227" t="s">
        <v>465</v>
      </c>
      <c r="E426" s="228" t="s">
        <v>2797</v>
      </c>
      <c r="F426" s="229" t="s">
        <v>2798</v>
      </c>
      <c r="G426" s="230" t="s">
        <v>2393</v>
      </c>
      <c r="H426" s="231">
        <v>1</v>
      </c>
      <c r="I426" s="232"/>
      <c r="J426" s="233">
        <f>ROUND(I426*H426,2)</f>
        <v>0</v>
      </c>
      <c r="K426" s="229" t="s">
        <v>19</v>
      </c>
      <c r="L426" s="234"/>
      <c r="M426" s="235" t="s">
        <v>19</v>
      </c>
      <c r="N426" s="236" t="s">
        <v>43</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424</v>
      </c>
      <c r="AT426" s="192" t="s">
        <v>465</v>
      </c>
      <c r="AU426" s="192" t="s">
        <v>82</v>
      </c>
      <c r="AY426" s="19" t="s">
        <v>380</v>
      </c>
      <c r="BE426" s="193">
        <f>IF(N426="základní",J426,0)</f>
        <v>0</v>
      </c>
      <c r="BF426" s="193">
        <f>IF(N426="snížená",J426,0)</f>
        <v>0</v>
      </c>
      <c r="BG426" s="193">
        <f>IF(N426="zákl. přenesená",J426,0)</f>
        <v>0</v>
      </c>
      <c r="BH426" s="193">
        <f>IF(N426="sníž. přenesená",J426,0)</f>
        <v>0</v>
      </c>
      <c r="BI426" s="193">
        <f>IF(N426="nulová",J426,0)</f>
        <v>0</v>
      </c>
      <c r="BJ426" s="19" t="s">
        <v>79</v>
      </c>
      <c r="BK426" s="193">
        <f>ROUND(I426*H426,2)</f>
        <v>0</v>
      </c>
      <c r="BL426" s="19" t="s">
        <v>386</v>
      </c>
      <c r="BM426" s="192" t="s">
        <v>2225</v>
      </c>
    </row>
    <row r="427" spans="1:65" s="2" customFormat="1" ht="19.5">
      <c r="A427" s="36"/>
      <c r="B427" s="37"/>
      <c r="C427" s="38"/>
      <c r="D427" s="196" t="s">
        <v>1226</v>
      </c>
      <c r="E427" s="38"/>
      <c r="F427" s="248" t="s">
        <v>2799</v>
      </c>
      <c r="G427" s="38"/>
      <c r="H427" s="38"/>
      <c r="I427" s="249"/>
      <c r="J427" s="38"/>
      <c r="K427" s="38"/>
      <c r="L427" s="41"/>
      <c r="M427" s="250"/>
      <c r="N427" s="251"/>
      <c r="O427" s="66"/>
      <c r="P427" s="66"/>
      <c r="Q427" s="66"/>
      <c r="R427" s="66"/>
      <c r="S427" s="66"/>
      <c r="T427" s="67"/>
      <c r="U427" s="36"/>
      <c r="V427" s="36"/>
      <c r="W427" s="36"/>
      <c r="X427" s="36"/>
      <c r="Y427" s="36"/>
      <c r="Z427" s="36"/>
      <c r="AA427" s="36"/>
      <c r="AB427" s="36"/>
      <c r="AC427" s="36"/>
      <c r="AD427" s="36"/>
      <c r="AE427" s="36"/>
      <c r="AT427" s="19" t="s">
        <v>1226</v>
      </c>
      <c r="AU427" s="19" t="s">
        <v>82</v>
      </c>
    </row>
    <row r="428" spans="1:65" s="2" customFormat="1" ht="16.5" customHeight="1">
      <c r="A428" s="36"/>
      <c r="B428" s="37"/>
      <c r="C428" s="227" t="s">
        <v>1363</v>
      </c>
      <c r="D428" s="227" t="s">
        <v>465</v>
      </c>
      <c r="E428" s="228" t="s">
        <v>2800</v>
      </c>
      <c r="F428" s="229" t="s">
        <v>2801</v>
      </c>
      <c r="G428" s="230" t="s">
        <v>2393</v>
      </c>
      <c r="H428" s="231">
        <v>1</v>
      </c>
      <c r="I428" s="232"/>
      <c r="J428" s="233">
        <f>ROUND(I428*H428,2)</f>
        <v>0</v>
      </c>
      <c r="K428" s="229" t="s">
        <v>19</v>
      </c>
      <c r="L428" s="234"/>
      <c r="M428" s="235" t="s">
        <v>19</v>
      </c>
      <c r="N428" s="236" t="s">
        <v>43</v>
      </c>
      <c r="O428" s="66"/>
      <c r="P428" s="190">
        <f>O428*H428</f>
        <v>0</v>
      </c>
      <c r="Q428" s="190">
        <v>0</v>
      </c>
      <c r="R428" s="190">
        <f>Q428*H428</f>
        <v>0</v>
      </c>
      <c r="S428" s="190">
        <v>0</v>
      </c>
      <c r="T428" s="191">
        <f>S428*H428</f>
        <v>0</v>
      </c>
      <c r="U428" s="36"/>
      <c r="V428" s="36"/>
      <c r="W428" s="36"/>
      <c r="X428" s="36"/>
      <c r="Y428" s="36"/>
      <c r="Z428" s="36"/>
      <c r="AA428" s="36"/>
      <c r="AB428" s="36"/>
      <c r="AC428" s="36"/>
      <c r="AD428" s="36"/>
      <c r="AE428" s="36"/>
      <c r="AR428" s="192" t="s">
        <v>424</v>
      </c>
      <c r="AT428" s="192" t="s">
        <v>465</v>
      </c>
      <c r="AU428" s="192" t="s">
        <v>82</v>
      </c>
      <c r="AY428" s="19" t="s">
        <v>380</v>
      </c>
      <c r="BE428" s="193">
        <f>IF(N428="základní",J428,0)</f>
        <v>0</v>
      </c>
      <c r="BF428" s="193">
        <f>IF(N428="snížená",J428,0)</f>
        <v>0</v>
      </c>
      <c r="BG428" s="193">
        <f>IF(N428="zákl. přenesená",J428,0)</f>
        <v>0</v>
      </c>
      <c r="BH428" s="193">
        <f>IF(N428="sníž. přenesená",J428,0)</f>
        <v>0</v>
      </c>
      <c r="BI428" s="193">
        <f>IF(N428="nulová",J428,0)</f>
        <v>0</v>
      </c>
      <c r="BJ428" s="19" t="s">
        <v>79</v>
      </c>
      <c r="BK428" s="193">
        <f>ROUND(I428*H428,2)</f>
        <v>0</v>
      </c>
      <c r="BL428" s="19" t="s">
        <v>386</v>
      </c>
      <c r="BM428" s="192" t="s">
        <v>2245</v>
      </c>
    </row>
    <row r="429" spans="1:65" s="12" customFormat="1" ht="22.9" customHeight="1">
      <c r="B429" s="165"/>
      <c r="C429" s="166"/>
      <c r="D429" s="167" t="s">
        <v>71</v>
      </c>
      <c r="E429" s="179" t="s">
        <v>2802</v>
      </c>
      <c r="F429" s="179" t="s">
        <v>2803</v>
      </c>
      <c r="G429" s="166"/>
      <c r="H429" s="166"/>
      <c r="I429" s="169"/>
      <c r="J429" s="180">
        <f>BK429</f>
        <v>0</v>
      </c>
      <c r="K429" s="166"/>
      <c r="L429" s="171"/>
      <c r="M429" s="172"/>
      <c r="N429" s="173"/>
      <c r="O429" s="173"/>
      <c r="P429" s="174">
        <f>SUM(P430:P433)</f>
        <v>0</v>
      </c>
      <c r="Q429" s="173"/>
      <c r="R429" s="174">
        <f>SUM(R430:R433)</f>
        <v>0</v>
      </c>
      <c r="S429" s="173"/>
      <c r="T429" s="175">
        <f>SUM(T430:T433)</f>
        <v>0</v>
      </c>
      <c r="AR429" s="176" t="s">
        <v>79</v>
      </c>
      <c r="AT429" s="177" t="s">
        <v>71</v>
      </c>
      <c r="AU429" s="177" t="s">
        <v>79</v>
      </c>
      <c r="AY429" s="176" t="s">
        <v>380</v>
      </c>
      <c r="BK429" s="178">
        <f>SUM(BK430:BK433)</f>
        <v>0</v>
      </c>
    </row>
    <row r="430" spans="1:65" s="2" customFormat="1" ht="16.5" customHeight="1">
      <c r="A430" s="36"/>
      <c r="B430" s="37"/>
      <c r="C430" s="181" t="s">
        <v>1367</v>
      </c>
      <c r="D430" s="181" t="s">
        <v>382</v>
      </c>
      <c r="E430" s="182" t="s">
        <v>2804</v>
      </c>
      <c r="F430" s="183" t="s">
        <v>2805</v>
      </c>
      <c r="G430" s="184" t="s">
        <v>2389</v>
      </c>
      <c r="H430" s="185">
        <v>48</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386</v>
      </c>
      <c r="AT430" s="192" t="s">
        <v>382</v>
      </c>
      <c r="AU430" s="192" t="s">
        <v>82</v>
      </c>
      <c r="AY430" s="19" t="s">
        <v>380</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386</v>
      </c>
      <c r="BM430" s="192" t="s">
        <v>2263</v>
      </c>
    </row>
    <row r="431" spans="1:65" s="2" customFormat="1" ht="39">
      <c r="A431" s="36"/>
      <c r="B431" s="37"/>
      <c r="C431" s="38"/>
      <c r="D431" s="196" t="s">
        <v>1226</v>
      </c>
      <c r="E431" s="38"/>
      <c r="F431" s="248" t="s">
        <v>2806</v>
      </c>
      <c r="G431" s="38"/>
      <c r="H431" s="38"/>
      <c r="I431" s="249"/>
      <c r="J431" s="38"/>
      <c r="K431" s="38"/>
      <c r="L431" s="41"/>
      <c r="M431" s="250"/>
      <c r="N431" s="251"/>
      <c r="O431" s="66"/>
      <c r="P431" s="66"/>
      <c r="Q431" s="66"/>
      <c r="R431" s="66"/>
      <c r="S431" s="66"/>
      <c r="T431" s="67"/>
      <c r="U431" s="36"/>
      <c r="V431" s="36"/>
      <c r="W431" s="36"/>
      <c r="X431" s="36"/>
      <c r="Y431" s="36"/>
      <c r="Z431" s="36"/>
      <c r="AA431" s="36"/>
      <c r="AB431" s="36"/>
      <c r="AC431" s="36"/>
      <c r="AD431" s="36"/>
      <c r="AE431" s="36"/>
      <c r="AT431" s="19" t="s">
        <v>1226</v>
      </c>
      <c r="AU431" s="19" t="s">
        <v>82</v>
      </c>
    </row>
    <row r="432" spans="1:65" s="2" customFormat="1" ht="16.5" customHeight="1">
      <c r="A432" s="36"/>
      <c r="B432" s="37"/>
      <c r="C432" s="181" t="s">
        <v>1373</v>
      </c>
      <c r="D432" s="181" t="s">
        <v>382</v>
      </c>
      <c r="E432" s="182" t="s">
        <v>2807</v>
      </c>
      <c r="F432" s="183" t="s">
        <v>2808</v>
      </c>
      <c r="G432" s="184" t="s">
        <v>2389</v>
      </c>
      <c r="H432" s="185">
        <v>48</v>
      </c>
      <c r="I432" s="186"/>
      <c r="J432" s="187">
        <f>ROUND(I432*H432,2)</f>
        <v>0</v>
      </c>
      <c r="K432" s="183" t="s">
        <v>19</v>
      </c>
      <c r="L432" s="41"/>
      <c r="M432" s="188" t="s">
        <v>19</v>
      </c>
      <c r="N432" s="189" t="s">
        <v>43</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386</v>
      </c>
      <c r="AT432" s="192" t="s">
        <v>382</v>
      </c>
      <c r="AU432" s="192" t="s">
        <v>82</v>
      </c>
      <c r="AY432" s="19" t="s">
        <v>380</v>
      </c>
      <c r="BE432" s="193">
        <f>IF(N432="základní",J432,0)</f>
        <v>0</v>
      </c>
      <c r="BF432" s="193">
        <f>IF(N432="snížená",J432,0)</f>
        <v>0</v>
      </c>
      <c r="BG432" s="193">
        <f>IF(N432="zákl. přenesená",J432,0)</f>
        <v>0</v>
      </c>
      <c r="BH432" s="193">
        <f>IF(N432="sníž. přenesená",J432,0)</f>
        <v>0</v>
      </c>
      <c r="BI432" s="193">
        <f>IF(N432="nulová",J432,0)</f>
        <v>0</v>
      </c>
      <c r="BJ432" s="19" t="s">
        <v>79</v>
      </c>
      <c r="BK432" s="193">
        <f>ROUND(I432*H432,2)</f>
        <v>0</v>
      </c>
      <c r="BL432" s="19" t="s">
        <v>386</v>
      </c>
      <c r="BM432" s="192" t="s">
        <v>2272</v>
      </c>
    </row>
    <row r="433" spans="1:65" s="2" customFormat="1" ht="39">
      <c r="A433" s="36"/>
      <c r="B433" s="37"/>
      <c r="C433" s="38"/>
      <c r="D433" s="196" t="s">
        <v>1226</v>
      </c>
      <c r="E433" s="38"/>
      <c r="F433" s="248" t="s">
        <v>2809</v>
      </c>
      <c r="G433" s="38"/>
      <c r="H433" s="38"/>
      <c r="I433" s="249"/>
      <c r="J433" s="38"/>
      <c r="K433" s="38"/>
      <c r="L433" s="41"/>
      <c r="M433" s="250"/>
      <c r="N433" s="251"/>
      <c r="O433" s="66"/>
      <c r="P433" s="66"/>
      <c r="Q433" s="66"/>
      <c r="R433" s="66"/>
      <c r="S433" s="66"/>
      <c r="T433" s="67"/>
      <c r="U433" s="36"/>
      <c r="V433" s="36"/>
      <c r="W433" s="36"/>
      <c r="X433" s="36"/>
      <c r="Y433" s="36"/>
      <c r="Z433" s="36"/>
      <c r="AA433" s="36"/>
      <c r="AB433" s="36"/>
      <c r="AC433" s="36"/>
      <c r="AD433" s="36"/>
      <c r="AE433" s="36"/>
      <c r="AT433" s="19" t="s">
        <v>1226</v>
      </c>
      <c r="AU433" s="19" t="s">
        <v>82</v>
      </c>
    </row>
    <row r="434" spans="1:65" s="12" customFormat="1" ht="22.9" customHeight="1">
      <c r="B434" s="165"/>
      <c r="C434" s="166"/>
      <c r="D434" s="167" t="s">
        <v>71</v>
      </c>
      <c r="E434" s="179" t="s">
        <v>2810</v>
      </c>
      <c r="F434" s="179" t="s">
        <v>2811</v>
      </c>
      <c r="G434" s="166"/>
      <c r="H434" s="166"/>
      <c r="I434" s="169"/>
      <c r="J434" s="180">
        <f>BK434</f>
        <v>0</v>
      </c>
      <c r="K434" s="166"/>
      <c r="L434" s="171"/>
      <c r="M434" s="172"/>
      <c r="N434" s="173"/>
      <c r="O434" s="173"/>
      <c r="P434" s="174">
        <f>SUM(P435:P438)</f>
        <v>0</v>
      </c>
      <c r="Q434" s="173"/>
      <c r="R434" s="174">
        <f>SUM(R435:R438)</f>
        <v>0</v>
      </c>
      <c r="S434" s="173"/>
      <c r="T434" s="175">
        <f>SUM(T435:T438)</f>
        <v>0</v>
      </c>
      <c r="AR434" s="176" t="s">
        <v>79</v>
      </c>
      <c r="AT434" s="177" t="s">
        <v>71</v>
      </c>
      <c r="AU434" s="177" t="s">
        <v>79</v>
      </c>
      <c r="AY434" s="176" t="s">
        <v>380</v>
      </c>
      <c r="BK434" s="178">
        <f>SUM(BK435:BK438)</f>
        <v>0</v>
      </c>
    </row>
    <row r="435" spans="1:65" s="2" customFormat="1" ht="16.5" customHeight="1">
      <c r="A435" s="36"/>
      <c r="B435" s="37"/>
      <c r="C435" s="181" t="s">
        <v>1382</v>
      </c>
      <c r="D435" s="181" t="s">
        <v>382</v>
      </c>
      <c r="E435" s="182" t="s">
        <v>2812</v>
      </c>
      <c r="F435" s="183" t="s">
        <v>2813</v>
      </c>
      <c r="G435" s="184" t="s">
        <v>2389</v>
      </c>
      <c r="H435" s="185">
        <v>32</v>
      </c>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386</v>
      </c>
      <c r="AT435" s="192" t="s">
        <v>382</v>
      </c>
      <c r="AU435" s="192" t="s">
        <v>82</v>
      </c>
      <c r="AY435" s="19" t="s">
        <v>380</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386</v>
      </c>
      <c r="BM435" s="192" t="s">
        <v>2283</v>
      </c>
    </row>
    <row r="436" spans="1:65" s="2" customFormat="1" ht="16.5" customHeight="1">
      <c r="A436" s="36"/>
      <c r="B436" s="37"/>
      <c r="C436" s="181" t="s">
        <v>1386</v>
      </c>
      <c r="D436" s="181" t="s">
        <v>382</v>
      </c>
      <c r="E436" s="182" t="s">
        <v>2814</v>
      </c>
      <c r="F436" s="183" t="s">
        <v>2815</v>
      </c>
      <c r="G436" s="184" t="s">
        <v>2389</v>
      </c>
      <c r="H436" s="185">
        <v>32</v>
      </c>
      <c r="I436" s="186"/>
      <c r="J436" s="187">
        <f>ROUND(I436*H436,2)</f>
        <v>0</v>
      </c>
      <c r="K436" s="183" t="s">
        <v>19</v>
      </c>
      <c r="L436" s="41"/>
      <c r="M436" s="188" t="s">
        <v>19</v>
      </c>
      <c r="N436" s="189" t="s">
        <v>43</v>
      </c>
      <c r="O436" s="66"/>
      <c r="P436" s="190">
        <f>O436*H436</f>
        <v>0</v>
      </c>
      <c r="Q436" s="190">
        <v>0</v>
      </c>
      <c r="R436" s="190">
        <f>Q436*H436</f>
        <v>0</v>
      </c>
      <c r="S436" s="190">
        <v>0</v>
      </c>
      <c r="T436" s="191">
        <f>S436*H436</f>
        <v>0</v>
      </c>
      <c r="U436" s="36"/>
      <c r="V436" s="36"/>
      <c r="W436" s="36"/>
      <c r="X436" s="36"/>
      <c r="Y436" s="36"/>
      <c r="Z436" s="36"/>
      <c r="AA436" s="36"/>
      <c r="AB436" s="36"/>
      <c r="AC436" s="36"/>
      <c r="AD436" s="36"/>
      <c r="AE436" s="36"/>
      <c r="AR436" s="192" t="s">
        <v>386</v>
      </c>
      <c r="AT436" s="192" t="s">
        <v>382</v>
      </c>
      <c r="AU436" s="192" t="s">
        <v>82</v>
      </c>
      <c r="AY436" s="19" t="s">
        <v>380</v>
      </c>
      <c r="BE436" s="193">
        <f>IF(N436="základní",J436,0)</f>
        <v>0</v>
      </c>
      <c r="BF436" s="193">
        <f>IF(N436="snížená",J436,0)</f>
        <v>0</v>
      </c>
      <c r="BG436" s="193">
        <f>IF(N436="zákl. přenesená",J436,0)</f>
        <v>0</v>
      </c>
      <c r="BH436" s="193">
        <f>IF(N436="sníž. přenesená",J436,0)</f>
        <v>0</v>
      </c>
      <c r="BI436" s="193">
        <f>IF(N436="nulová",J436,0)</f>
        <v>0</v>
      </c>
      <c r="BJ436" s="19" t="s">
        <v>79</v>
      </c>
      <c r="BK436" s="193">
        <f>ROUND(I436*H436,2)</f>
        <v>0</v>
      </c>
      <c r="BL436" s="19" t="s">
        <v>386</v>
      </c>
      <c r="BM436" s="192" t="s">
        <v>2298</v>
      </c>
    </row>
    <row r="437" spans="1:65" s="2" customFormat="1" ht="16.5" customHeight="1">
      <c r="A437" s="36"/>
      <c r="B437" s="37"/>
      <c r="C437" s="181" t="s">
        <v>1390</v>
      </c>
      <c r="D437" s="181" t="s">
        <v>382</v>
      </c>
      <c r="E437" s="182" t="s">
        <v>2816</v>
      </c>
      <c r="F437" s="183" t="s">
        <v>2817</v>
      </c>
      <c r="G437" s="184" t="s">
        <v>2389</v>
      </c>
      <c r="H437" s="185">
        <v>48</v>
      </c>
      <c r="I437" s="186"/>
      <c r="J437" s="187">
        <f>ROUND(I437*H437,2)</f>
        <v>0</v>
      </c>
      <c r="K437" s="183" t="s">
        <v>19</v>
      </c>
      <c r="L437" s="41"/>
      <c r="M437" s="188" t="s">
        <v>19</v>
      </c>
      <c r="N437" s="189" t="s">
        <v>43</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386</v>
      </c>
      <c r="AT437" s="192" t="s">
        <v>382</v>
      </c>
      <c r="AU437" s="192" t="s">
        <v>82</v>
      </c>
      <c r="AY437" s="19" t="s">
        <v>380</v>
      </c>
      <c r="BE437" s="193">
        <f>IF(N437="základní",J437,0)</f>
        <v>0</v>
      </c>
      <c r="BF437" s="193">
        <f>IF(N437="snížená",J437,0)</f>
        <v>0</v>
      </c>
      <c r="BG437" s="193">
        <f>IF(N437="zákl. přenesená",J437,0)</f>
        <v>0</v>
      </c>
      <c r="BH437" s="193">
        <f>IF(N437="sníž. přenesená",J437,0)</f>
        <v>0</v>
      </c>
      <c r="BI437" s="193">
        <f>IF(N437="nulová",J437,0)</f>
        <v>0</v>
      </c>
      <c r="BJ437" s="19" t="s">
        <v>79</v>
      </c>
      <c r="BK437" s="193">
        <f>ROUND(I437*H437,2)</f>
        <v>0</v>
      </c>
      <c r="BL437" s="19" t="s">
        <v>386</v>
      </c>
      <c r="BM437" s="192" t="s">
        <v>2314</v>
      </c>
    </row>
    <row r="438" spans="1:65" s="2" customFormat="1" ht="16.5" customHeight="1">
      <c r="A438" s="36"/>
      <c r="B438" s="37"/>
      <c r="C438" s="181" t="s">
        <v>1394</v>
      </c>
      <c r="D438" s="181" t="s">
        <v>382</v>
      </c>
      <c r="E438" s="182" t="s">
        <v>2818</v>
      </c>
      <c r="F438" s="183" t="s">
        <v>2819</v>
      </c>
      <c r="G438" s="184" t="s">
        <v>2389</v>
      </c>
      <c r="H438" s="185">
        <v>48</v>
      </c>
      <c r="I438" s="186"/>
      <c r="J438" s="187">
        <f>ROUND(I438*H438,2)</f>
        <v>0</v>
      </c>
      <c r="K438" s="183" t="s">
        <v>19</v>
      </c>
      <c r="L438" s="41"/>
      <c r="M438" s="252" t="s">
        <v>19</v>
      </c>
      <c r="N438" s="253" t="s">
        <v>43</v>
      </c>
      <c r="O438" s="254"/>
      <c r="P438" s="255">
        <f>O438*H438</f>
        <v>0</v>
      </c>
      <c r="Q438" s="255">
        <v>0</v>
      </c>
      <c r="R438" s="255">
        <f>Q438*H438</f>
        <v>0</v>
      </c>
      <c r="S438" s="255">
        <v>0</v>
      </c>
      <c r="T438" s="256">
        <f>S438*H438</f>
        <v>0</v>
      </c>
      <c r="U438" s="36"/>
      <c r="V438" s="36"/>
      <c r="W438" s="36"/>
      <c r="X438" s="36"/>
      <c r="Y438" s="36"/>
      <c r="Z438" s="36"/>
      <c r="AA438" s="36"/>
      <c r="AB438" s="36"/>
      <c r="AC438" s="36"/>
      <c r="AD438" s="36"/>
      <c r="AE438" s="36"/>
      <c r="AR438" s="192" t="s">
        <v>386</v>
      </c>
      <c r="AT438" s="192" t="s">
        <v>382</v>
      </c>
      <c r="AU438" s="192" t="s">
        <v>82</v>
      </c>
      <c r="AY438" s="19" t="s">
        <v>380</v>
      </c>
      <c r="BE438" s="193">
        <f>IF(N438="základní",J438,0)</f>
        <v>0</v>
      </c>
      <c r="BF438" s="193">
        <f>IF(N438="snížená",J438,0)</f>
        <v>0</v>
      </c>
      <c r="BG438" s="193">
        <f>IF(N438="zákl. přenesená",J438,0)</f>
        <v>0</v>
      </c>
      <c r="BH438" s="193">
        <f>IF(N438="sníž. přenesená",J438,0)</f>
        <v>0</v>
      </c>
      <c r="BI438" s="193">
        <f>IF(N438="nulová",J438,0)</f>
        <v>0</v>
      </c>
      <c r="BJ438" s="19" t="s">
        <v>79</v>
      </c>
      <c r="BK438" s="193">
        <f>ROUND(I438*H438,2)</f>
        <v>0</v>
      </c>
      <c r="BL438" s="19" t="s">
        <v>386</v>
      </c>
      <c r="BM438" s="192" t="s">
        <v>2327</v>
      </c>
    </row>
    <row r="439" spans="1:65" s="2" customFormat="1" ht="6.95" customHeight="1">
      <c r="A439" s="36"/>
      <c r="B439" s="49"/>
      <c r="C439" s="50"/>
      <c r="D439" s="50"/>
      <c r="E439" s="50"/>
      <c r="F439" s="50"/>
      <c r="G439" s="50"/>
      <c r="H439" s="50"/>
      <c r="I439" s="50"/>
      <c r="J439" s="50"/>
      <c r="K439" s="50"/>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CHw9Llfbsvho4skppRpta18wXWwJsiV5l04n0h78sYH+T1ZeMyWe0N6yJeeExmbrKimxbe1FnJpJsXNdSrTbzw==" saltValue="o/6CTlrB7ZRWKmBpOobu0d02X7qABv9nxfl8euKNVnGW2jSY6tCazUNNlRUomhHy6+iecICyqPt5rbGrbiKOAQ==" spinCount="100000" sheet="1" objects="1" scenarios="1" formatColumns="0" formatRows="0" autoFilter="0"/>
  <autoFilter ref="C99:K438" xr:uid="{00000000-0009-0000-0000-000002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2820</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ROUND((SUM(BE96:BE542)),  2)</f>
        <v>0</v>
      </c>
      <c r="G35" s="36"/>
      <c r="H35" s="36"/>
      <c r="I35" s="127">
        <v>0.21</v>
      </c>
      <c r="J35" s="126">
        <f>ROUND(((SUM(BE96:BE542))*I35),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ROUND((SUM(BF96:BF542)),  2)</f>
        <v>0</v>
      </c>
      <c r="G36" s="36"/>
      <c r="H36" s="36"/>
      <c r="I36" s="127">
        <v>0.15</v>
      </c>
      <c r="J36" s="126">
        <f>ROUND(((SUM(BF96:BF542))*I36),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ROUND((SUM(BG96:BG542)),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ROUND((SUM(BH96:BH542)),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ROUND((SUM(BI96:BI542)),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ZTI - ZDRAVOTECHNIKA</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J96</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2821</v>
      </c>
      <c r="E64" s="146"/>
      <c r="F64" s="146"/>
      <c r="G64" s="146"/>
      <c r="H64" s="146"/>
      <c r="I64" s="146"/>
      <c r="J64" s="147">
        <f>J97</f>
        <v>0</v>
      </c>
      <c r="K64" s="144"/>
      <c r="L64" s="148"/>
    </row>
    <row r="65" spans="1:31" s="10" customFormat="1" ht="19.899999999999999" customHeight="1">
      <c r="B65" s="149"/>
      <c r="C65" s="99"/>
      <c r="D65" s="150" t="s">
        <v>2822</v>
      </c>
      <c r="E65" s="151"/>
      <c r="F65" s="151"/>
      <c r="G65" s="151"/>
      <c r="H65" s="151"/>
      <c r="I65" s="151"/>
      <c r="J65" s="152">
        <f>J98</f>
        <v>0</v>
      </c>
      <c r="K65" s="99"/>
      <c r="L65" s="153"/>
    </row>
    <row r="66" spans="1:31" s="10" customFormat="1" ht="19.899999999999999" customHeight="1">
      <c r="B66" s="149"/>
      <c r="C66" s="99"/>
      <c r="D66" s="150" t="s">
        <v>2823</v>
      </c>
      <c r="E66" s="151"/>
      <c r="F66" s="151"/>
      <c r="G66" s="151"/>
      <c r="H66" s="151"/>
      <c r="I66" s="151"/>
      <c r="J66" s="152">
        <f>J124</f>
        <v>0</v>
      </c>
      <c r="K66" s="99"/>
      <c r="L66" s="153"/>
    </row>
    <row r="67" spans="1:31" s="10" customFormat="1" ht="19.899999999999999" customHeight="1">
      <c r="B67" s="149"/>
      <c r="C67" s="99"/>
      <c r="D67" s="150" t="s">
        <v>2824</v>
      </c>
      <c r="E67" s="151"/>
      <c r="F67" s="151"/>
      <c r="G67" s="151"/>
      <c r="H67" s="151"/>
      <c r="I67" s="151"/>
      <c r="J67" s="152">
        <f>J140</f>
        <v>0</v>
      </c>
      <c r="K67" s="99"/>
      <c r="L67" s="153"/>
    </row>
    <row r="68" spans="1:31" s="9" customFormat="1" ht="24.95" customHeight="1">
      <c r="B68" s="143"/>
      <c r="C68" s="144"/>
      <c r="D68" s="145" t="s">
        <v>2333</v>
      </c>
      <c r="E68" s="146"/>
      <c r="F68" s="146"/>
      <c r="G68" s="146"/>
      <c r="H68" s="146"/>
      <c r="I68" s="146"/>
      <c r="J68" s="147">
        <f>J143</f>
        <v>0</v>
      </c>
      <c r="K68" s="144"/>
      <c r="L68" s="148"/>
    </row>
    <row r="69" spans="1:31" s="10" customFormat="1" ht="19.899999999999999" customHeight="1">
      <c r="B69" s="149"/>
      <c r="C69" s="99"/>
      <c r="D69" s="150" t="s">
        <v>2825</v>
      </c>
      <c r="E69" s="151"/>
      <c r="F69" s="151"/>
      <c r="G69" s="151"/>
      <c r="H69" s="151"/>
      <c r="I69" s="151"/>
      <c r="J69" s="152">
        <f>J144</f>
        <v>0</v>
      </c>
      <c r="K69" s="99"/>
      <c r="L69" s="153"/>
    </row>
    <row r="70" spans="1:31" s="10" customFormat="1" ht="19.899999999999999" customHeight="1">
      <c r="B70" s="149"/>
      <c r="C70" s="99"/>
      <c r="D70" s="150" t="s">
        <v>2826</v>
      </c>
      <c r="E70" s="151"/>
      <c r="F70" s="151"/>
      <c r="G70" s="151"/>
      <c r="H70" s="151"/>
      <c r="I70" s="151"/>
      <c r="J70" s="152">
        <f>J274</f>
        <v>0</v>
      </c>
      <c r="K70" s="99"/>
      <c r="L70" s="153"/>
    </row>
    <row r="71" spans="1:31" s="10" customFormat="1" ht="19.899999999999999" customHeight="1">
      <c r="B71" s="149"/>
      <c r="C71" s="99"/>
      <c r="D71" s="150" t="s">
        <v>2827</v>
      </c>
      <c r="E71" s="151"/>
      <c r="F71" s="151"/>
      <c r="G71" s="151"/>
      <c r="H71" s="151"/>
      <c r="I71" s="151"/>
      <c r="J71" s="152">
        <f>J426</f>
        <v>0</v>
      </c>
      <c r="K71" s="99"/>
      <c r="L71" s="153"/>
    </row>
    <row r="72" spans="1:31" s="10" customFormat="1" ht="19.899999999999999" customHeight="1">
      <c r="B72" s="149"/>
      <c r="C72" s="99"/>
      <c r="D72" s="150" t="s">
        <v>2828</v>
      </c>
      <c r="E72" s="151"/>
      <c r="F72" s="151"/>
      <c r="G72" s="151"/>
      <c r="H72" s="151"/>
      <c r="I72" s="151"/>
      <c r="J72" s="152">
        <f>J436</f>
        <v>0</v>
      </c>
      <c r="K72" s="99"/>
      <c r="L72" s="153"/>
    </row>
    <row r="73" spans="1:31" s="10" customFormat="1" ht="19.899999999999999" customHeight="1">
      <c r="B73" s="149"/>
      <c r="C73" s="99"/>
      <c r="D73" s="150" t="s">
        <v>2829</v>
      </c>
      <c r="E73" s="151"/>
      <c r="F73" s="151"/>
      <c r="G73" s="151"/>
      <c r="H73" s="151"/>
      <c r="I73" s="151"/>
      <c r="J73" s="152">
        <f>J459</f>
        <v>0</v>
      </c>
      <c r="K73" s="99"/>
      <c r="L73" s="153"/>
    </row>
    <row r="74" spans="1:31" s="10" customFormat="1" ht="19.899999999999999" customHeight="1">
      <c r="B74" s="149"/>
      <c r="C74" s="99"/>
      <c r="D74" s="150" t="s">
        <v>2830</v>
      </c>
      <c r="E74" s="151"/>
      <c r="F74" s="151"/>
      <c r="G74" s="151"/>
      <c r="H74" s="151"/>
      <c r="I74" s="151"/>
      <c r="J74" s="152">
        <f>J462</f>
        <v>0</v>
      </c>
      <c r="K74" s="99"/>
      <c r="L74" s="153"/>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365</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6" t="str">
        <f>E7</f>
        <v>ARCHIV UP V OLOMOUCI - BEZ VYBAVENÍ INTERIÉRU</v>
      </c>
      <c r="F84" s="417"/>
      <c r="G84" s="417"/>
      <c r="H84" s="417"/>
      <c r="I84" s="38"/>
      <c r="J84" s="38"/>
      <c r="K84" s="38"/>
      <c r="L84" s="116"/>
      <c r="S84" s="36"/>
      <c r="T84" s="36"/>
      <c r="U84" s="36"/>
      <c r="V84" s="36"/>
      <c r="W84" s="36"/>
      <c r="X84" s="36"/>
      <c r="Y84" s="36"/>
      <c r="Z84" s="36"/>
      <c r="AA84" s="36"/>
      <c r="AB84" s="36"/>
      <c r="AC84" s="36"/>
      <c r="AD84" s="36"/>
      <c r="AE84" s="36"/>
    </row>
    <row r="85" spans="1:63" s="1" customFormat="1" ht="12" customHeight="1">
      <c r="B85" s="23"/>
      <c r="C85" s="31" t="s">
        <v>282</v>
      </c>
      <c r="D85" s="24"/>
      <c r="E85" s="24"/>
      <c r="F85" s="24"/>
      <c r="G85" s="24"/>
      <c r="H85" s="24"/>
      <c r="I85" s="24"/>
      <c r="J85" s="24"/>
      <c r="K85" s="24"/>
      <c r="L85" s="22"/>
    </row>
    <row r="86" spans="1:63" s="2" customFormat="1" ht="16.5" customHeight="1">
      <c r="A86" s="36"/>
      <c r="B86" s="37"/>
      <c r="C86" s="38"/>
      <c r="D86" s="38"/>
      <c r="E86" s="416" t="s">
        <v>285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288</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E11</f>
        <v>ZTI - ZDRAVOTECHNIKA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F14</f>
        <v xml:space="preserve"> </v>
      </c>
      <c r="G90" s="38"/>
      <c r="H90" s="38"/>
      <c r="I90" s="31" t="s">
        <v>23</v>
      </c>
      <c r="J90" s="61" t="str">
        <f>IF(J14="","",J14)</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E17</f>
        <v>UP V OLOMOUCI, KŘÍŽOVSKÉHO 511/8, 779 00</v>
      </c>
      <c r="G92" s="38"/>
      <c r="H92" s="38"/>
      <c r="I92" s="31" t="s">
        <v>31</v>
      </c>
      <c r="J92" s="34" t="str">
        <f>E23</f>
        <v>ALFAPROJEKT OLOMOUC a.s.</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IF(E20="","",E20)</f>
        <v>Vyplň údaj</v>
      </c>
      <c r="G93" s="38"/>
      <c r="H93" s="38"/>
      <c r="I93" s="31" t="s">
        <v>34</v>
      </c>
      <c r="J93" s="34" t="str">
        <f>E26</f>
        <v>PROPOS LIBEREC s.r.o.</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P97+P143</f>
        <v>0</v>
      </c>
      <c r="Q96" s="74"/>
      <c r="R96" s="162">
        <f>R97+R143</f>
        <v>0</v>
      </c>
      <c r="S96" s="74"/>
      <c r="T96" s="163">
        <f>T97+T143</f>
        <v>0</v>
      </c>
      <c r="U96" s="36"/>
      <c r="V96" s="36"/>
      <c r="W96" s="36"/>
      <c r="X96" s="36"/>
      <c r="Y96" s="36"/>
      <c r="Z96" s="36"/>
      <c r="AA96" s="36"/>
      <c r="AB96" s="36"/>
      <c r="AC96" s="36"/>
      <c r="AD96" s="36"/>
      <c r="AE96" s="36"/>
      <c r="AT96" s="19" t="s">
        <v>71</v>
      </c>
      <c r="AU96" s="19" t="s">
        <v>335</v>
      </c>
      <c r="BK96" s="164">
        <f>BK97+BK143</f>
        <v>0</v>
      </c>
    </row>
    <row r="97" spans="1:65" s="12" customFormat="1" ht="25.9" customHeight="1">
      <c r="B97" s="165"/>
      <c r="C97" s="166"/>
      <c r="D97" s="167" t="s">
        <v>71</v>
      </c>
      <c r="E97" s="168" t="s">
        <v>378</v>
      </c>
      <c r="F97" s="168" t="s">
        <v>2831</v>
      </c>
      <c r="G97" s="166"/>
      <c r="H97" s="166"/>
      <c r="I97" s="169"/>
      <c r="J97" s="170">
        <f>BK97</f>
        <v>0</v>
      </c>
      <c r="K97" s="166"/>
      <c r="L97" s="171"/>
      <c r="M97" s="172"/>
      <c r="N97" s="173"/>
      <c r="O97" s="173"/>
      <c r="P97" s="174">
        <f>P98+P124+P140</f>
        <v>0</v>
      </c>
      <c r="Q97" s="173"/>
      <c r="R97" s="174">
        <f>R98+R124+R140</f>
        <v>0</v>
      </c>
      <c r="S97" s="173"/>
      <c r="T97" s="175">
        <f>T98+T124+T140</f>
        <v>0</v>
      </c>
      <c r="AR97" s="176" t="s">
        <v>79</v>
      </c>
      <c r="AT97" s="177" t="s">
        <v>71</v>
      </c>
      <c r="AU97" s="177" t="s">
        <v>72</v>
      </c>
      <c r="AY97" s="176" t="s">
        <v>380</v>
      </c>
      <c r="BK97" s="178">
        <f>BK98+BK124+BK140</f>
        <v>0</v>
      </c>
    </row>
    <row r="98" spans="1:65" s="12" customFormat="1" ht="22.9" customHeight="1">
      <c r="B98" s="165"/>
      <c r="C98" s="166"/>
      <c r="D98" s="167" t="s">
        <v>71</v>
      </c>
      <c r="E98" s="179" t="s">
        <v>79</v>
      </c>
      <c r="F98" s="179" t="s">
        <v>2832</v>
      </c>
      <c r="G98" s="166"/>
      <c r="H98" s="166"/>
      <c r="I98" s="169"/>
      <c r="J98" s="180">
        <f>BK98</f>
        <v>0</v>
      </c>
      <c r="K98" s="166"/>
      <c r="L98" s="171"/>
      <c r="M98" s="172"/>
      <c r="N98" s="173"/>
      <c r="O98" s="173"/>
      <c r="P98" s="174">
        <f>SUM(P99:P123)</f>
        <v>0</v>
      </c>
      <c r="Q98" s="173"/>
      <c r="R98" s="174">
        <f>SUM(R99:R123)</f>
        <v>0</v>
      </c>
      <c r="S98" s="173"/>
      <c r="T98" s="175">
        <f>SUM(T99:T123)</f>
        <v>0</v>
      </c>
      <c r="AR98" s="176" t="s">
        <v>79</v>
      </c>
      <c r="AT98" s="177" t="s">
        <v>71</v>
      </c>
      <c r="AU98" s="177" t="s">
        <v>79</v>
      </c>
      <c r="AY98" s="176" t="s">
        <v>380</v>
      </c>
      <c r="BK98" s="178">
        <f>SUM(BK99:BK123)</f>
        <v>0</v>
      </c>
    </row>
    <row r="99" spans="1:65" s="2" customFormat="1" ht="24.2" customHeight="1">
      <c r="A99" s="36"/>
      <c r="B99" s="37"/>
      <c r="C99" s="181" t="s">
        <v>79</v>
      </c>
      <c r="D99" s="181" t="s">
        <v>382</v>
      </c>
      <c r="E99" s="182" t="s">
        <v>2833</v>
      </c>
      <c r="F99" s="183" t="s">
        <v>2834</v>
      </c>
      <c r="G99" s="184" t="s">
        <v>385</v>
      </c>
      <c r="H99" s="185">
        <v>160.93600000000001</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386</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386</v>
      </c>
      <c r="BM99" s="192" t="s">
        <v>82</v>
      </c>
    </row>
    <row r="100" spans="1:65" s="13" customFormat="1" ht="11.25">
      <c r="B100" s="194"/>
      <c r="C100" s="195"/>
      <c r="D100" s="196" t="s">
        <v>388</v>
      </c>
      <c r="E100" s="197" t="s">
        <v>19</v>
      </c>
      <c r="F100" s="198" t="s">
        <v>2835</v>
      </c>
      <c r="G100" s="195"/>
      <c r="H100" s="197" t="s">
        <v>19</v>
      </c>
      <c r="I100" s="199"/>
      <c r="J100" s="195"/>
      <c r="K100" s="195"/>
      <c r="L100" s="200"/>
      <c r="M100" s="201"/>
      <c r="N100" s="202"/>
      <c r="O100" s="202"/>
      <c r="P100" s="202"/>
      <c r="Q100" s="202"/>
      <c r="R100" s="202"/>
      <c r="S100" s="202"/>
      <c r="T100" s="203"/>
      <c r="AT100" s="204" t="s">
        <v>388</v>
      </c>
      <c r="AU100" s="204" t="s">
        <v>82</v>
      </c>
      <c r="AV100" s="13" t="s">
        <v>79</v>
      </c>
      <c r="AW100" s="13" t="s">
        <v>33</v>
      </c>
      <c r="AX100" s="13" t="s">
        <v>72</v>
      </c>
      <c r="AY100" s="204" t="s">
        <v>380</v>
      </c>
    </row>
    <row r="101" spans="1:65" s="13" customFormat="1" ht="11.25">
      <c r="B101" s="194"/>
      <c r="C101" s="195"/>
      <c r="D101" s="196" t="s">
        <v>388</v>
      </c>
      <c r="E101" s="197" t="s">
        <v>19</v>
      </c>
      <c r="F101" s="198" t="s">
        <v>2836</v>
      </c>
      <c r="G101" s="195"/>
      <c r="H101" s="197" t="s">
        <v>19</v>
      </c>
      <c r="I101" s="199"/>
      <c r="J101" s="195"/>
      <c r="K101" s="195"/>
      <c r="L101" s="200"/>
      <c r="M101" s="201"/>
      <c r="N101" s="202"/>
      <c r="O101" s="202"/>
      <c r="P101" s="202"/>
      <c r="Q101" s="202"/>
      <c r="R101" s="202"/>
      <c r="S101" s="202"/>
      <c r="T101" s="203"/>
      <c r="AT101" s="204" t="s">
        <v>388</v>
      </c>
      <c r="AU101" s="204" t="s">
        <v>82</v>
      </c>
      <c r="AV101" s="13" t="s">
        <v>79</v>
      </c>
      <c r="AW101" s="13" t="s">
        <v>33</v>
      </c>
      <c r="AX101" s="13" t="s">
        <v>72</v>
      </c>
      <c r="AY101" s="204" t="s">
        <v>380</v>
      </c>
    </row>
    <row r="102" spans="1:65" s="14" customFormat="1" ht="11.25">
      <c r="B102" s="205"/>
      <c r="C102" s="206"/>
      <c r="D102" s="196" t="s">
        <v>388</v>
      </c>
      <c r="E102" s="207" t="s">
        <v>19</v>
      </c>
      <c r="F102" s="208" t="s">
        <v>2837</v>
      </c>
      <c r="G102" s="206"/>
      <c r="H102" s="209">
        <v>32.112000000000002</v>
      </c>
      <c r="I102" s="210"/>
      <c r="J102" s="206"/>
      <c r="K102" s="206"/>
      <c r="L102" s="211"/>
      <c r="M102" s="212"/>
      <c r="N102" s="213"/>
      <c r="O102" s="213"/>
      <c r="P102" s="213"/>
      <c r="Q102" s="213"/>
      <c r="R102" s="213"/>
      <c r="S102" s="213"/>
      <c r="T102" s="214"/>
      <c r="AT102" s="215" t="s">
        <v>388</v>
      </c>
      <c r="AU102" s="215" t="s">
        <v>82</v>
      </c>
      <c r="AV102" s="14" t="s">
        <v>82</v>
      </c>
      <c r="AW102" s="14" t="s">
        <v>33</v>
      </c>
      <c r="AX102" s="14" t="s">
        <v>72</v>
      </c>
      <c r="AY102" s="215" t="s">
        <v>380</v>
      </c>
    </row>
    <row r="103" spans="1:65" s="13" customFormat="1" ht="11.25">
      <c r="B103" s="194"/>
      <c r="C103" s="195"/>
      <c r="D103" s="196" t="s">
        <v>388</v>
      </c>
      <c r="E103" s="197" t="s">
        <v>19</v>
      </c>
      <c r="F103" s="198" t="s">
        <v>2838</v>
      </c>
      <c r="G103" s="195"/>
      <c r="H103" s="197" t="s">
        <v>19</v>
      </c>
      <c r="I103" s="199"/>
      <c r="J103" s="195"/>
      <c r="K103" s="195"/>
      <c r="L103" s="200"/>
      <c r="M103" s="201"/>
      <c r="N103" s="202"/>
      <c r="O103" s="202"/>
      <c r="P103" s="202"/>
      <c r="Q103" s="202"/>
      <c r="R103" s="202"/>
      <c r="S103" s="202"/>
      <c r="T103" s="203"/>
      <c r="AT103" s="204" t="s">
        <v>388</v>
      </c>
      <c r="AU103" s="204" t="s">
        <v>82</v>
      </c>
      <c r="AV103" s="13" t="s">
        <v>79</v>
      </c>
      <c r="AW103" s="13" t="s">
        <v>33</v>
      </c>
      <c r="AX103" s="13" t="s">
        <v>72</v>
      </c>
      <c r="AY103" s="204" t="s">
        <v>380</v>
      </c>
    </row>
    <row r="104" spans="1:65" s="14" customFormat="1" ht="11.25">
      <c r="B104" s="205"/>
      <c r="C104" s="206"/>
      <c r="D104" s="196" t="s">
        <v>388</v>
      </c>
      <c r="E104" s="207" t="s">
        <v>19</v>
      </c>
      <c r="F104" s="208" t="s">
        <v>2839</v>
      </c>
      <c r="G104" s="206"/>
      <c r="H104" s="209">
        <v>26.28</v>
      </c>
      <c r="I104" s="210"/>
      <c r="J104" s="206"/>
      <c r="K104" s="206"/>
      <c r="L104" s="211"/>
      <c r="M104" s="212"/>
      <c r="N104" s="213"/>
      <c r="O104" s="213"/>
      <c r="P104" s="213"/>
      <c r="Q104" s="213"/>
      <c r="R104" s="213"/>
      <c r="S104" s="213"/>
      <c r="T104" s="214"/>
      <c r="AT104" s="215" t="s">
        <v>388</v>
      </c>
      <c r="AU104" s="215" t="s">
        <v>82</v>
      </c>
      <c r="AV104" s="14" t="s">
        <v>82</v>
      </c>
      <c r="AW104" s="14" t="s">
        <v>33</v>
      </c>
      <c r="AX104" s="14" t="s">
        <v>72</v>
      </c>
      <c r="AY104" s="215" t="s">
        <v>380</v>
      </c>
    </row>
    <row r="105" spans="1:65" s="13" customFormat="1" ht="11.25">
      <c r="B105" s="194"/>
      <c r="C105" s="195"/>
      <c r="D105" s="196" t="s">
        <v>388</v>
      </c>
      <c r="E105" s="197" t="s">
        <v>19</v>
      </c>
      <c r="F105" s="198" t="s">
        <v>2840</v>
      </c>
      <c r="G105" s="195"/>
      <c r="H105" s="197" t="s">
        <v>19</v>
      </c>
      <c r="I105" s="199"/>
      <c r="J105" s="195"/>
      <c r="K105" s="195"/>
      <c r="L105" s="200"/>
      <c r="M105" s="201"/>
      <c r="N105" s="202"/>
      <c r="O105" s="202"/>
      <c r="P105" s="202"/>
      <c r="Q105" s="202"/>
      <c r="R105" s="202"/>
      <c r="S105" s="202"/>
      <c r="T105" s="203"/>
      <c r="AT105" s="204" t="s">
        <v>388</v>
      </c>
      <c r="AU105" s="204" t="s">
        <v>82</v>
      </c>
      <c r="AV105" s="13" t="s">
        <v>79</v>
      </c>
      <c r="AW105" s="13" t="s">
        <v>33</v>
      </c>
      <c r="AX105" s="13" t="s">
        <v>72</v>
      </c>
      <c r="AY105" s="204" t="s">
        <v>380</v>
      </c>
    </row>
    <row r="106" spans="1:65" s="14" customFormat="1" ht="11.25">
      <c r="B106" s="205"/>
      <c r="C106" s="206"/>
      <c r="D106" s="196" t="s">
        <v>388</v>
      </c>
      <c r="E106" s="207" t="s">
        <v>19</v>
      </c>
      <c r="F106" s="208" t="s">
        <v>2841</v>
      </c>
      <c r="G106" s="206"/>
      <c r="H106" s="209">
        <v>102.544</v>
      </c>
      <c r="I106" s="210"/>
      <c r="J106" s="206"/>
      <c r="K106" s="206"/>
      <c r="L106" s="211"/>
      <c r="M106" s="212"/>
      <c r="N106" s="213"/>
      <c r="O106" s="213"/>
      <c r="P106" s="213"/>
      <c r="Q106" s="213"/>
      <c r="R106" s="213"/>
      <c r="S106" s="213"/>
      <c r="T106" s="214"/>
      <c r="AT106" s="215" t="s">
        <v>388</v>
      </c>
      <c r="AU106" s="215" t="s">
        <v>82</v>
      </c>
      <c r="AV106" s="14" t="s">
        <v>82</v>
      </c>
      <c r="AW106" s="14" t="s">
        <v>33</v>
      </c>
      <c r="AX106" s="14" t="s">
        <v>72</v>
      </c>
      <c r="AY106" s="215" t="s">
        <v>380</v>
      </c>
    </row>
    <row r="107" spans="1:65" s="15" customFormat="1" ht="11.25">
      <c r="B107" s="216"/>
      <c r="C107" s="217"/>
      <c r="D107" s="196" t="s">
        <v>388</v>
      </c>
      <c r="E107" s="218" t="s">
        <v>19</v>
      </c>
      <c r="F107" s="219" t="s">
        <v>2544</v>
      </c>
      <c r="G107" s="217"/>
      <c r="H107" s="220">
        <v>160.93600000000001</v>
      </c>
      <c r="I107" s="221"/>
      <c r="J107" s="217"/>
      <c r="K107" s="217"/>
      <c r="L107" s="222"/>
      <c r="M107" s="223"/>
      <c r="N107" s="224"/>
      <c r="O107" s="224"/>
      <c r="P107" s="224"/>
      <c r="Q107" s="224"/>
      <c r="R107" s="224"/>
      <c r="S107" s="224"/>
      <c r="T107" s="225"/>
      <c r="AT107" s="226" t="s">
        <v>388</v>
      </c>
      <c r="AU107" s="226" t="s">
        <v>82</v>
      </c>
      <c r="AV107" s="15" t="s">
        <v>386</v>
      </c>
      <c r="AW107" s="15" t="s">
        <v>33</v>
      </c>
      <c r="AX107" s="15" t="s">
        <v>79</v>
      </c>
      <c r="AY107" s="226" t="s">
        <v>380</v>
      </c>
    </row>
    <row r="108" spans="1:65" s="2" customFormat="1" ht="33" customHeight="1">
      <c r="A108" s="36"/>
      <c r="B108" s="37"/>
      <c r="C108" s="181" t="s">
        <v>82</v>
      </c>
      <c r="D108" s="181" t="s">
        <v>382</v>
      </c>
      <c r="E108" s="182" t="s">
        <v>2842</v>
      </c>
      <c r="F108" s="183" t="s">
        <v>2843</v>
      </c>
      <c r="G108" s="184" t="s">
        <v>385</v>
      </c>
      <c r="H108" s="185">
        <v>32.119999999999997</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386</v>
      </c>
    </row>
    <row r="109" spans="1:65" s="2" customFormat="1" ht="24.2" customHeight="1">
      <c r="A109" s="36"/>
      <c r="B109" s="37"/>
      <c r="C109" s="181" t="s">
        <v>99</v>
      </c>
      <c r="D109" s="181" t="s">
        <v>382</v>
      </c>
      <c r="E109" s="182" t="s">
        <v>440</v>
      </c>
      <c r="F109" s="183" t="s">
        <v>441</v>
      </c>
      <c r="G109" s="184" t="s">
        <v>385</v>
      </c>
      <c r="H109" s="185">
        <v>60.658999999999999</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386</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386</v>
      </c>
      <c r="BM109" s="192" t="s">
        <v>411</v>
      </c>
    </row>
    <row r="110" spans="1:65" s="13" customFormat="1" ht="11.25">
      <c r="B110" s="194"/>
      <c r="C110" s="195"/>
      <c r="D110" s="196" t="s">
        <v>388</v>
      </c>
      <c r="E110" s="197" t="s">
        <v>19</v>
      </c>
      <c r="F110" s="198" t="s">
        <v>2844</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4" customFormat="1" ht="11.25">
      <c r="B111" s="205"/>
      <c r="C111" s="206"/>
      <c r="D111" s="196" t="s">
        <v>388</v>
      </c>
      <c r="E111" s="207" t="s">
        <v>19</v>
      </c>
      <c r="F111" s="208" t="s">
        <v>2845</v>
      </c>
      <c r="G111" s="206"/>
      <c r="H111" s="209">
        <v>25.952000000000002</v>
      </c>
      <c r="I111" s="210"/>
      <c r="J111" s="206"/>
      <c r="K111" s="206"/>
      <c r="L111" s="211"/>
      <c r="M111" s="212"/>
      <c r="N111" s="213"/>
      <c r="O111" s="213"/>
      <c r="P111" s="213"/>
      <c r="Q111" s="213"/>
      <c r="R111" s="213"/>
      <c r="S111" s="213"/>
      <c r="T111" s="214"/>
      <c r="AT111" s="215" t="s">
        <v>388</v>
      </c>
      <c r="AU111" s="215" t="s">
        <v>82</v>
      </c>
      <c r="AV111" s="14" t="s">
        <v>82</v>
      </c>
      <c r="AW111" s="14" t="s">
        <v>33</v>
      </c>
      <c r="AX111" s="14" t="s">
        <v>72</v>
      </c>
      <c r="AY111" s="215" t="s">
        <v>380</v>
      </c>
    </row>
    <row r="112" spans="1:65" s="13" customFormat="1" ht="11.25">
      <c r="B112" s="194"/>
      <c r="C112" s="195"/>
      <c r="D112" s="196" t="s">
        <v>388</v>
      </c>
      <c r="E112" s="197" t="s">
        <v>19</v>
      </c>
      <c r="F112" s="198" t="s">
        <v>2846</v>
      </c>
      <c r="G112" s="195"/>
      <c r="H112" s="197" t="s">
        <v>19</v>
      </c>
      <c r="I112" s="199"/>
      <c r="J112" s="195"/>
      <c r="K112" s="195"/>
      <c r="L112" s="200"/>
      <c r="M112" s="201"/>
      <c r="N112" s="202"/>
      <c r="O112" s="202"/>
      <c r="P112" s="202"/>
      <c r="Q112" s="202"/>
      <c r="R112" s="202"/>
      <c r="S112" s="202"/>
      <c r="T112" s="203"/>
      <c r="AT112" s="204" t="s">
        <v>388</v>
      </c>
      <c r="AU112" s="204" t="s">
        <v>82</v>
      </c>
      <c r="AV112" s="13" t="s">
        <v>79</v>
      </c>
      <c r="AW112" s="13" t="s">
        <v>33</v>
      </c>
      <c r="AX112" s="13" t="s">
        <v>72</v>
      </c>
      <c r="AY112" s="204" t="s">
        <v>380</v>
      </c>
    </row>
    <row r="113" spans="1:65" s="14" customFormat="1" ht="11.25">
      <c r="B113" s="205"/>
      <c r="C113" s="206"/>
      <c r="D113" s="196" t="s">
        <v>388</v>
      </c>
      <c r="E113" s="207" t="s">
        <v>19</v>
      </c>
      <c r="F113" s="208" t="s">
        <v>2847</v>
      </c>
      <c r="G113" s="206"/>
      <c r="H113" s="209">
        <v>34.707000000000001</v>
      </c>
      <c r="I113" s="210"/>
      <c r="J113" s="206"/>
      <c r="K113" s="206"/>
      <c r="L113" s="211"/>
      <c r="M113" s="212"/>
      <c r="N113" s="213"/>
      <c r="O113" s="213"/>
      <c r="P113" s="213"/>
      <c r="Q113" s="213"/>
      <c r="R113" s="213"/>
      <c r="S113" s="213"/>
      <c r="T113" s="214"/>
      <c r="AT113" s="215" t="s">
        <v>388</v>
      </c>
      <c r="AU113" s="215" t="s">
        <v>82</v>
      </c>
      <c r="AV113" s="14" t="s">
        <v>82</v>
      </c>
      <c r="AW113" s="14" t="s">
        <v>33</v>
      </c>
      <c r="AX113" s="14" t="s">
        <v>72</v>
      </c>
      <c r="AY113" s="215" t="s">
        <v>380</v>
      </c>
    </row>
    <row r="114" spans="1:65" s="15" customFormat="1" ht="11.25">
      <c r="B114" s="216"/>
      <c r="C114" s="217"/>
      <c r="D114" s="196" t="s">
        <v>388</v>
      </c>
      <c r="E114" s="218" t="s">
        <v>19</v>
      </c>
      <c r="F114" s="219" t="s">
        <v>2544</v>
      </c>
      <c r="G114" s="217"/>
      <c r="H114" s="220">
        <v>60.659000000000006</v>
      </c>
      <c r="I114" s="221"/>
      <c r="J114" s="217"/>
      <c r="K114" s="217"/>
      <c r="L114" s="222"/>
      <c r="M114" s="223"/>
      <c r="N114" s="224"/>
      <c r="O114" s="224"/>
      <c r="P114" s="224"/>
      <c r="Q114" s="224"/>
      <c r="R114" s="224"/>
      <c r="S114" s="224"/>
      <c r="T114" s="225"/>
      <c r="AT114" s="226" t="s">
        <v>388</v>
      </c>
      <c r="AU114" s="226" t="s">
        <v>82</v>
      </c>
      <c r="AV114" s="15" t="s">
        <v>386</v>
      </c>
      <c r="AW114" s="15" t="s">
        <v>33</v>
      </c>
      <c r="AX114" s="15" t="s">
        <v>79</v>
      </c>
      <c r="AY114" s="226" t="s">
        <v>380</v>
      </c>
    </row>
    <row r="115" spans="1:65" s="2" customFormat="1" ht="33" customHeight="1">
      <c r="A115" s="36"/>
      <c r="B115" s="37"/>
      <c r="C115" s="181" t="s">
        <v>386</v>
      </c>
      <c r="D115" s="181" t="s">
        <v>382</v>
      </c>
      <c r="E115" s="182" t="s">
        <v>2848</v>
      </c>
      <c r="F115" s="183" t="s">
        <v>2849</v>
      </c>
      <c r="G115" s="184" t="s">
        <v>385</v>
      </c>
      <c r="H115" s="185">
        <v>68.724999999999994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386</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386</v>
      </c>
      <c r="BM115" s="192" t="s">
        <v>424</v>
      </c>
    </row>
    <row r="116" spans="1:65" s="13" customFormat="1" ht="11.25">
      <c r="B116" s="194"/>
      <c r="C116" s="195"/>
      <c r="D116" s="196" t="s">
        <v>388</v>
      </c>
      <c r="E116" s="197" t="s">
        <v>19</v>
      </c>
      <c r="F116" s="198" t="s">
        <v>2844</v>
      </c>
      <c r="G116" s="195"/>
      <c r="H116" s="197" t="s">
        <v>19</v>
      </c>
      <c r="I116" s="199"/>
      <c r="J116" s="195"/>
      <c r="K116" s="195"/>
      <c r="L116" s="200"/>
      <c r="M116" s="201"/>
      <c r="N116" s="202"/>
      <c r="O116" s="202"/>
      <c r="P116" s="202"/>
      <c r="Q116" s="202"/>
      <c r="R116" s="202"/>
      <c r="S116" s="202"/>
      <c r="T116" s="203"/>
      <c r="AT116" s="204" t="s">
        <v>388</v>
      </c>
      <c r="AU116" s="204" t="s">
        <v>82</v>
      </c>
      <c r="AV116" s="13" t="s">
        <v>79</v>
      </c>
      <c r="AW116" s="13" t="s">
        <v>33</v>
      </c>
      <c r="AX116" s="13" t="s">
        <v>72</v>
      </c>
      <c r="AY116" s="204" t="s">
        <v>380</v>
      </c>
    </row>
    <row r="117" spans="1:65" s="14" customFormat="1" ht="11.25">
      <c r="B117" s="205"/>
      <c r="C117" s="206"/>
      <c r="D117" s="196" t="s">
        <v>388</v>
      </c>
      <c r="E117" s="207" t="s">
        <v>19</v>
      </c>
      <c r="F117" s="208" t="s">
        <v>2850</v>
      </c>
      <c r="G117" s="206"/>
      <c r="H117" s="209">
        <v>32.44</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2846</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4" customFormat="1" ht="11.25">
      <c r="B119" s="205"/>
      <c r="C119" s="206"/>
      <c r="D119" s="196" t="s">
        <v>388</v>
      </c>
      <c r="E119" s="207" t="s">
        <v>19</v>
      </c>
      <c r="F119" s="208" t="s">
        <v>2851</v>
      </c>
      <c r="G119" s="206"/>
      <c r="H119" s="209">
        <v>36.284999999999997</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5" customFormat="1" ht="11.25">
      <c r="B120" s="216"/>
      <c r="C120" s="217"/>
      <c r="D120" s="196" t="s">
        <v>388</v>
      </c>
      <c r="E120" s="218" t="s">
        <v>19</v>
      </c>
      <c r="F120" s="219" t="s">
        <v>2544</v>
      </c>
      <c r="G120" s="217"/>
      <c r="H120" s="220">
        <v>68.724999999999994</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227" t="s">
        <v>405</v>
      </c>
      <c r="D121" s="227" t="s">
        <v>465</v>
      </c>
      <c r="E121" s="228" t="s">
        <v>2852</v>
      </c>
      <c r="F121" s="229" t="s">
        <v>2853</v>
      </c>
      <c r="G121" s="230" t="s">
        <v>437</v>
      </c>
      <c r="H121" s="231">
        <v>137.44999999999999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424</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386</v>
      </c>
      <c r="BM121" s="192" t="s">
        <v>122</v>
      </c>
    </row>
    <row r="122" spans="1:65" s="14" customFormat="1" ht="11.25">
      <c r="B122" s="205"/>
      <c r="C122" s="206"/>
      <c r="D122" s="196" t="s">
        <v>388</v>
      </c>
      <c r="E122" s="207" t="s">
        <v>19</v>
      </c>
      <c r="F122" s="208" t="s">
        <v>2854</v>
      </c>
      <c r="G122" s="206"/>
      <c r="H122" s="209">
        <v>137.44999999999999</v>
      </c>
      <c r="I122" s="210"/>
      <c r="J122" s="206"/>
      <c r="K122" s="206"/>
      <c r="L122" s="211"/>
      <c r="M122" s="212"/>
      <c r="N122" s="213"/>
      <c r="O122" s="213"/>
      <c r="P122" s="213"/>
      <c r="Q122" s="213"/>
      <c r="R122" s="213"/>
      <c r="S122" s="213"/>
      <c r="T122" s="214"/>
      <c r="AT122" s="215" t="s">
        <v>388</v>
      </c>
      <c r="AU122" s="215" t="s">
        <v>82</v>
      </c>
      <c r="AV122" s="14" t="s">
        <v>82</v>
      </c>
      <c r="AW122" s="14" t="s">
        <v>33</v>
      </c>
      <c r="AX122" s="14" t="s">
        <v>72</v>
      </c>
      <c r="AY122" s="215" t="s">
        <v>380</v>
      </c>
    </row>
    <row r="123" spans="1:65" s="15" customFormat="1" ht="11.25">
      <c r="B123" s="216"/>
      <c r="C123" s="217"/>
      <c r="D123" s="196" t="s">
        <v>388</v>
      </c>
      <c r="E123" s="218" t="s">
        <v>19</v>
      </c>
      <c r="F123" s="219" t="s">
        <v>419</v>
      </c>
      <c r="G123" s="217"/>
      <c r="H123" s="220">
        <v>137.44999999999999</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12" customFormat="1" ht="22.9" customHeight="1">
      <c r="B124" s="165"/>
      <c r="C124" s="166"/>
      <c r="D124" s="167" t="s">
        <v>71</v>
      </c>
      <c r="E124" s="179" t="s">
        <v>424</v>
      </c>
      <c r="F124" s="179" t="s">
        <v>2855</v>
      </c>
      <c r="G124" s="166"/>
      <c r="H124" s="166"/>
      <c r="I124" s="169"/>
      <c r="J124" s="180">
        <f>BK124</f>
        <v>0</v>
      </c>
      <c r="K124" s="166"/>
      <c r="L124" s="171"/>
      <c r="M124" s="172"/>
      <c r="N124" s="173"/>
      <c r="O124" s="173"/>
      <c r="P124" s="174">
        <f>SUM(P125:P139)</f>
        <v>0</v>
      </c>
      <c r="Q124" s="173"/>
      <c r="R124" s="174">
        <f>SUM(R125:R139)</f>
        <v>0</v>
      </c>
      <c r="S124" s="173"/>
      <c r="T124" s="175">
        <f>SUM(T125:T139)</f>
        <v>0</v>
      </c>
      <c r="AR124" s="176" t="s">
        <v>79</v>
      </c>
      <c r="AT124" s="177" t="s">
        <v>71</v>
      </c>
      <c r="AU124" s="177" t="s">
        <v>79</v>
      </c>
      <c r="AY124" s="176" t="s">
        <v>380</v>
      </c>
      <c r="BK124" s="178">
        <f>SUM(BK125:BK139)</f>
        <v>0</v>
      </c>
    </row>
    <row r="125" spans="1:65" s="2" customFormat="1" ht="24.2" customHeight="1">
      <c r="A125" s="36"/>
      <c r="B125" s="37"/>
      <c r="C125" s="181" t="s">
        <v>411</v>
      </c>
      <c r="D125" s="181" t="s">
        <v>382</v>
      </c>
      <c r="E125" s="182" t="s">
        <v>2856</v>
      </c>
      <c r="F125" s="183" t="s">
        <v>2857</v>
      </c>
      <c r="G125" s="184" t="s">
        <v>452</v>
      </c>
      <c r="H125" s="185">
        <v>4.7149999999999999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386</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386</v>
      </c>
      <c r="BM125" s="192" t="s">
        <v>128</v>
      </c>
    </row>
    <row r="126" spans="1:65" s="13" customFormat="1" ht="11.25">
      <c r="B126" s="194"/>
      <c r="C126" s="195"/>
      <c r="D126" s="196" t="s">
        <v>388</v>
      </c>
      <c r="E126" s="197" t="s">
        <v>19</v>
      </c>
      <c r="F126" s="198" t="s">
        <v>2858</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2859</v>
      </c>
      <c r="G127" s="206"/>
      <c r="H127" s="209">
        <v>4.7149999999999999</v>
      </c>
      <c r="I127" s="210"/>
      <c r="J127" s="206"/>
      <c r="K127" s="206"/>
      <c r="L127" s="211"/>
      <c r="M127" s="212"/>
      <c r="N127" s="213"/>
      <c r="O127" s="213"/>
      <c r="P127" s="213"/>
      <c r="Q127" s="213"/>
      <c r="R127" s="213"/>
      <c r="S127" s="213"/>
      <c r="T127" s="214"/>
      <c r="AT127" s="215" t="s">
        <v>388</v>
      </c>
      <c r="AU127" s="215" t="s">
        <v>82</v>
      </c>
      <c r="AV127" s="14" t="s">
        <v>82</v>
      </c>
      <c r="AW127" s="14" t="s">
        <v>33</v>
      </c>
      <c r="AX127" s="14" t="s">
        <v>72</v>
      </c>
      <c r="AY127" s="215" t="s">
        <v>380</v>
      </c>
    </row>
    <row r="128" spans="1:65" s="15" customFormat="1" ht="11.25">
      <c r="B128" s="216"/>
      <c r="C128" s="217"/>
      <c r="D128" s="196" t="s">
        <v>388</v>
      </c>
      <c r="E128" s="218" t="s">
        <v>19</v>
      </c>
      <c r="F128" s="219" t="s">
        <v>419</v>
      </c>
      <c r="G128" s="217"/>
      <c r="H128" s="220">
        <v>4.7149999999999999</v>
      </c>
      <c r="I128" s="221"/>
      <c r="J128" s="217"/>
      <c r="K128" s="217"/>
      <c r="L128" s="222"/>
      <c r="M128" s="223"/>
      <c r="N128" s="224"/>
      <c r="O128" s="224"/>
      <c r="P128" s="224"/>
      <c r="Q128" s="224"/>
      <c r="R128" s="224"/>
      <c r="S128" s="224"/>
      <c r="T128" s="225"/>
      <c r="AT128" s="226" t="s">
        <v>388</v>
      </c>
      <c r="AU128" s="226" t="s">
        <v>82</v>
      </c>
      <c r="AV128" s="15" t="s">
        <v>386</v>
      </c>
      <c r="AW128" s="15" t="s">
        <v>33</v>
      </c>
      <c r="AX128" s="15" t="s">
        <v>79</v>
      </c>
      <c r="AY128" s="226" t="s">
        <v>380</v>
      </c>
    </row>
    <row r="129" spans="1:65" s="2" customFormat="1" ht="24.2" customHeight="1">
      <c r="A129" s="36"/>
      <c r="B129" s="37"/>
      <c r="C129" s="181" t="s">
        <v>420</v>
      </c>
      <c r="D129" s="181" t="s">
        <v>382</v>
      </c>
      <c r="E129" s="182" t="s">
        <v>2860</v>
      </c>
      <c r="F129" s="183" t="s">
        <v>2861</v>
      </c>
      <c r="G129" s="184" t="s">
        <v>452</v>
      </c>
      <c r="H129" s="185">
        <v>9.43</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386</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386</v>
      </c>
      <c r="BM129" s="192" t="s">
        <v>134</v>
      </c>
    </row>
    <row r="130" spans="1:65" s="13" customFormat="1" ht="11.25">
      <c r="B130" s="194"/>
      <c r="C130" s="195"/>
      <c r="D130" s="196" t="s">
        <v>388</v>
      </c>
      <c r="E130" s="197" t="s">
        <v>19</v>
      </c>
      <c r="F130" s="198" t="s">
        <v>2862</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2863</v>
      </c>
      <c r="G131" s="206"/>
      <c r="H131" s="209">
        <v>9.43</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9.43</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424</v>
      </c>
      <c r="D133" s="181" t="s">
        <v>382</v>
      </c>
      <c r="E133" s="182" t="s">
        <v>2864</v>
      </c>
      <c r="F133" s="183" t="s">
        <v>2865</v>
      </c>
      <c r="G133" s="184" t="s">
        <v>641</v>
      </c>
      <c r="H133" s="185">
        <v>1</v>
      </c>
      <c r="I133" s="186"/>
      <c r="J133" s="187">
        <f t="shared" ref="J133:J139" si="0">ROUND(I133*H133,2)</f>
        <v>0</v>
      </c>
      <c r="K133" s="183" t="s">
        <v>19</v>
      </c>
      <c r="L133" s="41"/>
      <c r="M133" s="188" t="s">
        <v>19</v>
      </c>
      <c r="N133" s="189" t="s">
        <v>43</v>
      </c>
      <c r="O133" s="66"/>
      <c r="P133" s="190">
        <f t="shared" ref="P133:P139" si="1">O133*H133</f>
        <v>0</v>
      </c>
      <c r="Q133" s="190">
        <v>0</v>
      </c>
      <c r="R133" s="190">
        <f t="shared" ref="R133:R139" si="2">Q133*H133</f>
        <v>0</v>
      </c>
      <c r="S133" s="190">
        <v>0</v>
      </c>
      <c r="T133" s="191">
        <f t="shared" ref="T133:T139" si="3">S133*H133</f>
        <v>0</v>
      </c>
      <c r="U133" s="36"/>
      <c r="V133" s="36"/>
      <c r="W133" s="36"/>
      <c r="X133" s="36"/>
      <c r="Y133" s="36"/>
      <c r="Z133" s="36"/>
      <c r="AA133" s="36"/>
      <c r="AB133" s="36"/>
      <c r="AC133" s="36"/>
      <c r="AD133" s="36"/>
      <c r="AE133" s="36"/>
      <c r="AR133" s="192" t="s">
        <v>386</v>
      </c>
      <c r="AT133" s="192" t="s">
        <v>382</v>
      </c>
      <c r="AU133" s="192" t="s">
        <v>82</v>
      </c>
      <c r="AY133" s="19" t="s">
        <v>380</v>
      </c>
      <c r="BE133" s="193">
        <f t="shared" ref="BE133:BE139" si="4">IF(N133="základní",J133,0)</f>
        <v>0</v>
      </c>
      <c r="BF133" s="193">
        <f t="shared" ref="BF133:BF139" si="5">IF(N133="snížená",J133,0)</f>
        <v>0</v>
      </c>
      <c r="BG133" s="193">
        <f t="shared" ref="BG133:BG139" si="6">IF(N133="zákl. přenesená",J133,0)</f>
        <v>0</v>
      </c>
      <c r="BH133" s="193">
        <f t="shared" ref="BH133:BH139" si="7">IF(N133="sníž. přenesená",J133,0)</f>
        <v>0</v>
      </c>
      <c r="BI133" s="193">
        <f t="shared" ref="BI133:BI139" si="8">IF(N133="nulová",J133,0)</f>
        <v>0</v>
      </c>
      <c r="BJ133" s="19" t="s">
        <v>79</v>
      </c>
      <c r="BK133" s="193">
        <f t="shared" ref="BK133:BK139" si="9">ROUND(I133*H133,2)</f>
        <v>0</v>
      </c>
      <c r="BL133" s="19" t="s">
        <v>386</v>
      </c>
      <c r="BM133" s="192" t="s">
        <v>281</v>
      </c>
    </row>
    <row r="134" spans="1:65" s="2" customFormat="1" ht="24.2" customHeight="1">
      <c r="A134" s="36"/>
      <c r="B134" s="37"/>
      <c r="C134" s="181" t="s">
        <v>430</v>
      </c>
      <c r="D134" s="181" t="s">
        <v>382</v>
      </c>
      <c r="E134" s="182" t="s">
        <v>2866</v>
      </c>
      <c r="F134" s="183" t="s">
        <v>2867</v>
      </c>
      <c r="G134" s="184" t="s">
        <v>641</v>
      </c>
      <c r="H134" s="185">
        <v>2</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386</v>
      </c>
      <c r="AT134" s="192" t="s">
        <v>382</v>
      </c>
      <c r="AU134" s="192" t="s">
        <v>82</v>
      </c>
      <c r="AY134" s="19" t="s">
        <v>380</v>
      </c>
      <c r="BE134" s="193">
        <f t="shared" si="4"/>
        <v>0</v>
      </c>
      <c r="BF134" s="193">
        <f t="shared" si="5"/>
        <v>0</v>
      </c>
      <c r="BG134" s="193">
        <f t="shared" si="6"/>
        <v>0</v>
      </c>
      <c r="BH134" s="193">
        <f t="shared" si="7"/>
        <v>0</v>
      </c>
      <c r="BI134" s="193">
        <f t="shared" si="8"/>
        <v>0</v>
      </c>
      <c r="BJ134" s="19" t="s">
        <v>79</v>
      </c>
      <c r="BK134" s="193">
        <f t="shared" si="9"/>
        <v>0</v>
      </c>
      <c r="BL134" s="19" t="s">
        <v>386</v>
      </c>
      <c r="BM134" s="192" t="s">
        <v>477</v>
      </c>
    </row>
    <row r="135" spans="1:65" s="2" customFormat="1" ht="24.2" customHeight="1">
      <c r="A135" s="36"/>
      <c r="B135" s="37"/>
      <c r="C135" s="181" t="s">
        <v>122</v>
      </c>
      <c r="D135" s="181" t="s">
        <v>382</v>
      </c>
      <c r="E135" s="182" t="s">
        <v>2868</v>
      </c>
      <c r="F135" s="183" t="s">
        <v>2869</v>
      </c>
      <c r="G135" s="184" t="s">
        <v>641</v>
      </c>
      <c r="H135" s="185">
        <v>2</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386</v>
      </c>
      <c r="AT135" s="192" t="s">
        <v>382</v>
      </c>
      <c r="AU135" s="192" t="s">
        <v>82</v>
      </c>
      <c r="AY135" s="19" t="s">
        <v>380</v>
      </c>
      <c r="BE135" s="193">
        <f t="shared" si="4"/>
        <v>0</v>
      </c>
      <c r="BF135" s="193">
        <f t="shared" si="5"/>
        <v>0</v>
      </c>
      <c r="BG135" s="193">
        <f t="shared" si="6"/>
        <v>0</v>
      </c>
      <c r="BH135" s="193">
        <f t="shared" si="7"/>
        <v>0</v>
      </c>
      <c r="BI135" s="193">
        <f t="shared" si="8"/>
        <v>0</v>
      </c>
      <c r="BJ135" s="19" t="s">
        <v>79</v>
      </c>
      <c r="BK135" s="193">
        <f t="shared" si="9"/>
        <v>0</v>
      </c>
      <c r="BL135" s="19" t="s">
        <v>386</v>
      </c>
      <c r="BM135" s="192" t="s">
        <v>486</v>
      </c>
    </row>
    <row r="136" spans="1:65" s="2" customFormat="1" ht="24.2" customHeight="1">
      <c r="A136" s="36"/>
      <c r="B136" s="37"/>
      <c r="C136" s="181" t="s">
        <v>125</v>
      </c>
      <c r="D136" s="181" t="s">
        <v>382</v>
      </c>
      <c r="E136" s="182" t="s">
        <v>2870</v>
      </c>
      <c r="F136" s="183" t="s">
        <v>2871</v>
      </c>
      <c r="G136" s="184" t="s">
        <v>641</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386</v>
      </c>
      <c r="AT136" s="192" t="s">
        <v>382</v>
      </c>
      <c r="AU136" s="192" t="s">
        <v>82</v>
      </c>
      <c r="AY136" s="19" t="s">
        <v>380</v>
      </c>
      <c r="BE136" s="193">
        <f t="shared" si="4"/>
        <v>0</v>
      </c>
      <c r="BF136" s="193">
        <f t="shared" si="5"/>
        <v>0</v>
      </c>
      <c r="BG136" s="193">
        <f t="shared" si="6"/>
        <v>0</v>
      </c>
      <c r="BH136" s="193">
        <f t="shared" si="7"/>
        <v>0</v>
      </c>
      <c r="BI136" s="193">
        <f t="shared" si="8"/>
        <v>0</v>
      </c>
      <c r="BJ136" s="19" t="s">
        <v>79</v>
      </c>
      <c r="BK136" s="193">
        <f t="shared" si="9"/>
        <v>0</v>
      </c>
      <c r="BL136" s="19" t="s">
        <v>386</v>
      </c>
      <c r="BM136" s="192" t="s">
        <v>495</v>
      </c>
    </row>
    <row r="137" spans="1:65" s="2" customFormat="1" ht="24.2" customHeight="1">
      <c r="A137" s="36"/>
      <c r="B137" s="37"/>
      <c r="C137" s="181" t="s">
        <v>128</v>
      </c>
      <c r="D137" s="181" t="s">
        <v>382</v>
      </c>
      <c r="E137" s="182" t="s">
        <v>2872</v>
      </c>
      <c r="F137" s="183" t="s">
        <v>2873</v>
      </c>
      <c r="G137" s="184" t="s">
        <v>641</v>
      </c>
      <c r="H137" s="185">
        <v>3</v>
      </c>
      <c r="I137" s="186"/>
      <c r="J137" s="187">
        <f t="shared" si="0"/>
        <v>0</v>
      </c>
      <c r="K137" s="183" t="s">
        <v>19</v>
      </c>
      <c r="L137" s="41"/>
      <c r="M137" s="188" t="s">
        <v>19</v>
      </c>
      <c r="N137" s="189" t="s">
        <v>43</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386</v>
      </c>
      <c r="AT137" s="192" t="s">
        <v>382</v>
      </c>
      <c r="AU137" s="192" t="s">
        <v>82</v>
      </c>
      <c r="AY137" s="19" t="s">
        <v>380</v>
      </c>
      <c r="BE137" s="193">
        <f t="shared" si="4"/>
        <v>0</v>
      </c>
      <c r="BF137" s="193">
        <f t="shared" si="5"/>
        <v>0</v>
      </c>
      <c r="BG137" s="193">
        <f t="shared" si="6"/>
        <v>0</v>
      </c>
      <c r="BH137" s="193">
        <f t="shared" si="7"/>
        <v>0</v>
      </c>
      <c r="BI137" s="193">
        <f t="shared" si="8"/>
        <v>0</v>
      </c>
      <c r="BJ137" s="19" t="s">
        <v>79</v>
      </c>
      <c r="BK137" s="193">
        <f t="shared" si="9"/>
        <v>0</v>
      </c>
      <c r="BL137" s="19" t="s">
        <v>386</v>
      </c>
      <c r="BM137" s="192" t="s">
        <v>505</v>
      </c>
    </row>
    <row r="138" spans="1:65" s="2" customFormat="1" ht="24.2" customHeight="1">
      <c r="A138" s="36"/>
      <c r="B138" s="37"/>
      <c r="C138" s="181" t="s">
        <v>131</v>
      </c>
      <c r="D138" s="181" t="s">
        <v>382</v>
      </c>
      <c r="E138" s="182" t="s">
        <v>2874</v>
      </c>
      <c r="F138" s="183" t="s">
        <v>2875</v>
      </c>
      <c r="G138" s="184" t="s">
        <v>641</v>
      </c>
      <c r="H138" s="185">
        <v>3</v>
      </c>
      <c r="I138" s="186"/>
      <c r="J138" s="187">
        <f t="shared" si="0"/>
        <v>0</v>
      </c>
      <c r="K138" s="183" t="s">
        <v>19</v>
      </c>
      <c r="L138" s="41"/>
      <c r="M138" s="188" t="s">
        <v>19</v>
      </c>
      <c r="N138" s="189" t="s">
        <v>43</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386</v>
      </c>
      <c r="AT138" s="192" t="s">
        <v>382</v>
      </c>
      <c r="AU138" s="192" t="s">
        <v>82</v>
      </c>
      <c r="AY138" s="19" t="s">
        <v>380</v>
      </c>
      <c r="BE138" s="193">
        <f t="shared" si="4"/>
        <v>0</v>
      </c>
      <c r="BF138" s="193">
        <f t="shared" si="5"/>
        <v>0</v>
      </c>
      <c r="BG138" s="193">
        <f t="shared" si="6"/>
        <v>0</v>
      </c>
      <c r="BH138" s="193">
        <f t="shared" si="7"/>
        <v>0</v>
      </c>
      <c r="BI138" s="193">
        <f t="shared" si="8"/>
        <v>0</v>
      </c>
      <c r="BJ138" s="19" t="s">
        <v>79</v>
      </c>
      <c r="BK138" s="193">
        <f t="shared" si="9"/>
        <v>0</v>
      </c>
      <c r="BL138" s="19" t="s">
        <v>386</v>
      </c>
      <c r="BM138" s="192" t="s">
        <v>514</v>
      </c>
    </row>
    <row r="139" spans="1:65" s="2" customFormat="1" ht="24.2" customHeight="1">
      <c r="A139" s="36"/>
      <c r="B139" s="37"/>
      <c r="C139" s="181" t="s">
        <v>134</v>
      </c>
      <c r="D139" s="181" t="s">
        <v>382</v>
      </c>
      <c r="E139" s="182" t="s">
        <v>2876</v>
      </c>
      <c r="F139" s="183" t="s">
        <v>2877</v>
      </c>
      <c r="G139" s="184" t="s">
        <v>641</v>
      </c>
      <c r="H139" s="185">
        <v>3</v>
      </c>
      <c r="I139" s="186"/>
      <c r="J139" s="187">
        <f t="shared" si="0"/>
        <v>0</v>
      </c>
      <c r="K139" s="183" t="s">
        <v>19</v>
      </c>
      <c r="L139" s="41"/>
      <c r="M139" s="188" t="s">
        <v>19</v>
      </c>
      <c r="N139" s="189" t="s">
        <v>43</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386</v>
      </c>
      <c r="AT139" s="192" t="s">
        <v>382</v>
      </c>
      <c r="AU139" s="192" t="s">
        <v>82</v>
      </c>
      <c r="AY139" s="19" t="s">
        <v>380</v>
      </c>
      <c r="BE139" s="193">
        <f t="shared" si="4"/>
        <v>0</v>
      </c>
      <c r="BF139" s="193">
        <f t="shared" si="5"/>
        <v>0</v>
      </c>
      <c r="BG139" s="193">
        <f t="shared" si="6"/>
        <v>0</v>
      </c>
      <c r="BH139" s="193">
        <f t="shared" si="7"/>
        <v>0</v>
      </c>
      <c r="BI139" s="193">
        <f t="shared" si="8"/>
        <v>0</v>
      </c>
      <c r="BJ139" s="19" t="s">
        <v>79</v>
      </c>
      <c r="BK139" s="193">
        <f t="shared" si="9"/>
        <v>0</v>
      </c>
      <c r="BL139" s="19" t="s">
        <v>386</v>
      </c>
      <c r="BM139" s="192" t="s">
        <v>525</v>
      </c>
    </row>
    <row r="140" spans="1:65" s="12" customFormat="1" ht="22.9" customHeight="1">
      <c r="B140" s="165"/>
      <c r="C140" s="166"/>
      <c r="D140" s="167" t="s">
        <v>71</v>
      </c>
      <c r="E140" s="179" t="s">
        <v>430</v>
      </c>
      <c r="F140" s="179" t="s">
        <v>2878</v>
      </c>
      <c r="G140" s="166"/>
      <c r="H140" s="166"/>
      <c r="I140" s="169"/>
      <c r="J140" s="180">
        <f>BK140</f>
        <v>0</v>
      </c>
      <c r="K140" s="166"/>
      <c r="L140" s="171"/>
      <c r="M140" s="172"/>
      <c r="N140" s="173"/>
      <c r="O140" s="173"/>
      <c r="P140" s="174">
        <f>SUM(P141:P142)</f>
        <v>0</v>
      </c>
      <c r="Q140" s="173"/>
      <c r="R140" s="174">
        <f>SUM(R141:R142)</f>
        <v>0</v>
      </c>
      <c r="S140" s="173"/>
      <c r="T140" s="175">
        <f>SUM(T141:T142)</f>
        <v>0</v>
      </c>
      <c r="AR140" s="176" t="s">
        <v>79</v>
      </c>
      <c r="AT140" s="177" t="s">
        <v>71</v>
      </c>
      <c r="AU140" s="177" t="s">
        <v>79</v>
      </c>
      <c r="AY140" s="176" t="s">
        <v>380</v>
      </c>
      <c r="BK140" s="178">
        <f>SUM(BK141:BK142)</f>
        <v>0</v>
      </c>
    </row>
    <row r="141" spans="1:65" s="2" customFormat="1" ht="24.2" customHeight="1">
      <c r="A141" s="36"/>
      <c r="B141" s="37"/>
      <c r="C141" s="181" t="s">
        <v>8</v>
      </c>
      <c r="D141" s="181" t="s">
        <v>382</v>
      </c>
      <c r="E141" s="182" t="s">
        <v>2879</v>
      </c>
      <c r="F141" s="183" t="s">
        <v>2880</v>
      </c>
      <c r="G141" s="184" t="s">
        <v>452</v>
      </c>
      <c r="H141" s="185">
        <v>35</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386</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386</v>
      </c>
      <c r="BM141" s="192" t="s">
        <v>534</v>
      </c>
    </row>
    <row r="142" spans="1:65" s="2" customFormat="1" ht="24.2" customHeight="1">
      <c r="A142" s="36"/>
      <c r="B142" s="37"/>
      <c r="C142" s="181" t="s">
        <v>281</v>
      </c>
      <c r="D142" s="181" t="s">
        <v>382</v>
      </c>
      <c r="E142" s="182" t="s">
        <v>2881</v>
      </c>
      <c r="F142" s="183" t="s">
        <v>2882</v>
      </c>
      <c r="G142" s="184" t="s">
        <v>452</v>
      </c>
      <c r="H142" s="185">
        <v>11</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386</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386</v>
      </c>
      <c r="BM142" s="192" t="s">
        <v>546</v>
      </c>
    </row>
    <row r="143" spans="1:65" s="12" customFormat="1" ht="25.9" customHeight="1">
      <c r="B143" s="165"/>
      <c r="C143" s="166"/>
      <c r="D143" s="167" t="s">
        <v>71</v>
      </c>
      <c r="E143" s="168" t="s">
        <v>1344</v>
      </c>
      <c r="F143" s="168" t="s">
        <v>2348</v>
      </c>
      <c r="G143" s="166"/>
      <c r="H143" s="166"/>
      <c r="I143" s="169"/>
      <c r="J143" s="170">
        <f>BK143</f>
        <v>0</v>
      </c>
      <c r="K143" s="166"/>
      <c r="L143" s="171"/>
      <c r="M143" s="172"/>
      <c r="N143" s="173"/>
      <c r="O143" s="173"/>
      <c r="P143" s="174">
        <f>P144+P274+P426+P436+P459+P462</f>
        <v>0</v>
      </c>
      <c r="Q143" s="173"/>
      <c r="R143" s="174">
        <f>R144+R274+R426+R436+R459+R462</f>
        <v>0</v>
      </c>
      <c r="S143" s="173"/>
      <c r="T143" s="175">
        <f>T144+T274+T426+T436+T459+T462</f>
        <v>0</v>
      </c>
      <c r="AR143" s="176" t="s">
        <v>82</v>
      </c>
      <c r="AT143" s="177" t="s">
        <v>71</v>
      </c>
      <c r="AU143" s="177" t="s">
        <v>72</v>
      </c>
      <c r="AY143" s="176" t="s">
        <v>380</v>
      </c>
      <c r="BK143" s="178">
        <f>BK144+BK274+BK426+BK436+BK459+BK462</f>
        <v>0</v>
      </c>
    </row>
    <row r="144" spans="1:65" s="12" customFormat="1" ht="22.9" customHeight="1">
      <c r="B144" s="165"/>
      <c r="C144" s="166"/>
      <c r="D144" s="167" t="s">
        <v>71</v>
      </c>
      <c r="E144" s="179" t="s">
        <v>2883</v>
      </c>
      <c r="F144" s="179" t="s">
        <v>2884</v>
      </c>
      <c r="G144" s="166"/>
      <c r="H144" s="166"/>
      <c r="I144" s="169"/>
      <c r="J144" s="180">
        <f>BK144</f>
        <v>0</v>
      </c>
      <c r="K144" s="166"/>
      <c r="L144" s="171"/>
      <c r="M144" s="172"/>
      <c r="N144" s="173"/>
      <c r="O144" s="173"/>
      <c r="P144" s="174">
        <f>SUM(P145:P273)</f>
        <v>0</v>
      </c>
      <c r="Q144" s="173"/>
      <c r="R144" s="174">
        <f>SUM(R145:R273)</f>
        <v>0</v>
      </c>
      <c r="S144" s="173"/>
      <c r="T144" s="175">
        <f>SUM(T145:T273)</f>
        <v>0</v>
      </c>
      <c r="AR144" s="176" t="s">
        <v>82</v>
      </c>
      <c r="AT144" s="177" t="s">
        <v>71</v>
      </c>
      <c r="AU144" s="177" t="s">
        <v>79</v>
      </c>
      <c r="AY144" s="176" t="s">
        <v>380</v>
      </c>
      <c r="BK144" s="178">
        <f>SUM(BK145:BK273)</f>
        <v>0</v>
      </c>
    </row>
    <row r="145" spans="1:65" s="2" customFormat="1" ht="16.5" customHeight="1">
      <c r="A145" s="36"/>
      <c r="B145" s="37"/>
      <c r="C145" s="181" t="s">
        <v>471</v>
      </c>
      <c r="D145" s="181" t="s">
        <v>382</v>
      </c>
      <c r="E145" s="182" t="s">
        <v>2885</v>
      </c>
      <c r="F145" s="183" t="s">
        <v>2886</v>
      </c>
      <c r="G145" s="184" t="s">
        <v>452</v>
      </c>
      <c r="H145" s="185">
        <v>28.75</v>
      </c>
      <c r="I145" s="186"/>
      <c r="J145" s="187">
        <f>ROUND(I145*H145,2)</f>
        <v>0</v>
      </c>
      <c r="K145" s="183" t="s">
        <v>19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556</v>
      </c>
    </row>
    <row r="146" spans="1:65" s="13" customFormat="1" ht="11.25">
      <c r="B146" s="194"/>
      <c r="C146" s="195"/>
      <c r="D146" s="196" t="s">
        <v>388</v>
      </c>
      <c r="E146" s="197" t="s">
        <v>19</v>
      </c>
      <c r="F146" s="198" t="s">
        <v>2887</v>
      </c>
      <c r="G146" s="195"/>
      <c r="H146" s="197" t="s">
        <v>19</v>
      </c>
      <c r="I146" s="199"/>
      <c r="J146" s="195"/>
      <c r="K146" s="195"/>
      <c r="L146" s="200"/>
      <c r="M146" s="201"/>
      <c r="N146" s="202"/>
      <c r="O146" s="202"/>
      <c r="P146" s="202"/>
      <c r="Q146" s="202"/>
      <c r="R146" s="202"/>
      <c r="S146" s="202"/>
      <c r="T146" s="203"/>
      <c r="AT146" s="204" t="s">
        <v>388</v>
      </c>
      <c r="AU146" s="204" t="s">
        <v>82</v>
      </c>
      <c r="AV146" s="13" t="s">
        <v>79</v>
      </c>
      <c r="AW146" s="13" t="s">
        <v>33</v>
      </c>
      <c r="AX146" s="13" t="s">
        <v>72</v>
      </c>
      <c r="AY146" s="204" t="s">
        <v>380</v>
      </c>
    </row>
    <row r="147" spans="1:65" s="14" customFormat="1" ht="11.25">
      <c r="B147" s="205"/>
      <c r="C147" s="206"/>
      <c r="D147" s="196" t="s">
        <v>388</v>
      </c>
      <c r="E147" s="207" t="s">
        <v>19</v>
      </c>
      <c r="F147" s="208" t="s">
        <v>2888</v>
      </c>
      <c r="G147" s="206"/>
      <c r="H147" s="209">
        <v>28.75</v>
      </c>
      <c r="I147" s="210"/>
      <c r="J147" s="206"/>
      <c r="K147" s="206"/>
      <c r="L147" s="211"/>
      <c r="M147" s="212"/>
      <c r="N147" s="213"/>
      <c r="O147" s="213"/>
      <c r="P147" s="213"/>
      <c r="Q147" s="213"/>
      <c r="R147" s="213"/>
      <c r="S147" s="213"/>
      <c r="T147" s="214"/>
      <c r="AT147" s="215" t="s">
        <v>388</v>
      </c>
      <c r="AU147" s="215" t="s">
        <v>82</v>
      </c>
      <c r="AV147" s="14" t="s">
        <v>82</v>
      </c>
      <c r="AW147" s="14" t="s">
        <v>33</v>
      </c>
      <c r="AX147" s="14" t="s">
        <v>72</v>
      </c>
      <c r="AY147" s="215" t="s">
        <v>380</v>
      </c>
    </row>
    <row r="148" spans="1:65" s="15" customFormat="1" ht="11.25">
      <c r="B148" s="216"/>
      <c r="C148" s="217"/>
      <c r="D148" s="196" t="s">
        <v>388</v>
      </c>
      <c r="E148" s="218" t="s">
        <v>19</v>
      </c>
      <c r="F148" s="219" t="s">
        <v>419</v>
      </c>
      <c r="G148" s="217"/>
      <c r="H148" s="220">
        <v>28.75</v>
      </c>
      <c r="I148" s="221"/>
      <c r="J148" s="217"/>
      <c r="K148" s="217"/>
      <c r="L148" s="222"/>
      <c r="M148" s="223"/>
      <c r="N148" s="224"/>
      <c r="O148" s="224"/>
      <c r="P148" s="224"/>
      <c r="Q148" s="224"/>
      <c r="R148" s="224"/>
      <c r="S148" s="224"/>
      <c r="T148" s="225"/>
      <c r="AT148" s="226" t="s">
        <v>388</v>
      </c>
      <c r="AU148" s="226" t="s">
        <v>82</v>
      </c>
      <c r="AV148" s="15" t="s">
        <v>386</v>
      </c>
      <c r="AW148" s="15" t="s">
        <v>33</v>
      </c>
      <c r="AX148" s="15" t="s">
        <v>79</v>
      </c>
      <c r="AY148" s="226" t="s">
        <v>380</v>
      </c>
    </row>
    <row r="149" spans="1:65" s="2" customFormat="1" ht="16.5" customHeight="1">
      <c r="A149" s="36"/>
      <c r="B149" s="37"/>
      <c r="C149" s="181" t="s">
        <v>477</v>
      </c>
      <c r="D149" s="181" t="s">
        <v>382</v>
      </c>
      <c r="E149" s="182" t="s">
        <v>2889</v>
      </c>
      <c r="F149" s="183" t="s">
        <v>2890</v>
      </c>
      <c r="G149" s="184" t="s">
        <v>452</v>
      </c>
      <c r="H149" s="185">
        <v>43.01</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579</v>
      </c>
    </row>
    <row r="150" spans="1:65" s="13" customFormat="1" ht="11.25">
      <c r="B150" s="194"/>
      <c r="C150" s="195"/>
      <c r="D150" s="196" t="s">
        <v>388</v>
      </c>
      <c r="E150" s="197" t="s">
        <v>19</v>
      </c>
      <c r="F150" s="198" t="s">
        <v>2891</v>
      </c>
      <c r="G150" s="195"/>
      <c r="H150" s="197" t="s">
        <v>19</v>
      </c>
      <c r="I150" s="199"/>
      <c r="J150" s="195"/>
      <c r="K150" s="195"/>
      <c r="L150" s="200"/>
      <c r="M150" s="201"/>
      <c r="N150" s="202"/>
      <c r="O150" s="202"/>
      <c r="P150" s="202"/>
      <c r="Q150" s="202"/>
      <c r="R150" s="202"/>
      <c r="S150" s="202"/>
      <c r="T150" s="203"/>
      <c r="AT150" s="204" t="s">
        <v>388</v>
      </c>
      <c r="AU150" s="204" t="s">
        <v>82</v>
      </c>
      <c r="AV150" s="13" t="s">
        <v>79</v>
      </c>
      <c r="AW150" s="13" t="s">
        <v>33</v>
      </c>
      <c r="AX150" s="13" t="s">
        <v>72</v>
      </c>
      <c r="AY150" s="204" t="s">
        <v>380</v>
      </c>
    </row>
    <row r="151" spans="1:65" s="14" customFormat="1" ht="11.25">
      <c r="B151" s="205"/>
      <c r="C151" s="206"/>
      <c r="D151" s="196" t="s">
        <v>388</v>
      </c>
      <c r="E151" s="207" t="s">
        <v>19</v>
      </c>
      <c r="F151" s="208" t="s">
        <v>2892</v>
      </c>
      <c r="G151" s="206"/>
      <c r="H151" s="209">
        <v>28.29</v>
      </c>
      <c r="I151" s="210"/>
      <c r="J151" s="206"/>
      <c r="K151" s="206"/>
      <c r="L151" s="211"/>
      <c r="M151" s="212"/>
      <c r="N151" s="213"/>
      <c r="O151" s="213"/>
      <c r="P151" s="213"/>
      <c r="Q151" s="213"/>
      <c r="R151" s="213"/>
      <c r="S151" s="213"/>
      <c r="T151" s="214"/>
      <c r="AT151" s="215" t="s">
        <v>388</v>
      </c>
      <c r="AU151" s="215" t="s">
        <v>82</v>
      </c>
      <c r="AV151" s="14" t="s">
        <v>82</v>
      </c>
      <c r="AW151" s="14" t="s">
        <v>33</v>
      </c>
      <c r="AX151" s="14" t="s">
        <v>72</v>
      </c>
      <c r="AY151" s="215" t="s">
        <v>380</v>
      </c>
    </row>
    <row r="152" spans="1:65" s="13" customFormat="1" ht="11.25">
      <c r="B152" s="194"/>
      <c r="C152" s="195"/>
      <c r="D152" s="196" t="s">
        <v>388</v>
      </c>
      <c r="E152" s="197" t="s">
        <v>19</v>
      </c>
      <c r="F152" s="198" t="s">
        <v>2893</v>
      </c>
      <c r="G152" s="195"/>
      <c r="H152" s="197" t="s">
        <v>19</v>
      </c>
      <c r="I152" s="199"/>
      <c r="J152" s="195"/>
      <c r="K152" s="195"/>
      <c r="L152" s="200"/>
      <c r="M152" s="201"/>
      <c r="N152" s="202"/>
      <c r="O152" s="202"/>
      <c r="P152" s="202"/>
      <c r="Q152" s="202"/>
      <c r="R152" s="202"/>
      <c r="S152" s="202"/>
      <c r="T152" s="203"/>
      <c r="AT152" s="204" t="s">
        <v>388</v>
      </c>
      <c r="AU152" s="204" t="s">
        <v>82</v>
      </c>
      <c r="AV152" s="13" t="s">
        <v>79</v>
      </c>
      <c r="AW152" s="13" t="s">
        <v>33</v>
      </c>
      <c r="AX152" s="13" t="s">
        <v>72</v>
      </c>
      <c r="AY152" s="204" t="s">
        <v>380</v>
      </c>
    </row>
    <row r="153" spans="1:65" s="14" customFormat="1" ht="11.25">
      <c r="B153" s="205"/>
      <c r="C153" s="206"/>
      <c r="D153" s="196" t="s">
        <v>388</v>
      </c>
      <c r="E153" s="207" t="s">
        <v>19</v>
      </c>
      <c r="F153" s="208" t="s">
        <v>2894</v>
      </c>
      <c r="G153" s="206"/>
      <c r="H153" s="209">
        <v>14.72</v>
      </c>
      <c r="I153" s="210"/>
      <c r="J153" s="206"/>
      <c r="K153" s="206"/>
      <c r="L153" s="211"/>
      <c r="M153" s="212"/>
      <c r="N153" s="213"/>
      <c r="O153" s="213"/>
      <c r="P153" s="213"/>
      <c r="Q153" s="213"/>
      <c r="R153" s="213"/>
      <c r="S153" s="213"/>
      <c r="T153" s="214"/>
      <c r="AT153" s="215" t="s">
        <v>388</v>
      </c>
      <c r="AU153" s="215" t="s">
        <v>82</v>
      </c>
      <c r="AV153" s="14" t="s">
        <v>82</v>
      </c>
      <c r="AW153" s="14" t="s">
        <v>33</v>
      </c>
      <c r="AX153" s="14" t="s">
        <v>72</v>
      </c>
      <c r="AY153" s="215" t="s">
        <v>380</v>
      </c>
    </row>
    <row r="154" spans="1:65" s="15" customFormat="1" ht="11.25">
      <c r="B154" s="216"/>
      <c r="C154" s="217"/>
      <c r="D154" s="196" t="s">
        <v>388</v>
      </c>
      <c r="E154" s="218" t="s">
        <v>19</v>
      </c>
      <c r="F154" s="219" t="s">
        <v>2544</v>
      </c>
      <c r="G154" s="217"/>
      <c r="H154" s="220">
        <v>43.01</v>
      </c>
      <c r="I154" s="221"/>
      <c r="J154" s="217"/>
      <c r="K154" s="217"/>
      <c r="L154" s="222"/>
      <c r="M154" s="223"/>
      <c r="N154" s="224"/>
      <c r="O154" s="224"/>
      <c r="P154" s="224"/>
      <c r="Q154" s="224"/>
      <c r="R154" s="224"/>
      <c r="S154" s="224"/>
      <c r="T154" s="225"/>
      <c r="AT154" s="226" t="s">
        <v>388</v>
      </c>
      <c r="AU154" s="226" t="s">
        <v>82</v>
      </c>
      <c r="AV154" s="15" t="s">
        <v>386</v>
      </c>
      <c r="AW154" s="15" t="s">
        <v>33</v>
      </c>
      <c r="AX154" s="15" t="s">
        <v>79</v>
      </c>
      <c r="AY154" s="226" t="s">
        <v>380</v>
      </c>
    </row>
    <row r="155" spans="1:65" s="2" customFormat="1" ht="16.5" customHeight="1">
      <c r="A155" s="36"/>
      <c r="B155" s="37"/>
      <c r="C155" s="181" t="s">
        <v>284</v>
      </c>
      <c r="D155" s="181" t="s">
        <v>382</v>
      </c>
      <c r="E155" s="182" t="s">
        <v>2895</v>
      </c>
      <c r="F155" s="183" t="s">
        <v>2896</v>
      </c>
      <c r="G155" s="184" t="s">
        <v>452</v>
      </c>
      <c r="H155" s="185">
        <v>18.515000000000001</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619</v>
      </c>
    </row>
    <row r="156" spans="1:65" s="13" customFormat="1" ht="11.25">
      <c r="B156" s="194"/>
      <c r="C156" s="195"/>
      <c r="D156" s="196" t="s">
        <v>388</v>
      </c>
      <c r="E156" s="197" t="s">
        <v>19</v>
      </c>
      <c r="F156" s="198" t="s">
        <v>2897</v>
      </c>
      <c r="G156" s="195"/>
      <c r="H156" s="197" t="s">
        <v>19</v>
      </c>
      <c r="I156" s="199"/>
      <c r="J156" s="195"/>
      <c r="K156" s="195"/>
      <c r="L156" s="200"/>
      <c r="M156" s="201"/>
      <c r="N156" s="202"/>
      <c r="O156" s="202"/>
      <c r="P156" s="202"/>
      <c r="Q156" s="202"/>
      <c r="R156" s="202"/>
      <c r="S156" s="202"/>
      <c r="T156" s="203"/>
      <c r="AT156" s="204" t="s">
        <v>388</v>
      </c>
      <c r="AU156" s="204" t="s">
        <v>82</v>
      </c>
      <c r="AV156" s="13" t="s">
        <v>79</v>
      </c>
      <c r="AW156" s="13" t="s">
        <v>33</v>
      </c>
      <c r="AX156" s="13" t="s">
        <v>72</v>
      </c>
      <c r="AY156" s="204" t="s">
        <v>380</v>
      </c>
    </row>
    <row r="157" spans="1:65" s="14" customFormat="1" ht="11.25">
      <c r="B157" s="205"/>
      <c r="C157" s="206"/>
      <c r="D157" s="196" t="s">
        <v>388</v>
      </c>
      <c r="E157" s="207" t="s">
        <v>19</v>
      </c>
      <c r="F157" s="208" t="s">
        <v>2898</v>
      </c>
      <c r="G157" s="206"/>
      <c r="H157" s="209">
        <v>18.515000000000001</v>
      </c>
      <c r="I157" s="210"/>
      <c r="J157" s="206"/>
      <c r="K157" s="206"/>
      <c r="L157" s="211"/>
      <c r="M157" s="212"/>
      <c r="N157" s="213"/>
      <c r="O157" s="213"/>
      <c r="P157" s="213"/>
      <c r="Q157" s="213"/>
      <c r="R157" s="213"/>
      <c r="S157" s="213"/>
      <c r="T157" s="214"/>
      <c r="AT157" s="215" t="s">
        <v>388</v>
      </c>
      <c r="AU157" s="215" t="s">
        <v>82</v>
      </c>
      <c r="AV157" s="14" t="s">
        <v>82</v>
      </c>
      <c r="AW157" s="14" t="s">
        <v>33</v>
      </c>
      <c r="AX157" s="14" t="s">
        <v>72</v>
      </c>
      <c r="AY157" s="215" t="s">
        <v>380</v>
      </c>
    </row>
    <row r="158" spans="1:65" s="15" customFormat="1" ht="11.25">
      <c r="B158" s="216"/>
      <c r="C158" s="217"/>
      <c r="D158" s="196" t="s">
        <v>388</v>
      </c>
      <c r="E158" s="218" t="s">
        <v>19</v>
      </c>
      <c r="F158" s="219" t="s">
        <v>419</v>
      </c>
      <c r="G158" s="217"/>
      <c r="H158" s="220">
        <v>18.515000000000001</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16.5" customHeight="1">
      <c r="A159" s="36"/>
      <c r="B159" s="37"/>
      <c r="C159" s="181" t="s">
        <v>486</v>
      </c>
      <c r="D159" s="181" t="s">
        <v>382</v>
      </c>
      <c r="E159" s="182" t="s">
        <v>2899</v>
      </c>
      <c r="F159" s="183" t="s">
        <v>2900</v>
      </c>
      <c r="G159" s="184" t="s">
        <v>452</v>
      </c>
      <c r="H159" s="185">
        <v>32.89</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631</v>
      </c>
    </row>
    <row r="160" spans="1:65" s="13" customFormat="1" ht="11.25">
      <c r="B160" s="194"/>
      <c r="C160" s="195"/>
      <c r="D160" s="196" t="s">
        <v>388</v>
      </c>
      <c r="E160" s="197" t="s">
        <v>19</v>
      </c>
      <c r="F160" s="198" t="s">
        <v>2897</v>
      </c>
      <c r="G160" s="195"/>
      <c r="H160" s="197" t="s">
        <v>19</v>
      </c>
      <c r="I160" s="199"/>
      <c r="J160" s="195"/>
      <c r="K160" s="195"/>
      <c r="L160" s="200"/>
      <c r="M160" s="201"/>
      <c r="N160" s="202"/>
      <c r="O160" s="202"/>
      <c r="P160" s="202"/>
      <c r="Q160" s="202"/>
      <c r="R160" s="202"/>
      <c r="S160" s="202"/>
      <c r="T160" s="203"/>
      <c r="AT160" s="204" t="s">
        <v>388</v>
      </c>
      <c r="AU160" s="204" t="s">
        <v>82</v>
      </c>
      <c r="AV160" s="13" t="s">
        <v>79</v>
      </c>
      <c r="AW160" s="13" t="s">
        <v>33</v>
      </c>
      <c r="AX160" s="13" t="s">
        <v>72</v>
      </c>
      <c r="AY160" s="204" t="s">
        <v>380</v>
      </c>
    </row>
    <row r="161" spans="1:65" s="14" customFormat="1" ht="11.25">
      <c r="B161" s="205"/>
      <c r="C161" s="206"/>
      <c r="D161" s="196" t="s">
        <v>388</v>
      </c>
      <c r="E161" s="207" t="s">
        <v>19</v>
      </c>
      <c r="F161" s="208" t="s">
        <v>2901</v>
      </c>
      <c r="G161" s="206"/>
      <c r="H161" s="209">
        <v>32.89</v>
      </c>
      <c r="I161" s="210"/>
      <c r="J161" s="206"/>
      <c r="K161" s="206"/>
      <c r="L161" s="211"/>
      <c r="M161" s="212"/>
      <c r="N161" s="213"/>
      <c r="O161" s="213"/>
      <c r="P161" s="213"/>
      <c r="Q161" s="213"/>
      <c r="R161" s="213"/>
      <c r="S161" s="213"/>
      <c r="T161" s="214"/>
      <c r="AT161" s="215" t="s">
        <v>388</v>
      </c>
      <c r="AU161" s="215" t="s">
        <v>82</v>
      </c>
      <c r="AV161" s="14" t="s">
        <v>82</v>
      </c>
      <c r="AW161" s="14" t="s">
        <v>33</v>
      </c>
      <c r="AX161" s="14" t="s">
        <v>72</v>
      </c>
      <c r="AY161" s="215" t="s">
        <v>380</v>
      </c>
    </row>
    <row r="162" spans="1:65" s="15" customFormat="1" ht="11.25">
      <c r="B162" s="216"/>
      <c r="C162" s="217"/>
      <c r="D162" s="196" t="s">
        <v>388</v>
      </c>
      <c r="E162" s="218" t="s">
        <v>19</v>
      </c>
      <c r="F162" s="219" t="s">
        <v>419</v>
      </c>
      <c r="G162" s="217"/>
      <c r="H162" s="220">
        <v>32.89</v>
      </c>
      <c r="I162" s="221"/>
      <c r="J162" s="217"/>
      <c r="K162" s="217"/>
      <c r="L162" s="222"/>
      <c r="M162" s="223"/>
      <c r="N162" s="224"/>
      <c r="O162" s="224"/>
      <c r="P162" s="224"/>
      <c r="Q162" s="224"/>
      <c r="R162" s="224"/>
      <c r="S162" s="224"/>
      <c r="T162" s="225"/>
      <c r="AT162" s="226" t="s">
        <v>388</v>
      </c>
      <c r="AU162" s="226" t="s">
        <v>82</v>
      </c>
      <c r="AV162" s="15" t="s">
        <v>386</v>
      </c>
      <c r="AW162" s="15" t="s">
        <v>33</v>
      </c>
      <c r="AX162" s="15" t="s">
        <v>79</v>
      </c>
      <c r="AY162" s="226" t="s">
        <v>380</v>
      </c>
    </row>
    <row r="163" spans="1:65" s="2" customFormat="1" ht="16.5" customHeight="1">
      <c r="A163" s="36"/>
      <c r="B163" s="37"/>
      <c r="C163" s="181" t="s">
        <v>7</v>
      </c>
      <c r="D163" s="181" t="s">
        <v>382</v>
      </c>
      <c r="E163" s="182" t="s">
        <v>2902</v>
      </c>
      <c r="F163" s="183" t="s">
        <v>2903</v>
      </c>
      <c r="G163" s="184" t="s">
        <v>452</v>
      </c>
      <c r="H163" s="185">
        <v>5.1749999999999998</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281</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644</v>
      </c>
    </row>
    <row r="164" spans="1:65" s="13" customFormat="1" ht="11.25">
      <c r="B164" s="194"/>
      <c r="C164" s="195"/>
      <c r="D164" s="196" t="s">
        <v>388</v>
      </c>
      <c r="E164" s="197" t="s">
        <v>19</v>
      </c>
      <c r="F164" s="198" t="s">
        <v>2904</v>
      </c>
      <c r="G164" s="195"/>
      <c r="H164" s="197" t="s">
        <v>19</v>
      </c>
      <c r="I164" s="199"/>
      <c r="J164" s="195"/>
      <c r="K164" s="195"/>
      <c r="L164" s="200"/>
      <c r="M164" s="201"/>
      <c r="N164" s="202"/>
      <c r="O164" s="202"/>
      <c r="P164" s="202"/>
      <c r="Q164" s="202"/>
      <c r="R164" s="202"/>
      <c r="S164" s="202"/>
      <c r="T164" s="203"/>
      <c r="AT164" s="204" t="s">
        <v>388</v>
      </c>
      <c r="AU164" s="204" t="s">
        <v>82</v>
      </c>
      <c r="AV164" s="13" t="s">
        <v>79</v>
      </c>
      <c r="AW164" s="13" t="s">
        <v>33</v>
      </c>
      <c r="AX164" s="13" t="s">
        <v>72</v>
      </c>
      <c r="AY164" s="204" t="s">
        <v>380</v>
      </c>
    </row>
    <row r="165" spans="1:65" s="14" customFormat="1" ht="11.25">
      <c r="B165" s="205"/>
      <c r="C165" s="206"/>
      <c r="D165" s="196" t="s">
        <v>388</v>
      </c>
      <c r="E165" s="207" t="s">
        <v>19</v>
      </c>
      <c r="F165" s="208" t="s">
        <v>2905</v>
      </c>
      <c r="G165" s="206"/>
      <c r="H165" s="209">
        <v>5.1749999999999998</v>
      </c>
      <c r="I165" s="210"/>
      <c r="J165" s="206"/>
      <c r="K165" s="206"/>
      <c r="L165" s="211"/>
      <c r="M165" s="212"/>
      <c r="N165" s="213"/>
      <c r="O165" s="213"/>
      <c r="P165" s="213"/>
      <c r="Q165" s="213"/>
      <c r="R165" s="213"/>
      <c r="S165" s="213"/>
      <c r="T165" s="214"/>
      <c r="AT165" s="215" t="s">
        <v>388</v>
      </c>
      <c r="AU165" s="215" t="s">
        <v>82</v>
      </c>
      <c r="AV165" s="14" t="s">
        <v>82</v>
      </c>
      <c r="AW165" s="14" t="s">
        <v>33</v>
      </c>
      <c r="AX165" s="14" t="s">
        <v>72</v>
      </c>
      <c r="AY165" s="215" t="s">
        <v>380</v>
      </c>
    </row>
    <row r="166" spans="1:65" s="15" customFormat="1" ht="11.25">
      <c r="B166" s="216"/>
      <c r="C166" s="217"/>
      <c r="D166" s="196" t="s">
        <v>388</v>
      </c>
      <c r="E166" s="218" t="s">
        <v>19</v>
      </c>
      <c r="F166" s="219" t="s">
        <v>419</v>
      </c>
      <c r="G166" s="217"/>
      <c r="H166" s="220">
        <v>5.1749999999999998</v>
      </c>
      <c r="I166" s="221"/>
      <c r="J166" s="217"/>
      <c r="K166" s="217"/>
      <c r="L166" s="222"/>
      <c r="M166" s="223"/>
      <c r="N166" s="224"/>
      <c r="O166" s="224"/>
      <c r="P166" s="224"/>
      <c r="Q166" s="224"/>
      <c r="R166" s="224"/>
      <c r="S166" s="224"/>
      <c r="T166" s="225"/>
      <c r="AT166" s="226" t="s">
        <v>388</v>
      </c>
      <c r="AU166" s="226" t="s">
        <v>82</v>
      </c>
      <c r="AV166" s="15" t="s">
        <v>386</v>
      </c>
      <c r="AW166" s="15" t="s">
        <v>33</v>
      </c>
      <c r="AX166" s="15" t="s">
        <v>79</v>
      </c>
      <c r="AY166" s="226" t="s">
        <v>380</v>
      </c>
    </row>
    <row r="167" spans="1:65" s="2" customFormat="1" ht="16.5" customHeight="1">
      <c r="A167" s="36"/>
      <c r="B167" s="37"/>
      <c r="C167" s="181" t="s">
        <v>495</v>
      </c>
      <c r="D167" s="181" t="s">
        <v>382</v>
      </c>
      <c r="E167" s="182" t="s">
        <v>2906</v>
      </c>
      <c r="F167" s="183" t="s">
        <v>2907</v>
      </c>
      <c r="G167" s="184" t="s">
        <v>452</v>
      </c>
      <c r="H167" s="185">
        <v>69.92</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281</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652</v>
      </c>
    </row>
    <row r="168" spans="1:65" s="13" customFormat="1" ht="11.25">
      <c r="B168" s="194"/>
      <c r="C168" s="195"/>
      <c r="D168" s="196" t="s">
        <v>388</v>
      </c>
      <c r="E168" s="197" t="s">
        <v>19</v>
      </c>
      <c r="F168" s="198" t="s">
        <v>2908</v>
      </c>
      <c r="G168" s="195"/>
      <c r="H168" s="197" t="s">
        <v>19</v>
      </c>
      <c r="I168" s="199"/>
      <c r="J168" s="195"/>
      <c r="K168" s="195"/>
      <c r="L168" s="200"/>
      <c r="M168" s="201"/>
      <c r="N168" s="202"/>
      <c r="O168" s="202"/>
      <c r="P168" s="202"/>
      <c r="Q168" s="202"/>
      <c r="R168" s="202"/>
      <c r="S168" s="202"/>
      <c r="T168" s="203"/>
      <c r="AT168" s="204" t="s">
        <v>388</v>
      </c>
      <c r="AU168" s="204" t="s">
        <v>82</v>
      </c>
      <c r="AV168" s="13" t="s">
        <v>79</v>
      </c>
      <c r="AW168" s="13" t="s">
        <v>33</v>
      </c>
      <c r="AX168" s="13" t="s">
        <v>72</v>
      </c>
      <c r="AY168" s="204" t="s">
        <v>380</v>
      </c>
    </row>
    <row r="169" spans="1:65" s="14" customFormat="1" ht="11.25">
      <c r="B169" s="205"/>
      <c r="C169" s="206"/>
      <c r="D169" s="196" t="s">
        <v>388</v>
      </c>
      <c r="E169" s="207" t="s">
        <v>19</v>
      </c>
      <c r="F169" s="208" t="s">
        <v>2909</v>
      </c>
      <c r="G169" s="206"/>
      <c r="H169" s="209">
        <v>69.92</v>
      </c>
      <c r="I169" s="210"/>
      <c r="J169" s="206"/>
      <c r="K169" s="206"/>
      <c r="L169" s="211"/>
      <c r="M169" s="212"/>
      <c r="N169" s="213"/>
      <c r="O169" s="213"/>
      <c r="P169" s="213"/>
      <c r="Q169" s="213"/>
      <c r="R169" s="213"/>
      <c r="S169" s="213"/>
      <c r="T169" s="214"/>
      <c r="AT169" s="215" t="s">
        <v>388</v>
      </c>
      <c r="AU169" s="215" t="s">
        <v>82</v>
      </c>
      <c r="AV169" s="14" t="s">
        <v>82</v>
      </c>
      <c r="AW169" s="14" t="s">
        <v>33</v>
      </c>
      <c r="AX169" s="14" t="s">
        <v>72</v>
      </c>
      <c r="AY169" s="215" t="s">
        <v>380</v>
      </c>
    </row>
    <row r="170" spans="1:65" s="15" customFormat="1" ht="11.25">
      <c r="B170" s="216"/>
      <c r="C170" s="217"/>
      <c r="D170" s="196" t="s">
        <v>388</v>
      </c>
      <c r="E170" s="218" t="s">
        <v>19</v>
      </c>
      <c r="F170" s="219" t="s">
        <v>419</v>
      </c>
      <c r="G170" s="217"/>
      <c r="H170" s="220">
        <v>69.92</v>
      </c>
      <c r="I170" s="221"/>
      <c r="J170" s="217"/>
      <c r="K170" s="217"/>
      <c r="L170" s="222"/>
      <c r="M170" s="223"/>
      <c r="N170" s="224"/>
      <c r="O170" s="224"/>
      <c r="P170" s="224"/>
      <c r="Q170" s="224"/>
      <c r="R170" s="224"/>
      <c r="S170" s="224"/>
      <c r="T170" s="225"/>
      <c r="AT170" s="226" t="s">
        <v>388</v>
      </c>
      <c r="AU170" s="226" t="s">
        <v>82</v>
      </c>
      <c r="AV170" s="15" t="s">
        <v>386</v>
      </c>
      <c r="AW170" s="15" t="s">
        <v>33</v>
      </c>
      <c r="AX170" s="15" t="s">
        <v>79</v>
      </c>
      <c r="AY170" s="226" t="s">
        <v>380</v>
      </c>
    </row>
    <row r="171" spans="1:65" s="2" customFormat="1" ht="16.5" customHeight="1">
      <c r="A171" s="36"/>
      <c r="B171" s="37"/>
      <c r="C171" s="181" t="s">
        <v>500</v>
      </c>
      <c r="D171" s="181" t="s">
        <v>382</v>
      </c>
      <c r="E171" s="182" t="s">
        <v>2910</v>
      </c>
      <c r="F171" s="183" t="s">
        <v>2911</v>
      </c>
      <c r="G171" s="184" t="s">
        <v>452</v>
      </c>
      <c r="H171" s="185">
        <v>11.27</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660</v>
      </c>
    </row>
    <row r="172" spans="1:65" s="13" customFormat="1" ht="11.25">
      <c r="B172" s="194"/>
      <c r="C172" s="195"/>
      <c r="D172" s="196" t="s">
        <v>388</v>
      </c>
      <c r="E172" s="197" t="s">
        <v>19</v>
      </c>
      <c r="F172" s="198" t="s">
        <v>2908</v>
      </c>
      <c r="G172" s="195"/>
      <c r="H172" s="197" t="s">
        <v>19</v>
      </c>
      <c r="I172" s="199"/>
      <c r="J172" s="195"/>
      <c r="K172" s="195"/>
      <c r="L172" s="200"/>
      <c r="M172" s="201"/>
      <c r="N172" s="202"/>
      <c r="O172" s="202"/>
      <c r="P172" s="202"/>
      <c r="Q172" s="202"/>
      <c r="R172" s="202"/>
      <c r="S172" s="202"/>
      <c r="T172" s="203"/>
      <c r="AT172" s="204" t="s">
        <v>388</v>
      </c>
      <c r="AU172" s="204" t="s">
        <v>82</v>
      </c>
      <c r="AV172" s="13" t="s">
        <v>79</v>
      </c>
      <c r="AW172" s="13" t="s">
        <v>33</v>
      </c>
      <c r="AX172" s="13" t="s">
        <v>72</v>
      </c>
      <c r="AY172" s="204" t="s">
        <v>380</v>
      </c>
    </row>
    <row r="173" spans="1:65" s="14" customFormat="1" ht="11.25">
      <c r="B173" s="205"/>
      <c r="C173" s="206"/>
      <c r="D173" s="196" t="s">
        <v>388</v>
      </c>
      <c r="E173" s="207" t="s">
        <v>19</v>
      </c>
      <c r="F173" s="208" t="s">
        <v>2912</v>
      </c>
      <c r="G173" s="206"/>
      <c r="H173" s="209">
        <v>11.27</v>
      </c>
      <c r="I173" s="210"/>
      <c r="J173" s="206"/>
      <c r="K173" s="206"/>
      <c r="L173" s="211"/>
      <c r="M173" s="212"/>
      <c r="N173" s="213"/>
      <c r="O173" s="213"/>
      <c r="P173" s="213"/>
      <c r="Q173" s="213"/>
      <c r="R173" s="213"/>
      <c r="S173" s="213"/>
      <c r="T173" s="214"/>
      <c r="AT173" s="215" t="s">
        <v>388</v>
      </c>
      <c r="AU173" s="215" t="s">
        <v>82</v>
      </c>
      <c r="AV173" s="14" t="s">
        <v>82</v>
      </c>
      <c r="AW173" s="14" t="s">
        <v>33</v>
      </c>
      <c r="AX173" s="14" t="s">
        <v>72</v>
      </c>
      <c r="AY173" s="215" t="s">
        <v>380</v>
      </c>
    </row>
    <row r="174" spans="1:65" s="15" customFormat="1" ht="11.25">
      <c r="B174" s="216"/>
      <c r="C174" s="217"/>
      <c r="D174" s="196" t="s">
        <v>388</v>
      </c>
      <c r="E174" s="218" t="s">
        <v>19</v>
      </c>
      <c r="F174" s="219" t="s">
        <v>419</v>
      </c>
      <c r="G174" s="217"/>
      <c r="H174" s="220">
        <v>11.27</v>
      </c>
      <c r="I174" s="221"/>
      <c r="J174" s="217"/>
      <c r="K174" s="217"/>
      <c r="L174" s="222"/>
      <c r="M174" s="223"/>
      <c r="N174" s="224"/>
      <c r="O174" s="224"/>
      <c r="P174" s="224"/>
      <c r="Q174" s="224"/>
      <c r="R174" s="224"/>
      <c r="S174" s="224"/>
      <c r="T174" s="225"/>
      <c r="AT174" s="226" t="s">
        <v>388</v>
      </c>
      <c r="AU174" s="226" t="s">
        <v>82</v>
      </c>
      <c r="AV174" s="15" t="s">
        <v>386</v>
      </c>
      <c r="AW174" s="15" t="s">
        <v>33</v>
      </c>
      <c r="AX174" s="15" t="s">
        <v>79</v>
      </c>
      <c r="AY174" s="226" t="s">
        <v>380</v>
      </c>
    </row>
    <row r="175" spans="1:65" s="2" customFormat="1" ht="16.5" customHeight="1">
      <c r="A175" s="36"/>
      <c r="B175" s="37"/>
      <c r="C175" s="181" t="s">
        <v>505</v>
      </c>
      <c r="D175" s="181" t="s">
        <v>382</v>
      </c>
      <c r="E175" s="182" t="s">
        <v>2913</v>
      </c>
      <c r="F175" s="183" t="s">
        <v>2914</v>
      </c>
      <c r="G175" s="184" t="s">
        <v>452</v>
      </c>
      <c r="H175" s="185">
        <v>31.164999999999999</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281</v>
      </c>
      <c r="AT175" s="192" t="s">
        <v>382</v>
      </c>
      <c r="AU175" s="192" t="s">
        <v>82</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668</v>
      </c>
    </row>
    <row r="176" spans="1:65" s="13" customFormat="1" ht="11.25">
      <c r="B176" s="194"/>
      <c r="C176" s="195"/>
      <c r="D176" s="196" t="s">
        <v>388</v>
      </c>
      <c r="E176" s="197" t="s">
        <v>19</v>
      </c>
      <c r="F176" s="198" t="s">
        <v>2891</v>
      </c>
      <c r="G176" s="195"/>
      <c r="H176" s="197" t="s">
        <v>19</v>
      </c>
      <c r="I176" s="199"/>
      <c r="J176" s="195"/>
      <c r="K176" s="195"/>
      <c r="L176" s="200"/>
      <c r="M176" s="201"/>
      <c r="N176" s="202"/>
      <c r="O176" s="202"/>
      <c r="P176" s="202"/>
      <c r="Q176" s="202"/>
      <c r="R176" s="202"/>
      <c r="S176" s="202"/>
      <c r="T176" s="203"/>
      <c r="AT176" s="204" t="s">
        <v>388</v>
      </c>
      <c r="AU176" s="204" t="s">
        <v>82</v>
      </c>
      <c r="AV176" s="13" t="s">
        <v>79</v>
      </c>
      <c r="AW176" s="13" t="s">
        <v>33</v>
      </c>
      <c r="AX176" s="13" t="s">
        <v>72</v>
      </c>
      <c r="AY176" s="204" t="s">
        <v>380</v>
      </c>
    </row>
    <row r="177" spans="1:65" s="14" customFormat="1" ht="11.25">
      <c r="B177" s="205"/>
      <c r="C177" s="206"/>
      <c r="D177" s="196" t="s">
        <v>388</v>
      </c>
      <c r="E177" s="207" t="s">
        <v>19</v>
      </c>
      <c r="F177" s="208" t="s">
        <v>2915</v>
      </c>
      <c r="G177" s="206"/>
      <c r="H177" s="209">
        <v>31.164999999999999</v>
      </c>
      <c r="I177" s="210"/>
      <c r="J177" s="206"/>
      <c r="K177" s="206"/>
      <c r="L177" s="211"/>
      <c r="M177" s="212"/>
      <c r="N177" s="213"/>
      <c r="O177" s="213"/>
      <c r="P177" s="213"/>
      <c r="Q177" s="213"/>
      <c r="R177" s="213"/>
      <c r="S177" s="213"/>
      <c r="T177" s="214"/>
      <c r="AT177" s="215" t="s">
        <v>388</v>
      </c>
      <c r="AU177" s="215" t="s">
        <v>82</v>
      </c>
      <c r="AV177" s="14" t="s">
        <v>82</v>
      </c>
      <c r="AW177" s="14" t="s">
        <v>33</v>
      </c>
      <c r="AX177" s="14" t="s">
        <v>72</v>
      </c>
      <c r="AY177" s="215" t="s">
        <v>380</v>
      </c>
    </row>
    <row r="178" spans="1:65" s="15" customFormat="1" ht="11.25">
      <c r="B178" s="216"/>
      <c r="C178" s="217"/>
      <c r="D178" s="196" t="s">
        <v>388</v>
      </c>
      <c r="E178" s="218" t="s">
        <v>19</v>
      </c>
      <c r="F178" s="219" t="s">
        <v>419</v>
      </c>
      <c r="G178" s="217"/>
      <c r="H178" s="220">
        <v>31.164999999999999</v>
      </c>
      <c r="I178" s="221"/>
      <c r="J178" s="217"/>
      <c r="K178" s="217"/>
      <c r="L178" s="222"/>
      <c r="M178" s="223"/>
      <c r="N178" s="224"/>
      <c r="O178" s="224"/>
      <c r="P178" s="224"/>
      <c r="Q178" s="224"/>
      <c r="R178" s="224"/>
      <c r="S178" s="224"/>
      <c r="T178" s="225"/>
      <c r="AT178" s="226" t="s">
        <v>388</v>
      </c>
      <c r="AU178" s="226" t="s">
        <v>82</v>
      </c>
      <c r="AV178" s="15" t="s">
        <v>386</v>
      </c>
      <c r="AW178" s="15" t="s">
        <v>33</v>
      </c>
      <c r="AX178" s="15" t="s">
        <v>79</v>
      </c>
      <c r="AY178" s="226" t="s">
        <v>380</v>
      </c>
    </row>
    <row r="179" spans="1:65" s="2" customFormat="1" ht="16.5" customHeight="1">
      <c r="A179" s="36"/>
      <c r="B179" s="37"/>
      <c r="C179" s="181" t="s">
        <v>509</v>
      </c>
      <c r="D179" s="181" t="s">
        <v>382</v>
      </c>
      <c r="E179" s="182" t="s">
        <v>2916</v>
      </c>
      <c r="F179" s="183" t="s">
        <v>2917</v>
      </c>
      <c r="G179" s="184" t="s">
        <v>452</v>
      </c>
      <c r="H179" s="185">
        <v>69</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281</v>
      </c>
      <c r="AT179" s="192" t="s">
        <v>382</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677</v>
      </c>
    </row>
    <row r="180" spans="1:65" s="13" customFormat="1" ht="11.25">
      <c r="B180" s="194"/>
      <c r="C180" s="195"/>
      <c r="D180" s="196" t="s">
        <v>388</v>
      </c>
      <c r="E180" s="197" t="s">
        <v>19</v>
      </c>
      <c r="F180" s="198" t="s">
        <v>2891</v>
      </c>
      <c r="G180" s="195"/>
      <c r="H180" s="197" t="s">
        <v>19</v>
      </c>
      <c r="I180" s="199"/>
      <c r="J180" s="195"/>
      <c r="K180" s="195"/>
      <c r="L180" s="200"/>
      <c r="M180" s="201"/>
      <c r="N180" s="202"/>
      <c r="O180" s="202"/>
      <c r="P180" s="202"/>
      <c r="Q180" s="202"/>
      <c r="R180" s="202"/>
      <c r="S180" s="202"/>
      <c r="T180" s="203"/>
      <c r="AT180" s="204" t="s">
        <v>388</v>
      </c>
      <c r="AU180" s="204" t="s">
        <v>82</v>
      </c>
      <c r="AV180" s="13" t="s">
        <v>79</v>
      </c>
      <c r="AW180" s="13" t="s">
        <v>33</v>
      </c>
      <c r="AX180" s="13" t="s">
        <v>72</v>
      </c>
      <c r="AY180" s="204" t="s">
        <v>380</v>
      </c>
    </row>
    <row r="181" spans="1:65" s="14" customFormat="1" ht="11.25">
      <c r="B181" s="205"/>
      <c r="C181" s="206"/>
      <c r="D181" s="196" t="s">
        <v>388</v>
      </c>
      <c r="E181" s="207" t="s">
        <v>19</v>
      </c>
      <c r="F181" s="208" t="s">
        <v>2918</v>
      </c>
      <c r="G181" s="206"/>
      <c r="H181" s="209">
        <v>69</v>
      </c>
      <c r="I181" s="210"/>
      <c r="J181" s="206"/>
      <c r="K181" s="206"/>
      <c r="L181" s="211"/>
      <c r="M181" s="212"/>
      <c r="N181" s="213"/>
      <c r="O181" s="213"/>
      <c r="P181" s="213"/>
      <c r="Q181" s="213"/>
      <c r="R181" s="213"/>
      <c r="S181" s="213"/>
      <c r="T181" s="214"/>
      <c r="AT181" s="215" t="s">
        <v>388</v>
      </c>
      <c r="AU181" s="215" t="s">
        <v>82</v>
      </c>
      <c r="AV181" s="14" t="s">
        <v>82</v>
      </c>
      <c r="AW181" s="14" t="s">
        <v>33</v>
      </c>
      <c r="AX181" s="14" t="s">
        <v>72</v>
      </c>
      <c r="AY181" s="215" t="s">
        <v>380</v>
      </c>
    </row>
    <row r="182" spans="1:65" s="15" customFormat="1" ht="11.25">
      <c r="B182" s="216"/>
      <c r="C182" s="217"/>
      <c r="D182" s="196" t="s">
        <v>388</v>
      </c>
      <c r="E182" s="218" t="s">
        <v>19</v>
      </c>
      <c r="F182" s="219" t="s">
        <v>419</v>
      </c>
      <c r="G182" s="217"/>
      <c r="H182" s="220">
        <v>69</v>
      </c>
      <c r="I182" s="221"/>
      <c r="J182" s="217"/>
      <c r="K182" s="217"/>
      <c r="L182" s="222"/>
      <c r="M182" s="223"/>
      <c r="N182" s="224"/>
      <c r="O182" s="224"/>
      <c r="P182" s="224"/>
      <c r="Q182" s="224"/>
      <c r="R182" s="224"/>
      <c r="S182" s="224"/>
      <c r="T182" s="225"/>
      <c r="AT182" s="226" t="s">
        <v>388</v>
      </c>
      <c r="AU182" s="226" t="s">
        <v>82</v>
      </c>
      <c r="AV182" s="15" t="s">
        <v>386</v>
      </c>
      <c r="AW182" s="15" t="s">
        <v>33</v>
      </c>
      <c r="AX182" s="15" t="s">
        <v>79</v>
      </c>
      <c r="AY182" s="226" t="s">
        <v>380</v>
      </c>
    </row>
    <row r="183" spans="1:65" s="2" customFormat="1" ht="16.5" customHeight="1">
      <c r="A183" s="36"/>
      <c r="B183" s="37"/>
      <c r="C183" s="181" t="s">
        <v>514</v>
      </c>
      <c r="D183" s="181" t="s">
        <v>382</v>
      </c>
      <c r="E183" s="182" t="s">
        <v>2919</v>
      </c>
      <c r="F183" s="183" t="s">
        <v>2920</v>
      </c>
      <c r="G183" s="184" t="s">
        <v>452</v>
      </c>
      <c r="H183" s="185">
        <v>90.62</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281</v>
      </c>
      <c r="AT183" s="192" t="s">
        <v>382</v>
      </c>
      <c r="AU183" s="192" t="s">
        <v>82</v>
      </c>
      <c r="AY183" s="19" t="s">
        <v>380</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281</v>
      </c>
      <c r="BM183" s="192" t="s">
        <v>699</v>
      </c>
    </row>
    <row r="184" spans="1:65" s="13" customFormat="1" ht="11.25">
      <c r="B184" s="194"/>
      <c r="C184" s="195"/>
      <c r="D184" s="196" t="s">
        <v>388</v>
      </c>
      <c r="E184" s="197" t="s">
        <v>19</v>
      </c>
      <c r="F184" s="198" t="s">
        <v>2921</v>
      </c>
      <c r="G184" s="195"/>
      <c r="H184" s="197" t="s">
        <v>19</v>
      </c>
      <c r="I184" s="199"/>
      <c r="J184" s="195"/>
      <c r="K184" s="195"/>
      <c r="L184" s="200"/>
      <c r="M184" s="201"/>
      <c r="N184" s="202"/>
      <c r="O184" s="202"/>
      <c r="P184" s="202"/>
      <c r="Q184" s="202"/>
      <c r="R184" s="202"/>
      <c r="S184" s="202"/>
      <c r="T184" s="203"/>
      <c r="AT184" s="204" t="s">
        <v>388</v>
      </c>
      <c r="AU184" s="204" t="s">
        <v>82</v>
      </c>
      <c r="AV184" s="13" t="s">
        <v>79</v>
      </c>
      <c r="AW184" s="13" t="s">
        <v>33</v>
      </c>
      <c r="AX184" s="13" t="s">
        <v>72</v>
      </c>
      <c r="AY184" s="204" t="s">
        <v>380</v>
      </c>
    </row>
    <row r="185" spans="1:65" s="14" customFormat="1" ht="11.25">
      <c r="B185" s="205"/>
      <c r="C185" s="206"/>
      <c r="D185" s="196" t="s">
        <v>388</v>
      </c>
      <c r="E185" s="207" t="s">
        <v>19</v>
      </c>
      <c r="F185" s="208" t="s">
        <v>2922</v>
      </c>
      <c r="G185" s="206"/>
      <c r="H185" s="209">
        <v>90.62</v>
      </c>
      <c r="I185" s="210"/>
      <c r="J185" s="206"/>
      <c r="K185" s="206"/>
      <c r="L185" s="211"/>
      <c r="M185" s="212"/>
      <c r="N185" s="213"/>
      <c r="O185" s="213"/>
      <c r="P185" s="213"/>
      <c r="Q185" s="213"/>
      <c r="R185" s="213"/>
      <c r="S185" s="213"/>
      <c r="T185" s="214"/>
      <c r="AT185" s="215" t="s">
        <v>388</v>
      </c>
      <c r="AU185" s="215" t="s">
        <v>82</v>
      </c>
      <c r="AV185" s="14" t="s">
        <v>82</v>
      </c>
      <c r="AW185" s="14" t="s">
        <v>33</v>
      </c>
      <c r="AX185" s="14" t="s">
        <v>72</v>
      </c>
      <c r="AY185" s="215" t="s">
        <v>380</v>
      </c>
    </row>
    <row r="186" spans="1:65" s="15" customFormat="1" ht="11.25">
      <c r="B186" s="216"/>
      <c r="C186" s="217"/>
      <c r="D186" s="196" t="s">
        <v>388</v>
      </c>
      <c r="E186" s="218" t="s">
        <v>19</v>
      </c>
      <c r="F186" s="219" t="s">
        <v>419</v>
      </c>
      <c r="G186" s="217"/>
      <c r="H186" s="220">
        <v>90.62</v>
      </c>
      <c r="I186" s="221"/>
      <c r="J186" s="217"/>
      <c r="K186" s="217"/>
      <c r="L186" s="222"/>
      <c r="M186" s="223"/>
      <c r="N186" s="224"/>
      <c r="O186" s="224"/>
      <c r="P186" s="224"/>
      <c r="Q186" s="224"/>
      <c r="R186" s="224"/>
      <c r="S186" s="224"/>
      <c r="T186" s="225"/>
      <c r="AT186" s="226" t="s">
        <v>388</v>
      </c>
      <c r="AU186" s="226" t="s">
        <v>82</v>
      </c>
      <c r="AV186" s="15" t="s">
        <v>386</v>
      </c>
      <c r="AW186" s="15" t="s">
        <v>33</v>
      </c>
      <c r="AX186" s="15" t="s">
        <v>79</v>
      </c>
      <c r="AY186" s="226" t="s">
        <v>380</v>
      </c>
    </row>
    <row r="187" spans="1:65" s="2" customFormat="1" ht="16.5" customHeight="1">
      <c r="A187" s="36"/>
      <c r="B187" s="37"/>
      <c r="C187" s="181" t="s">
        <v>520</v>
      </c>
      <c r="D187" s="181" t="s">
        <v>382</v>
      </c>
      <c r="E187" s="182" t="s">
        <v>2923</v>
      </c>
      <c r="F187" s="183" t="s">
        <v>2924</v>
      </c>
      <c r="G187" s="184" t="s">
        <v>452</v>
      </c>
      <c r="H187" s="185">
        <v>108.94</v>
      </c>
      <c r="I187" s="186"/>
      <c r="J187" s="187">
        <f>ROUND(I187*H187,2)</f>
        <v>0</v>
      </c>
      <c r="K187" s="183" t="s">
        <v>19</v>
      </c>
      <c r="L187" s="41"/>
      <c r="M187" s="188" t="s">
        <v>19</v>
      </c>
      <c r="N187" s="189"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281</v>
      </c>
      <c r="AT187" s="192" t="s">
        <v>382</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281</v>
      </c>
      <c r="BM187" s="192" t="s">
        <v>709</v>
      </c>
    </row>
    <row r="188" spans="1:65" s="13" customFormat="1" ht="11.25">
      <c r="B188" s="194"/>
      <c r="C188" s="195"/>
      <c r="D188" s="196" t="s">
        <v>388</v>
      </c>
      <c r="E188" s="197" t="s">
        <v>19</v>
      </c>
      <c r="F188" s="198" t="s">
        <v>2925</v>
      </c>
      <c r="G188" s="195"/>
      <c r="H188" s="197" t="s">
        <v>19</v>
      </c>
      <c r="I188" s="199"/>
      <c r="J188" s="195"/>
      <c r="K188" s="195"/>
      <c r="L188" s="200"/>
      <c r="M188" s="201"/>
      <c r="N188" s="202"/>
      <c r="O188" s="202"/>
      <c r="P188" s="202"/>
      <c r="Q188" s="202"/>
      <c r="R188" s="202"/>
      <c r="S188" s="202"/>
      <c r="T188" s="203"/>
      <c r="AT188" s="204" t="s">
        <v>388</v>
      </c>
      <c r="AU188" s="204" t="s">
        <v>82</v>
      </c>
      <c r="AV188" s="13" t="s">
        <v>79</v>
      </c>
      <c r="AW188" s="13" t="s">
        <v>33</v>
      </c>
      <c r="AX188" s="13" t="s">
        <v>72</v>
      </c>
      <c r="AY188" s="204" t="s">
        <v>380</v>
      </c>
    </row>
    <row r="189" spans="1:65" s="14" customFormat="1" ht="11.25">
      <c r="B189" s="205"/>
      <c r="C189" s="206"/>
      <c r="D189" s="196" t="s">
        <v>388</v>
      </c>
      <c r="E189" s="207" t="s">
        <v>19</v>
      </c>
      <c r="F189" s="208" t="s">
        <v>2926</v>
      </c>
      <c r="G189" s="206"/>
      <c r="H189" s="209">
        <v>22</v>
      </c>
      <c r="I189" s="210"/>
      <c r="J189" s="206"/>
      <c r="K189" s="206"/>
      <c r="L189" s="211"/>
      <c r="M189" s="212"/>
      <c r="N189" s="213"/>
      <c r="O189" s="213"/>
      <c r="P189" s="213"/>
      <c r="Q189" s="213"/>
      <c r="R189" s="213"/>
      <c r="S189" s="213"/>
      <c r="T189" s="214"/>
      <c r="AT189" s="215" t="s">
        <v>388</v>
      </c>
      <c r="AU189" s="215" t="s">
        <v>82</v>
      </c>
      <c r="AV189" s="14" t="s">
        <v>82</v>
      </c>
      <c r="AW189" s="14" t="s">
        <v>33</v>
      </c>
      <c r="AX189" s="14" t="s">
        <v>72</v>
      </c>
      <c r="AY189" s="215" t="s">
        <v>380</v>
      </c>
    </row>
    <row r="190" spans="1:65" s="13" customFormat="1" ht="11.25">
      <c r="B190" s="194"/>
      <c r="C190" s="195"/>
      <c r="D190" s="196" t="s">
        <v>388</v>
      </c>
      <c r="E190" s="197" t="s">
        <v>19</v>
      </c>
      <c r="F190" s="198" t="s">
        <v>2927</v>
      </c>
      <c r="G190" s="195"/>
      <c r="H190" s="197" t="s">
        <v>19</v>
      </c>
      <c r="I190" s="199"/>
      <c r="J190" s="195"/>
      <c r="K190" s="195"/>
      <c r="L190" s="200"/>
      <c r="M190" s="201"/>
      <c r="N190" s="202"/>
      <c r="O190" s="202"/>
      <c r="P190" s="202"/>
      <c r="Q190" s="202"/>
      <c r="R190" s="202"/>
      <c r="S190" s="202"/>
      <c r="T190" s="203"/>
      <c r="AT190" s="204" t="s">
        <v>388</v>
      </c>
      <c r="AU190" s="204" t="s">
        <v>82</v>
      </c>
      <c r="AV190" s="13" t="s">
        <v>79</v>
      </c>
      <c r="AW190" s="13" t="s">
        <v>33</v>
      </c>
      <c r="AX190" s="13" t="s">
        <v>72</v>
      </c>
      <c r="AY190" s="204" t="s">
        <v>380</v>
      </c>
    </row>
    <row r="191" spans="1:65" s="14" customFormat="1" ht="11.25">
      <c r="B191" s="205"/>
      <c r="C191" s="206"/>
      <c r="D191" s="196" t="s">
        <v>388</v>
      </c>
      <c r="E191" s="207" t="s">
        <v>19</v>
      </c>
      <c r="F191" s="208" t="s">
        <v>2928</v>
      </c>
      <c r="G191" s="206"/>
      <c r="H191" s="209">
        <v>60.375</v>
      </c>
      <c r="I191" s="210"/>
      <c r="J191" s="206"/>
      <c r="K191" s="206"/>
      <c r="L191" s="211"/>
      <c r="M191" s="212"/>
      <c r="N191" s="213"/>
      <c r="O191" s="213"/>
      <c r="P191" s="213"/>
      <c r="Q191" s="213"/>
      <c r="R191" s="213"/>
      <c r="S191" s="213"/>
      <c r="T191" s="214"/>
      <c r="AT191" s="215" t="s">
        <v>388</v>
      </c>
      <c r="AU191" s="215" t="s">
        <v>82</v>
      </c>
      <c r="AV191" s="14" t="s">
        <v>82</v>
      </c>
      <c r="AW191" s="14" t="s">
        <v>33</v>
      </c>
      <c r="AX191" s="14" t="s">
        <v>72</v>
      </c>
      <c r="AY191" s="215" t="s">
        <v>380</v>
      </c>
    </row>
    <row r="192" spans="1:65" s="13" customFormat="1" ht="11.25">
      <c r="B192" s="194"/>
      <c r="C192" s="195"/>
      <c r="D192" s="196" t="s">
        <v>388</v>
      </c>
      <c r="E192" s="197" t="s">
        <v>19</v>
      </c>
      <c r="F192" s="198" t="s">
        <v>2891</v>
      </c>
      <c r="G192" s="195"/>
      <c r="H192" s="197" t="s">
        <v>19</v>
      </c>
      <c r="I192" s="199"/>
      <c r="J192" s="195"/>
      <c r="K192" s="195"/>
      <c r="L192" s="200"/>
      <c r="M192" s="201"/>
      <c r="N192" s="202"/>
      <c r="O192" s="202"/>
      <c r="P192" s="202"/>
      <c r="Q192" s="202"/>
      <c r="R192" s="202"/>
      <c r="S192" s="202"/>
      <c r="T192" s="203"/>
      <c r="AT192" s="204" t="s">
        <v>388</v>
      </c>
      <c r="AU192" s="204" t="s">
        <v>82</v>
      </c>
      <c r="AV192" s="13" t="s">
        <v>79</v>
      </c>
      <c r="AW192" s="13" t="s">
        <v>33</v>
      </c>
      <c r="AX192" s="13" t="s">
        <v>72</v>
      </c>
      <c r="AY192" s="204" t="s">
        <v>380</v>
      </c>
    </row>
    <row r="193" spans="1:65" s="14" customFormat="1" ht="11.25">
      <c r="B193" s="205"/>
      <c r="C193" s="206"/>
      <c r="D193" s="196" t="s">
        <v>388</v>
      </c>
      <c r="E193" s="207" t="s">
        <v>19</v>
      </c>
      <c r="F193" s="208" t="s">
        <v>2929</v>
      </c>
      <c r="G193" s="206"/>
      <c r="H193" s="209">
        <v>26.565000000000001</v>
      </c>
      <c r="I193" s="210"/>
      <c r="J193" s="206"/>
      <c r="K193" s="206"/>
      <c r="L193" s="211"/>
      <c r="M193" s="212"/>
      <c r="N193" s="213"/>
      <c r="O193" s="213"/>
      <c r="P193" s="213"/>
      <c r="Q193" s="213"/>
      <c r="R193" s="213"/>
      <c r="S193" s="213"/>
      <c r="T193" s="214"/>
      <c r="AT193" s="215" t="s">
        <v>388</v>
      </c>
      <c r="AU193" s="215" t="s">
        <v>82</v>
      </c>
      <c r="AV193" s="14" t="s">
        <v>82</v>
      </c>
      <c r="AW193" s="14" t="s">
        <v>33</v>
      </c>
      <c r="AX193" s="14" t="s">
        <v>72</v>
      </c>
      <c r="AY193" s="215" t="s">
        <v>380</v>
      </c>
    </row>
    <row r="194" spans="1:65" s="15" customFormat="1" ht="11.25">
      <c r="B194" s="216"/>
      <c r="C194" s="217"/>
      <c r="D194" s="196" t="s">
        <v>388</v>
      </c>
      <c r="E194" s="218" t="s">
        <v>19</v>
      </c>
      <c r="F194" s="219" t="s">
        <v>2544</v>
      </c>
      <c r="G194" s="217"/>
      <c r="H194" s="220">
        <v>108.94</v>
      </c>
      <c r="I194" s="221"/>
      <c r="J194" s="217"/>
      <c r="K194" s="217"/>
      <c r="L194" s="222"/>
      <c r="M194" s="223"/>
      <c r="N194" s="224"/>
      <c r="O194" s="224"/>
      <c r="P194" s="224"/>
      <c r="Q194" s="224"/>
      <c r="R194" s="224"/>
      <c r="S194" s="224"/>
      <c r="T194" s="225"/>
      <c r="AT194" s="226" t="s">
        <v>388</v>
      </c>
      <c r="AU194" s="226" t="s">
        <v>82</v>
      </c>
      <c r="AV194" s="15" t="s">
        <v>386</v>
      </c>
      <c r="AW194" s="15" t="s">
        <v>33</v>
      </c>
      <c r="AX194" s="15" t="s">
        <v>79</v>
      </c>
      <c r="AY194" s="226" t="s">
        <v>380</v>
      </c>
    </row>
    <row r="195" spans="1:65" s="2" customFormat="1" ht="16.5" customHeight="1">
      <c r="A195" s="36"/>
      <c r="B195" s="37"/>
      <c r="C195" s="181" t="s">
        <v>525</v>
      </c>
      <c r="D195" s="181" t="s">
        <v>382</v>
      </c>
      <c r="E195" s="182" t="s">
        <v>2930</v>
      </c>
      <c r="F195" s="183" t="s">
        <v>2931</v>
      </c>
      <c r="G195" s="184" t="s">
        <v>452</v>
      </c>
      <c r="H195" s="185">
        <v>9.89</v>
      </c>
      <c r="I195" s="186"/>
      <c r="J195" s="187">
        <f>ROUND(I195*H195,2)</f>
        <v>0</v>
      </c>
      <c r="K195" s="183" t="s">
        <v>19</v>
      </c>
      <c r="L195" s="41"/>
      <c r="M195" s="188" t="s">
        <v>19</v>
      </c>
      <c r="N195" s="189" t="s">
        <v>43</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281</v>
      </c>
      <c r="AT195" s="192" t="s">
        <v>382</v>
      </c>
      <c r="AU195" s="192" t="s">
        <v>82</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281</v>
      </c>
      <c r="BM195" s="192" t="s">
        <v>733</v>
      </c>
    </row>
    <row r="196" spans="1:65" s="14" customFormat="1" ht="11.25">
      <c r="B196" s="205"/>
      <c r="C196" s="206"/>
      <c r="D196" s="196" t="s">
        <v>388</v>
      </c>
      <c r="E196" s="207" t="s">
        <v>19</v>
      </c>
      <c r="F196" s="208" t="s">
        <v>2932</v>
      </c>
      <c r="G196" s="206"/>
      <c r="H196" s="209">
        <v>9.89</v>
      </c>
      <c r="I196" s="210"/>
      <c r="J196" s="206"/>
      <c r="K196" s="206"/>
      <c r="L196" s="211"/>
      <c r="M196" s="212"/>
      <c r="N196" s="213"/>
      <c r="O196" s="213"/>
      <c r="P196" s="213"/>
      <c r="Q196" s="213"/>
      <c r="R196" s="213"/>
      <c r="S196" s="213"/>
      <c r="T196" s="214"/>
      <c r="AT196" s="215" t="s">
        <v>388</v>
      </c>
      <c r="AU196" s="215" t="s">
        <v>82</v>
      </c>
      <c r="AV196" s="14" t="s">
        <v>82</v>
      </c>
      <c r="AW196" s="14" t="s">
        <v>33</v>
      </c>
      <c r="AX196" s="14" t="s">
        <v>72</v>
      </c>
      <c r="AY196" s="215" t="s">
        <v>380</v>
      </c>
    </row>
    <row r="197" spans="1:65" s="15" customFormat="1" ht="11.25">
      <c r="B197" s="216"/>
      <c r="C197" s="217"/>
      <c r="D197" s="196" t="s">
        <v>388</v>
      </c>
      <c r="E197" s="218" t="s">
        <v>19</v>
      </c>
      <c r="F197" s="219" t="s">
        <v>419</v>
      </c>
      <c r="G197" s="217"/>
      <c r="H197" s="220">
        <v>9.89</v>
      </c>
      <c r="I197" s="221"/>
      <c r="J197" s="217"/>
      <c r="K197" s="217"/>
      <c r="L197" s="222"/>
      <c r="M197" s="223"/>
      <c r="N197" s="224"/>
      <c r="O197" s="224"/>
      <c r="P197" s="224"/>
      <c r="Q197" s="224"/>
      <c r="R197" s="224"/>
      <c r="S197" s="224"/>
      <c r="T197" s="225"/>
      <c r="AT197" s="226" t="s">
        <v>388</v>
      </c>
      <c r="AU197" s="226" t="s">
        <v>82</v>
      </c>
      <c r="AV197" s="15" t="s">
        <v>386</v>
      </c>
      <c r="AW197" s="15" t="s">
        <v>33</v>
      </c>
      <c r="AX197" s="15" t="s">
        <v>79</v>
      </c>
      <c r="AY197" s="226" t="s">
        <v>380</v>
      </c>
    </row>
    <row r="198" spans="1:65" s="2" customFormat="1" ht="16.5" customHeight="1">
      <c r="A198" s="36"/>
      <c r="B198" s="37"/>
      <c r="C198" s="181" t="s">
        <v>529</v>
      </c>
      <c r="D198" s="181" t="s">
        <v>382</v>
      </c>
      <c r="E198" s="182" t="s">
        <v>2933</v>
      </c>
      <c r="F198" s="183" t="s">
        <v>2934</v>
      </c>
      <c r="G198" s="184" t="s">
        <v>452</v>
      </c>
      <c r="H198" s="185">
        <v>17.71</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281</v>
      </c>
      <c r="AT198" s="192" t="s">
        <v>382</v>
      </c>
      <c r="AU198" s="192" t="s">
        <v>82</v>
      </c>
      <c r="AY198" s="19" t="s">
        <v>380</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281</v>
      </c>
      <c r="BM198" s="192" t="s">
        <v>753</v>
      </c>
    </row>
    <row r="199" spans="1:65" s="13" customFormat="1" ht="11.25">
      <c r="B199" s="194"/>
      <c r="C199" s="195"/>
      <c r="D199" s="196" t="s">
        <v>388</v>
      </c>
      <c r="E199" s="197" t="s">
        <v>19</v>
      </c>
      <c r="F199" s="198" t="s">
        <v>2935</v>
      </c>
      <c r="G199" s="195"/>
      <c r="H199" s="197" t="s">
        <v>19</v>
      </c>
      <c r="I199" s="199"/>
      <c r="J199" s="195"/>
      <c r="K199" s="195"/>
      <c r="L199" s="200"/>
      <c r="M199" s="201"/>
      <c r="N199" s="202"/>
      <c r="O199" s="202"/>
      <c r="P199" s="202"/>
      <c r="Q199" s="202"/>
      <c r="R199" s="202"/>
      <c r="S199" s="202"/>
      <c r="T199" s="203"/>
      <c r="AT199" s="204" t="s">
        <v>388</v>
      </c>
      <c r="AU199" s="204" t="s">
        <v>82</v>
      </c>
      <c r="AV199" s="13" t="s">
        <v>79</v>
      </c>
      <c r="AW199" s="13" t="s">
        <v>33</v>
      </c>
      <c r="AX199" s="13" t="s">
        <v>72</v>
      </c>
      <c r="AY199" s="204" t="s">
        <v>380</v>
      </c>
    </row>
    <row r="200" spans="1:65" s="14" customFormat="1" ht="11.25">
      <c r="B200" s="205"/>
      <c r="C200" s="206"/>
      <c r="D200" s="196" t="s">
        <v>388</v>
      </c>
      <c r="E200" s="207" t="s">
        <v>19</v>
      </c>
      <c r="F200" s="208" t="s">
        <v>2936</v>
      </c>
      <c r="G200" s="206"/>
      <c r="H200" s="209">
        <v>17.71</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5" customFormat="1" ht="11.25">
      <c r="B201" s="216"/>
      <c r="C201" s="217"/>
      <c r="D201" s="196" t="s">
        <v>388</v>
      </c>
      <c r="E201" s="218" t="s">
        <v>19</v>
      </c>
      <c r="F201" s="219" t="s">
        <v>419</v>
      </c>
      <c r="G201" s="217"/>
      <c r="H201" s="220">
        <v>17.71</v>
      </c>
      <c r="I201" s="221"/>
      <c r="J201" s="217"/>
      <c r="K201" s="217"/>
      <c r="L201" s="222"/>
      <c r="M201" s="223"/>
      <c r="N201" s="224"/>
      <c r="O201" s="224"/>
      <c r="P201" s="224"/>
      <c r="Q201" s="224"/>
      <c r="R201" s="224"/>
      <c r="S201" s="224"/>
      <c r="T201" s="225"/>
      <c r="AT201" s="226" t="s">
        <v>388</v>
      </c>
      <c r="AU201" s="226" t="s">
        <v>82</v>
      </c>
      <c r="AV201" s="15" t="s">
        <v>386</v>
      </c>
      <c r="AW201" s="15" t="s">
        <v>33</v>
      </c>
      <c r="AX201" s="15" t="s">
        <v>79</v>
      </c>
      <c r="AY201" s="226" t="s">
        <v>380</v>
      </c>
    </row>
    <row r="202" spans="1:65" s="2" customFormat="1" ht="16.5" customHeight="1">
      <c r="A202" s="36"/>
      <c r="B202" s="37"/>
      <c r="C202" s="181" t="s">
        <v>534</v>
      </c>
      <c r="D202" s="181" t="s">
        <v>382</v>
      </c>
      <c r="E202" s="182" t="s">
        <v>2937</v>
      </c>
      <c r="F202" s="183" t="s">
        <v>2938</v>
      </c>
      <c r="G202" s="184" t="s">
        <v>452</v>
      </c>
      <c r="H202" s="185">
        <v>26.105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281</v>
      </c>
      <c r="AT202" s="192" t="s">
        <v>382</v>
      </c>
      <c r="AU202" s="192" t="s">
        <v>82</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281</v>
      </c>
      <c r="BM202" s="192" t="s">
        <v>767</v>
      </c>
    </row>
    <row r="203" spans="1:65" s="13" customFormat="1" ht="11.25">
      <c r="B203" s="194"/>
      <c r="C203" s="195"/>
      <c r="D203" s="196" t="s">
        <v>388</v>
      </c>
      <c r="E203" s="197" t="s">
        <v>19</v>
      </c>
      <c r="F203" s="198" t="s">
        <v>2939</v>
      </c>
      <c r="G203" s="195"/>
      <c r="H203" s="197" t="s">
        <v>19</v>
      </c>
      <c r="I203" s="199"/>
      <c r="J203" s="195"/>
      <c r="K203" s="195"/>
      <c r="L203" s="200"/>
      <c r="M203" s="201"/>
      <c r="N203" s="202"/>
      <c r="O203" s="202"/>
      <c r="P203" s="202"/>
      <c r="Q203" s="202"/>
      <c r="R203" s="202"/>
      <c r="S203" s="202"/>
      <c r="T203" s="203"/>
      <c r="AT203" s="204" t="s">
        <v>388</v>
      </c>
      <c r="AU203" s="204" t="s">
        <v>82</v>
      </c>
      <c r="AV203" s="13" t="s">
        <v>79</v>
      </c>
      <c r="AW203" s="13" t="s">
        <v>33</v>
      </c>
      <c r="AX203" s="13" t="s">
        <v>72</v>
      </c>
      <c r="AY203" s="204" t="s">
        <v>380</v>
      </c>
    </row>
    <row r="204" spans="1:65" s="14" customFormat="1" ht="11.25">
      <c r="B204" s="205"/>
      <c r="C204" s="206"/>
      <c r="D204" s="196" t="s">
        <v>388</v>
      </c>
      <c r="E204" s="207" t="s">
        <v>19</v>
      </c>
      <c r="F204" s="208" t="s">
        <v>2940</v>
      </c>
      <c r="G204" s="206"/>
      <c r="H204" s="209">
        <v>26.105</v>
      </c>
      <c r="I204" s="210"/>
      <c r="J204" s="206"/>
      <c r="K204" s="206"/>
      <c r="L204" s="211"/>
      <c r="M204" s="212"/>
      <c r="N204" s="213"/>
      <c r="O204" s="213"/>
      <c r="P204" s="213"/>
      <c r="Q204" s="213"/>
      <c r="R204" s="213"/>
      <c r="S204" s="213"/>
      <c r="T204" s="214"/>
      <c r="AT204" s="215" t="s">
        <v>388</v>
      </c>
      <c r="AU204" s="215" t="s">
        <v>82</v>
      </c>
      <c r="AV204" s="14" t="s">
        <v>82</v>
      </c>
      <c r="AW204" s="14" t="s">
        <v>33</v>
      </c>
      <c r="AX204" s="14" t="s">
        <v>72</v>
      </c>
      <c r="AY204" s="215" t="s">
        <v>380</v>
      </c>
    </row>
    <row r="205" spans="1:65" s="15" customFormat="1" ht="11.25">
      <c r="B205" s="216"/>
      <c r="C205" s="217"/>
      <c r="D205" s="196" t="s">
        <v>388</v>
      </c>
      <c r="E205" s="218" t="s">
        <v>19</v>
      </c>
      <c r="F205" s="219" t="s">
        <v>419</v>
      </c>
      <c r="G205" s="217"/>
      <c r="H205" s="220">
        <v>26.105</v>
      </c>
      <c r="I205" s="221"/>
      <c r="J205" s="217"/>
      <c r="K205" s="217"/>
      <c r="L205" s="222"/>
      <c r="M205" s="223"/>
      <c r="N205" s="224"/>
      <c r="O205" s="224"/>
      <c r="P205" s="224"/>
      <c r="Q205" s="224"/>
      <c r="R205" s="224"/>
      <c r="S205" s="224"/>
      <c r="T205" s="225"/>
      <c r="AT205" s="226" t="s">
        <v>388</v>
      </c>
      <c r="AU205" s="226" t="s">
        <v>82</v>
      </c>
      <c r="AV205" s="15" t="s">
        <v>386</v>
      </c>
      <c r="AW205" s="15" t="s">
        <v>33</v>
      </c>
      <c r="AX205" s="15" t="s">
        <v>79</v>
      </c>
      <c r="AY205" s="226" t="s">
        <v>380</v>
      </c>
    </row>
    <row r="206" spans="1:65" s="2" customFormat="1" ht="16.5" customHeight="1">
      <c r="A206" s="36"/>
      <c r="B206" s="37"/>
      <c r="C206" s="181" t="s">
        <v>540</v>
      </c>
      <c r="D206" s="181" t="s">
        <v>382</v>
      </c>
      <c r="E206" s="182" t="s">
        <v>2941</v>
      </c>
      <c r="F206" s="183" t="s">
        <v>2942</v>
      </c>
      <c r="G206" s="184" t="s">
        <v>452</v>
      </c>
      <c r="H206" s="185">
        <v>44.39</v>
      </c>
      <c r="I206" s="186"/>
      <c r="J206" s="187">
        <f>ROUND(I206*H206,2)</f>
        <v>0</v>
      </c>
      <c r="K206" s="183" t="s">
        <v>19</v>
      </c>
      <c r="L206" s="41"/>
      <c r="M206" s="188" t="s">
        <v>19</v>
      </c>
      <c r="N206" s="189" t="s">
        <v>43</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281</v>
      </c>
      <c r="AT206" s="192" t="s">
        <v>382</v>
      </c>
      <c r="AU206" s="192" t="s">
        <v>82</v>
      </c>
      <c r="AY206" s="19" t="s">
        <v>380</v>
      </c>
      <c r="BE206" s="193">
        <f>IF(N206="základní",J206,0)</f>
        <v>0</v>
      </c>
      <c r="BF206" s="193">
        <f>IF(N206="snížená",J206,0)</f>
        <v>0</v>
      </c>
      <c r="BG206" s="193">
        <f>IF(N206="zákl. přenesená",J206,0)</f>
        <v>0</v>
      </c>
      <c r="BH206" s="193">
        <f>IF(N206="sníž. přenesená",J206,0)</f>
        <v>0</v>
      </c>
      <c r="BI206" s="193">
        <f>IF(N206="nulová",J206,0)</f>
        <v>0</v>
      </c>
      <c r="BJ206" s="19" t="s">
        <v>79</v>
      </c>
      <c r="BK206" s="193">
        <f>ROUND(I206*H206,2)</f>
        <v>0</v>
      </c>
      <c r="BL206" s="19" t="s">
        <v>281</v>
      </c>
      <c r="BM206" s="192" t="s">
        <v>776</v>
      </c>
    </row>
    <row r="207" spans="1:65" s="13" customFormat="1" ht="11.25">
      <c r="B207" s="194"/>
      <c r="C207" s="195"/>
      <c r="D207" s="196" t="s">
        <v>388</v>
      </c>
      <c r="E207" s="197" t="s">
        <v>19</v>
      </c>
      <c r="F207" s="198" t="s">
        <v>2939</v>
      </c>
      <c r="G207" s="195"/>
      <c r="H207" s="197" t="s">
        <v>19</v>
      </c>
      <c r="I207" s="199"/>
      <c r="J207" s="195"/>
      <c r="K207" s="195"/>
      <c r="L207" s="200"/>
      <c r="M207" s="201"/>
      <c r="N207" s="202"/>
      <c r="O207" s="202"/>
      <c r="P207" s="202"/>
      <c r="Q207" s="202"/>
      <c r="R207" s="202"/>
      <c r="S207" s="202"/>
      <c r="T207" s="203"/>
      <c r="AT207" s="204" t="s">
        <v>388</v>
      </c>
      <c r="AU207" s="204" t="s">
        <v>82</v>
      </c>
      <c r="AV207" s="13" t="s">
        <v>79</v>
      </c>
      <c r="AW207" s="13" t="s">
        <v>33</v>
      </c>
      <c r="AX207" s="13" t="s">
        <v>72</v>
      </c>
      <c r="AY207" s="204" t="s">
        <v>380</v>
      </c>
    </row>
    <row r="208" spans="1:65" s="14" customFormat="1" ht="11.25">
      <c r="B208" s="205"/>
      <c r="C208" s="206"/>
      <c r="D208" s="196" t="s">
        <v>388</v>
      </c>
      <c r="E208" s="207" t="s">
        <v>19</v>
      </c>
      <c r="F208" s="208" t="s">
        <v>2943</v>
      </c>
      <c r="G208" s="206"/>
      <c r="H208" s="209">
        <v>44.39</v>
      </c>
      <c r="I208" s="210"/>
      <c r="J208" s="206"/>
      <c r="K208" s="206"/>
      <c r="L208" s="211"/>
      <c r="M208" s="212"/>
      <c r="N208" s="213"/>
      <c r="O208" s="213"/>
      <c r="P208" s="213"/>
      <c r="Q208" s="213"/>
      <c r="R208" s="213"/>
      <c r="S208" s="213"/>
      <c r="T208" s="214"/>
      <c r="AT208" s="215" t="s">
        <v>388</v>
      </c>
      <c r="AU208" s="215" t="s">
        <v>82</v>
      </c>
      <c r="AV208" s="14" t="s">
        <v>82</v>
      </c>
      <c r="AW208" s="14" t="s">
        <v>33</v>
      </c>
      <c r="AX208" s="14" t="s">
        <v>72</v>
      </c>
      <c r="AY208" s="215" t="s">
        <v>380</v>
      </c>
    </row>
    <row r="209" spans="1:65" s="15" customFormat="1" ht="11.25">
      <c r="B209" s="216"/>
      <c r="C209" s="217"/>
      <c r="D209" s="196" t="s">
        <v>388</v>
      </c>
      <c r="E209" s="218" t="s">
        <v>19</v>
      </c>
      <c r="F209" s="219" t="s">
        <v>419</v>
      </c>
      <c r="G209" s="217"/>
      <c r="H209" s="220">
        <v>44.39</v>
      </c>
      <c r="I209" s="221"/>
      <c r="J209" s="217"/>
      <c r="K209" s="217"/>
      <c r="L209" s="222"/>
      <c r="M209" s="223"/>
      <c r="N209" s="224"/>
      <c r="O209" s="224"/>
      <c r="P209" s="224"/>
      <c r="Q209" s="224"/>
      <c r="R209" s="224"/>
      <c r="S209" s="224"/>
      <c r="T209" s="225"/>
      <c r="AT209" s="226" t="s">
        <v>388</v>
      </c>
      <c r="AU209" s="226" t="s">
        <v>82</v>
      </c>
      <c r="AV209" s="15" t="s">
        <v>386</v>
      </c>
      <c r="AW209" s="15" t="s">
        <v>33</v>
      </c>
      <c r="AX209" s="15" t="s">
        <v>79</v>
      </c>
      <c r="AY209" s="226" t="s">
        <v>380</v>
      </c>
    </row>
    <row r="210" spans="1:65" s="2" customFormat="1" ht="16.5" customHeight="1">
      <c r="A210" s="36"/>
      <c r="B210" s="37"/>
      <c r="C210" s="181" t="s">
        <v>546</v>
      </c>
      <c r="D210" s="181" t="s">
        <v>382</v>
      </c>
      <c r="E210" s="182" t="s">
        <v>2944</v>
      </c>
      <c r="F210" s="183" t="s">
        <v>2945</v>
      </c>
      <c r="G210" s="184" t="s">
        <v>452</v>
      </c>
      <c r="H210" s="185">
        <v>26.45</v>
      </c>
      <c r="I210" s="186"/>
      <c r="J210" s="187">
        <f>ROUND(I210*H210,2)</f>
        <v>0</v>
      </c>
      <c r="K210" s="183" t="s">
        <v>19</v>
      </c>
      <c r="L210" s="41"/>
      <c r="M210" s="188" t="s">
        <v>19</v>
      </c>
      <c r="N210" s="189" t="s">
        <v>43</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281</v>
      </c>
      <c r="AT210" s="192" t="s">
        <v>382</v>
      </c>
      <c r="AU210" s="192" t="s">
        <v>82</v>
      </c>
      <c r="AY210" s="19" t="s">
        <v>380</v>
      </c>
      <c r="BE210" s="193">
        <f>IF(N210="základní",J210,0)</f>
        <v>0</v>
      </c>
      <c r="BF210" s="193">
        <f>IF(N210="snížená",J210,0)</f>
        <v>0</v>
      </c>
      <c r="BG210" s="193">
        <f>IF(N210="zákl. přenesená",J210,0)</f>
        <v>0</v>
      </c>
      <c r="BH210" s="193">
        <f>IF(N210="sníž. přenesená",J210,0)</f>
        <v>0</v>
      </c>
      <c r="BI210" s="193">
        <f>IF(N210="nulová",J210,0)</f>
        <v>0</v>
      </c>
      <c r="BJ210" s="19" t="s">
        <v>79</v>
      </c>
      <c r="BK210" s="193">
        <f>ROUND(I210*H210,2)</f>
        <v>0</v>
      </c>
      <c r="BL210" s="19" t="s">
        <v>281</v>
      </c>
      <c r="BM210" s="192" t="s">
        <v>787</v>
      </c>
    </row>
    <row r="211" spans="1:65" s="13" customFormat="1" ht="11.25">
      <c r="B211" s="194"/>
      <c r="C211" s="195"/>
      <c r="D211" s="196" t="s">
        <v>388</v>
      </c>
      <c r="E211" s="197" t="s">
        <v>19</v>
      </c>
      <c r="F211" s="198" t="s">
        <v>2939</v>
      </c>
      <c r="G211" s="195"/>
      <c r="H211" s="197" t="s">
        <v>19</v>
      </c>
      <c r="I211" s="199"/>
      <c r="J211" s="195"/>
      <c r="K211" s="195"/>
      <c r="L211" s="200"/>
      <c r="M211" s="201"/>
      <c r="N211" s="202"/>
      <c r="O211" s="202"/>
      <c r="P211" s="202"/>
      <c r="Q211" s="202"/>
      <c r="R211" s="202"/>
      <c r="S211" s="202"/>
      <c r="T211" s="203"/>
      <c r="AT211" s="204" t="s">
        <v>388</v>
      </c>
      <c r="AU211" s="204" t="s">
        <v>82</v>
      </c>
      <c r="AV211" s="13" t="s">
        <v>79</v>
      </c>
      <c r="AW211" s="13" t="s">
        <v>33</v>
      </c>
      <c r="AX211" s="13" t="s">
        <v>72</v>
      </c>
      <c r="AY211" s="204" t="s">
        <v>380</v>
      </c>
    </row>
    <row r="212" spans="1:65" s="14" customFormat="1" ht="11.25">
      <c r="B212" s="205"/>
      <c r="C212" s="206"/>
      <c r="D212" s="196" t="s">
        <v>388</v>
      </c>
      <c r="E212" s="207" t="s">
        <v>19</v>
      </c>
      <c r="F212" s="208" t="s">
        <v>2946</v>
      </c>
      <c r="G212" s="206"/>
      <c r="H212" s="209">
        <v>26.45</v>
      </c>
      <c r="I212" s="210"/>
      <c r="J212" s="206"/>
      <c r="K212" s="206"/>
      <c r="L212" s="211"/>
      <c r="M212" s="212"/>
      <c r="N212" s="213"/>
      <c r="O212" s="213"/>
      <c r="P212" s="213"/>
      <c r="Q212" s="213"/>
      <c r="R212" s="213"/>
      <c r="S212" s="213"/>
      <c r="T212" s="214"/>
      <c r="AT212" s="215" t="s">
        <v>388</v>
      </c>
      <c r="AU212" s="215" t="s">
        <v>82</v>
      </c>
      <c r="AV212" s="14" t="s">
        <v>82</v>
      </c>
      <c r="AW212" s="14" t="s">
        <v>33</v>
      </c>
      <c r="AX212" s="14" t="s">
        <v>72</v>
      </c>
      <c r="AY212" s="215" t="s">
        <v>380</v>
      </c>
    </row>
    <row r="213" spans="1:65" s="15" customFormat="1" ht="11.25">
      <c r="B213" s="216"/>
      <c r="C213" s="217"/>
      <c r="D213" s="196" t="s">
        <v>388</v>
      </c>
      <c r="E213" s="218" t="s">
        <v>19</v>
      </c>
      <c r="F213" s="219" t="s">
        <v>419</v>
      </c>
      <c r="G213" s="217"/>
      <c r="H213" s="220">
        <v>26.45</v>
      </c>
      <c r="I213" s="221"/>
      <c r="J213" s="217"/>
      <c r="K213" s="217"/>
      <c r="L213" s="222"/>
      <c r="M213" s="223"/>
      <c r="N213" s="224"/>
      <c r="O213" s="224"/>
      <c r="P213" s="224"/>
      <c r="Q213" s="224"/>
      <c r="R213" s="224"/>
      <c r="S213" s="224"/>
      <c r="T213" s="225"/>
      <c r="AT213" s="226" t="s">
        <v>388</v>
      </c>
      <c r="AU213" s="226" t="s">
        <v>82</v>
      </c>
      <c r="AV213" s="15" t="s">
        <v>386</v>
      </c>
      <c r="AW213" s="15" t="s">
        <v>33</v>
      </c>
      <c r="AX213" s="15" t="s">
        <v>79</v>
      </c>
      <c r="AY213" s="226" t="s">
        <v>380</v>
      </c>
    </row>
    <row r="214" spans="1:65" s="2" customFormat="1" ht="16.5" customHeight="1">
      <c r="A214" s="36"/>
      <c r="B214" s="37"/>
      <c r="C214" s="181" t="s">
        <v>552</v>
      </c>
      <c r="D214" s="181" t="s">
        <v>382</v>
      </c>
      <c r="E214" s="182" t="s">
        <v>2947</v>
      </c>
      <c r="F214" s="183" t="s">
        <v>2948</v>
      </c>
      <c r="G214" s="184" t="s">
        <v>452</v>
      </c>
      <c r="H214" s="185">
        <v>32.43</v>
      </c>
      <c r="I214" s="186"/>
      <c r="J214" s="187">
        <f>ROUND(I214*H214,2)</f>
        <v>0</v>
      </c>
      <c r="K214" s="183" t="s">
        <v>19</v>
      </c>
      <c r="L214" s="41"/>
      <c r="M214" s="188" t="s">
        <v>19</v>
      </c>
      <c r="N214" s="189" t="s">
        <v>43</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281</v>
      </c>
      <c r="AT214" s="192" t="s">
        <v>382</v>
      </c>
      <c r="AU214" s="192" t="s">
        <v>82</v>
      </c>
      <c r="AY214" s="19" t="s">
        <v>380</v>
      </c>
      <c r="BE214" s="193">
        <f>IF(N214="základní",J214,0)</f>
        <v>0</v>
      </c>
      <c r="BF214" s="193">
        <f>IF(N214="snížená",J214,0)</f>
        <v>0</v>
      </c>
      <c r="BG214" s="193">
        <f>IF(N214="zákl. přenesená",J214,0)</f>
        <v>0</v>
      </c>
      <c r="BH214" s="193">
        <f>IF(N214="sníž. přenesená",J214,0)</f>
        <v>0</v>
      </c>
      <c r="BI214" s="193">
        <f>IF(N214="nulová",J214,0)</f>
        <v>0</v>
      </c>
      <c r="BJ214" s="19" t="s">
        <v>79</v>
      </c>
      <c r="BK214" s="193">
        <f>ROUND(I214*H214,2)</f>
        <v>0</v>
      </c>
      <c r="BL214" s="19" t="s">
        <v>281</v>
      </c>
      <c r="BM214" s="192" t="s">
        <v>795</v>
      </c>
    </row>
    <row r="215" spans="1:65" s="13" customFormat="1" ht="11.25">
      <c r="B215" s="194"/>
      <c r="C215" s="195"/>
      <c r="D215" s="196" t="s">
        <v>388</v>
      </c>
      <c r="E215" s="197" t="s">
        <v>19</v>
      </c>
      <c r="F215" s="198" t="s">
        <v>2893</v>
      </c>
      <c r="G215" s="195"/>
      <c r="H215" s="197" t="s">
        <v>19</v>
      </c>
      <c r="I215" s="199"/>
      <c r="J215" s="195"/>
      <c r="K215" s="195"/>
      <c r="L215" s="200"/>
      <c r="M215" s="201"/>
      <c r="N215" s="202"/>
      <c r="O215" s="202"/>
      <c r="P215" s="202"/>
      <c r="Q215" s="202"/>
      <c r="R215" s="202"/>
      <c r="S215" s="202"/>
      <c r="T215" s="203"/>
      <c r="AT215" s="204" t="s">
        <v>388</v>
      </c>
      <c r="AU215" s="204" t="s">
        <v>82</v>
      </c>
      <c r="AV215" s="13" t="s">
        <v>79</v>
      </c>
      <c r="AW215" s="13" t="s">
        <v>33</v>
      </c>
      <c r="AX215" s="13" t="s">
        <v>72</v>
      </c>
      <c r="AY215" s="204" t="s">
        <v>380</v>
      </c>
    </row>
    <row r="216" spans="1:65" s="14" customFormat="1" ht="11.25">
      <c r="B216" s="205"/>
      <c r="C216" s="206"/>
      <c r="D216" s="196" t="s">
        <v>388</v>
      </c>
      <c r="E216" s="207" t="s">
        <v>19</v>
      </c>
      <c r="F216" s="208" t="s">
        <v>2949</v>
      </c>
      <c r="G216" s="206"/>
      <c r="H216" s="209">
        <v>32.43</v>
      </c>
      <c r="I216" s="210"/>
      <c r="J216" s="206"/>
      <c r="K216" s="206"/>
      <c r="L216" s="211"/>
      <c r="M216" s="212"/>
      <c r="N216" s="213"/>
      <c r="O216" s="213"/>
      <c r="P216" s="213"/>
      <c r="Q216" s="213"/>
      <c r="R216" s="213"/>
      <c r="S216" s="213"/>
      <c r="T216" s="214"/>
      <c r="AT216" s="215" t="s">
        <v>388</v>
      </c>
      <c r="AU216" s="215" t="s">
        <v>82</v>
      </c>
      <c r="AV216" s="14" t="s">
        <v>82</v>
      </c>
      <c r="AW216" s="14" t="s">
        <v>33</v>
      </c>
      <c r="AX216" s="14" t="s">
        <v>72</v>
      </c>
      <c r="AY216" s="215" t="s">
        <v>380</v>
      </c>
    </row>
    <row r="217" spans="1:65" s="15" customFormat="1" ht="11.25">
      <c r="B217" s="216"/>
      <c r="C217" s="217"/>
      <c r="D217" s="196" t="s">
        <v>388</v>
      </c>
      <c r="E217" s="218" t="s">
        <v>19</v>
      </c>
      <c r="F217" s="219" t="s">
        <v>419</v>
      </c>
      <c r="G217" s="217"/>
      <c r="H217" s="220">
        <v>32.43</v>
      </c>
      <c r="I217" s="221"/>
      <c r="J217" s="217"/>
      <c r="K217" s="217"/>
      <c r="L217" s="222"/>
      <c r="M217" s="223"/>
      <c r="N217" s="224"/>
      <c r="O217" s="224"/>
      <c r="P217" s="224"/>
      <c r="Q217" s="224"/>
      <c r="R217" s="224"/>
      <c r="S217" s="224"/>
      <c r="T217" s="225"/>
      <c r="AT217" s="226" t="s">
        <v>388</v>
      </c>
      <c r="AU217" s="226" t="s">
        <v>82</v>
      </c>
      <c r="AV217" s="15" t="s">
        <v>386</v>
      </c>
      <c r="AW217" s="15" t="s">
        <v>33</v>
      </c>
      <c r="AX217" s="15" t="s">
        <v>79</v>
      </c>
      <c r="AY217" s="226" t="s">
        <v>380</v>
      </c>
    </row>
    <row r="218" spans="1:65" s="2" customFormat="1" ht="16.5" customHeight="1">
      <c r="A218" s="36"/>
      <c r="B218" s="37"/>
      <c r="C218" s="181" t="s">
        <v>556</v>
      </c>
      <c r="D218" s="181" t="s">
        <v>382</v>
      </c>
      <c r="E218" s="182" t="s">
        <v>2950</v>
      </c>
      <c r="F218" s="183" t="s">
        <v>2951</v>
      </c>
      <c r="G218" s="184" t="s">
        <v>452</v>
      </c>
      <c r="H218" s="185">
        <v>25.3</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281</v>
      </c>
      <c r="AT218" s="192" t="s">
        <v>382</v>
      </c>
      <c r="AU218" s="192" t="s">
        <v>82</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281</v>
      </c>
      <c r="BM218" s="192" t="s">
        <v>804</v>
      </c>
    </row>
    <row r="219" spans="1:65" s="13" customFormat="1" ht="11.25">
      <c r="B219" s="194"/>
      <c r="C219" s="195"/>
      <c r="D219" s="196" t="s">
        <v>388</v>
      </c>
      <c r="E219" s="197" t="s">
        <v>19</v>
      </c>
      <c r="F219" s="198" t="s">
        <v>2893</v>
      </c>
      <c r="G219" s="195"/>
      <c r="H219" s="197" t="s">
        <v>19</v>
      </c>
      <c r="I219" s="199"/>
      <c r="J219" s="195"/>
      <c r="K219" s="195"/>
      <c r="L219" s="200"/>
      <c r="M219" s="201"/>
      <c r="N219" s="202"/>
      <c r="O219" s="202"/>
      <c r="P219" s="202"/>
      <c r="Q219" s="202"/>
      <c r="R219" s="202"/>
      <c r="S219" s="202"/>
      <c r="T219" s="203"/>
      <c r="AT219" s="204" t="s">
        <v>388</v>
      </c>
      <c r="AU219" s="204" t="s">
        <v>82</v>
      </c>
      <c r="AV219" s="13" t="s">
        <v>79</v>
      </c>
      <c r="AW219" s="13" t="s">
        <v>33</v>
      </c>
      <c r="AX219" s="13" t="s">
        <v>72</v>
      </c>
      <c r="AY219" s="204" t="s">
        <v>380</v>
      </c>
    </row>
    <row r="220" spans="1:65" s="14" customFormat="1" ht="11.25">
      <c r="B220" s="205"/>
      <c r="C220" s="206"/>
      <c r="D220" s="196" t="s">
        <v>388</v>
      </c>
      <c r="E220" s="207" t="s">
        <v>19</v>
      </c>
      <c r="F220" s="208" t="s">
        <v>2952</v>
      </c>
      <c r="G220" s="206"/>
      <c r="H220" s="209">
        <v>25.3</v>
      </c>
      <c r="I220" s="210"/>
      <c r="J220" s="206"/>
      <c r="K220" s="206"/>
      <c r="L220" s="211"/>
      <c r="M220" s="212"/>
      <c r="N220" s="213"/>
      <c r="O220" s="213"/>
      <c r="P220" s="213"/>
      <c r="Q220" s="213"/>
      <c r="R220" s="213"/>
      <c r="S220" s="213"/>
      <c r="T220" s="214"/>
      <c r="AT220" s="215" t="s">
        <v>388</v>
      </c>
      <c r="AU220" s="215" t="s">
        <v>82</v>
      </c>
      <c r="AV220" s="14" t="s">
        <v>82</v>
      </c>
      <c r="AW220" s="14" t="s">
        <v>33</v>
      </c>
      <c r="AX220" s="14" t="s">
        <v>72</v>
      </c>
      <c r="AY220" s="215" t="s">
        <v>380</v>
      </c>
    </row>
    <row r="221" spans="1:65" s="15" customFormat="1" ht="11.25">
      <c r="B221" s="216"/>
      <c r="C221" s="217"/>
      <c r="D221" s="196" t="s">
        <v>388</v>
      </c>
      <c r="E221" s="218" t="s">
        <v>19</v>
      </c>
      <c r="F221" s="219" t="s">
        <v>419</v>
      </c>
      <c r="G221" s="217"/>
      <c r="H221" s="220">
        <v>25.3</v>
      </c>
      <c r="I221" s="221"/>
      <c r="J221" s="217"/>
      <c r="K221" s="217"/>
      <c r="L221" s="222"/>
      <c r="M221" s="223"/>
      <c r="N221" s="224"/>
      <c r="O221" s="224"/>
      <c r="P221" s="224"/>
      <c r="Q221" s="224"/>
      <c r="R221" s="224"/>
      <c r="S221" s="224"/>
      <c r="T221" s="225"/>
      <c r="AT221" s="226" t="s">
        <v>388</v>
      </c>
      <c r="AU221" s="226" t="s">
        <v>82</v>
      </c>
      <c r="AV221" s="15" t="s">
        <v>386</v>
      </c>
      <c r="AW221" s="15" t="s">
        <v>33</v>
      </c>
      <c r="AX221" s="15" t="s">
        <v>79</v>
      </c>
      <c r="AY221" s="226" t="s">
        <v>380</v>
      </c>
    </row>
    <row r="222" spans="1:65" s="2" customFormat="1" ht="16.5" customHeight="1">
      <c r="A222" s="36"/>
      <c r="B222" s="37"/>
      <c r="C222" s="181" t="s">
        <v>565</v>
      </c>
      <c r="D222" s="181" t="s">
        <v>382</v>
      </c>
      <c r="E222" s="182" t="s">
        <v>2953</v>
      </c>
      <c r="F222" s="183" t="s">
        <v>2954</v>
      </c>
      <c r="G222" s="184" t="s">
        <v>641</v>
      </c>
      <c r="H222" s="185">
        <v>44</v>
      </c>
      <c r="I222" s="186"/>
      <c r="J222" s="187">
        <f>ROUND(I222*H222,2)</f>
        <v>0</v>
      </c>
      <c r="K222" s="183" t="s">
        <v>19</v>
      </c>
      <c r="L222" s="41"/>
      <c r="M222" s="188" t="s">
        <v>19</v>
      </c>
      <c r="N222" s="189" t="s">
        <v>43</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281</v>
      </c>
      <c r="AT222" s="192" t="s">
        <v>382</v>
      </c>
      <c r="AU222" s="192" t="s">
        <v>82</v>
      </c>
      <c r="AY222" s="19" t="s">
        <v>380</v>
      </c>
      <c r="BE222" s="193">
        <f>IF(N222="základní",J222,0)</f>
        <v>0</v>
      </c>
      <c r="BF222" s="193">
        <f>IF(N222="snížená",J222,0)</f>
        <v>0</v>
      </c>
      <c r="BG222" s="193">
        <f>IF(N222="zákl. přenesená",J222,0)</f>
        <v>0</v>
      </c>
      <c r="BH222" s="193">
        <f>IF(N222="sníž. přenesená",J222,0)</f>
        <v>0</v>
      </c>
      <c r="BI222" s="193">
        <f>IF(N222="nulová",J222,0)</f>
        <v>0</v>
      </c>
      <c r="BJ222" s="19" t="s">
        <v>79</v>
      </c>
      <c r="BK222" s="193">
        <f>ROUND(I222*H222,2)</f>
        <v>0</v>
      </c>
      <c r="BL222" s="19" t="s">
        <v>281</v>
      </c>
      <c r="BM222" s="192" t="s">
        <v>831</v>
      </c>
    </row>
    <row r="223" spans="1:65" s="13" customFormat="1" ht="11.25">
      <c r="B223" s="194"/>
      <c r="C223" s="195"/>
      <c r="D223" s="196" t="s">
        <v>388</v>
      </c>
      <c r="E223" s="197" t="s">
        <v>19</v>
      </c>
      <c r="F223" s="198" t="s">
        <v>2955</v>
      </c>
      <c r="G223" s="195"/>
      <c r="H223" s="197" t="s">
        <v>19</v>
      </c>
      <c r="I223" s="199"/>
      <c r="J223" s="195"/>
      <c r="K223" s="195"/>
      <c r="L223" s="200"/>
      <c r="M223" s="201"/>
      <c r="N223" s="202"/>
      <c r="O223" s="202"/>
      <c r="P223" s="202"/>
      <c r="Q223" s="202"/>
      <c r="R223" s="202"/>
      <c r="S223" s="202"/>
      <c r="T223" s="203"/>
      <c r="AT223" s="204" t="s">
        <v>388</v>
      </c>
      <c r="AU223" s="204" t="s">
        <v>82</v>
      </c>
      <c r="AV223" s="13" t="s">
        <v>79</v>
      </c>
      <c r="AW223" s="13" t="s">
        <v>33</v>
      </c>
      <c r="AX223" s="13" t="s">
        <v>72</v>
      </c>
      <c r="AY223" s="204" t="s">
        <v>380</v>
      </c>
    </row>
    <row r="224" spans="1:65" s="14" customFormat="1" ht="11.25">
      <c r="B224" s="205"/>
      <c r="C224" s="206"/>
      <c r="D224" s="196" t="s">
        <v>388</v>
      </c>
      <c r="E224" s="207" t="s">
        <v>19</v>
      </c>
      <c r="F224" s="208" t="s">
        <v>2956</v>
      </c>
      <c r="G224" s="206"/>
      <c r="H224" s="209">
        <v>44</v>
      </c>
      <c r="I224" s="210"/>
      <c r="J224" s="206"/>
      <c r="K224" s="206"/>
      <c r="L224" s="211"/>
      <c r="M224" s="212"/>
      <c r="N224" s="213"/>
      <c r="O224" s="213"/>
      <c r="P224" s="213"/>
      <c r="Q224" s="213"/>
      <c r="R224" s="213"/>
      <c r="S224" s="213"/>
      <c r="T224" s="214"/>
      <c r="AT224" s="215" t="s">
        <v>388</v>
      </c>
      <c r="AU224" s="215" t="s">
        <v>82</v>
      </c>
      <c r="AV224" s="14" t="s">
        <v>82</v>
      </c>
      <c r="AW224" s="14" t="s">
        <v>33</v>
      </c>
      <c r="AX224" s="14" t="s">
        <v>72</v>
      </c>
      <c r="AY224" s="215" t="s">
        <v>380</v>
      </c>
    </row>
    <row r="225" spans="1:65" s="15" customFormat="1" ht="11.25">
      <c r="B225" s="216"/>
      <c r="C225" s="217"/>
      <c r="D225" s="196" t="s">
        <v>388</v>
      </c>
      <c r="E225" s="218" t="s">
        <v>19</v>
      </c>
      <c r="F225" s="219" t="s">
        <v>419</v>
      </c>
      <c r="G225" s="217"/>
      <c r="H225" s="220">
        <v>44</v>
      </c>
      <c r="I225" s="221"/>
      <c r="J225" s="217"/>
      <c r="K225" s="217"/>
      <c r="L225" s="222"/>
      <c r="M225" s="223"/>
      <c r="N225" s="224"/>
      <c r="O225" s="224"/>
      <c r="P225" s="224"/>
      <c r="Q225" s="224"/>
      <c r="R225" s="224"/>
      <c r="S225" s="224"/>
      <c r="T225" s="225"/>
      <c r="AT225" s="226" t="s">
        <v>388</v>
      </c>
      <c r="AU225" s="226" t="s">
        <v>82</v>
      </c>
      <c r="AV225" s="15" t="s">
        <v>386</v>
      </c>
      <c r="AW225" s="15" t="s">
        <v>33</v>
      </c>
      <c r="AX225" s="15" t="s">
        <v>79</v>
      </c>
      <c r="AY225" s="226" t="s">
        <v>380</v>
      </c>
    </row>
    <row r="226" spans="1:65" s="2" customFormat="1" ht="16.5" customHeight="1">
      <c r="A226" s="36"/>
      <c r="B226" s="37"/>
      <c r="C226" s="181" t="s">
        <v>579</v>
      </c>
      <c r="D226" s="181" t="s">
        <v>382</v>
      </c>
      <c r="E226" s="182" t="s">
        <v>2957</v>
      </c>
      <c r="F226" s="183" t="s">
        <v>2958</v>
      </c>
      <c r="G226" s="184" t="s">
        <v>641</v>
      </c>
      <c r="H226" s="185">
        <v>45</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281</v>
      </c>
      <c r="AT226" s="192" t="s">
        <v>382</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281</v>
      </c>
      <c r="BM226" s="192" t="s">
        <v>841</v>
      </c>
    </row>
    <row r="227" spans="1:65" s="13" customFormat="1" ht="11.25">
      <c r="B227" s="194"/>
      <c r="C227" s="195"/>
      <c r="D227" s="196" t="s">
        <v>388</v>
      </c>
      <c r="E227" s="197" t="s">
        <v>19</v>
      </c>
      <c r="F227" s="198" t="s">
        <v>2959</v>
      </c>
      <c r="G227" s="195"/>
      <c r="H227" s="197" t="s">
        <v>19</v>
      </c>
      <c r="I227" s="199"/>
      <c r="J227" s="195"/>
      <c r="K227" s="195"/>
      <c r="L227" s="200"/>
      <c r="M227" s="201"/>
      <c r="N227" s="202"/>
      <c r="O227" s="202"/>
      <c r="P227" s="202"/>
      <c r="Q227" s="202"/>
      <c r="R227" s="202"/>
      <c r="S227" s="202"/>
      <c r="T227" s="203"/>
      <c r="AT227" s="204" t="s">
        <v>388</v>
      </c>
      <c r="AU227" s="204" t="s">
        <v>82</v>
      </c>
      <c r="AV227" s="13" t="s">
        <v>79</v>
      </c>
      <c r="AW227" s="13" t="s">
        <v>33</v>
      </c>
      <c r="AX227" s="13" t="s">
        <v>72</v>
      </c>
      <c r="AY227" s="204" t="s">
        <v>380</v>
      </c>
    </row>
    <row r="228" spans="1:65" s="14" customFormat="1" ht="11.25">
      <c r="B228" s="205"/>
      <c r="C228" s="206"/>
      <c r="D228" s="196" t="s">
        <v>388</v>
      </c>
      <c r="E228" s="207" t="s">
        <v>19</v>
      </c>
      <c r="F228" s="208" t="s">
        <v>2960</v>
      </c>
      <c r="G228" s="206"/>
      <c r="H228" s="209">
        <v>25</v>
      </c>
      <c r="I228" s="210"/>
      <c r="J228" s="206"/>
      <c r="K228" s="206"/>
      <c r="L228" s="211"/>
      <c r="M228" s="212"/>
      <c r="N228" s="213"/>
      <c r="O228" s="213"/>
      <c r="P228" s="213"/>
      <c r="Q228" s="213"/>
      <c r="R228" s="213"/>
      <c r="S228" s="213"/>
      <c r="T228" s="214"/>
      <c r="AT228" s="215" t="s">
        <v>388</v>
      </c>
      <c r="AU228" s="215" t="s">
        <v>82</v>
      </c>
      <c r="AV228" s="14" t="s">
        <v>82</v>
      </c>
      <c r="AW228" s="14" t="s">
        <v>33</v>
      </c>
      <c r="AX228" s="14" t="s">
        <v>72</v>
      </c>
      <c r="AY228" s="215" t="s">
        <v>380</v>
      </c>
    </row>
    <row r="229" spans="1:65" s="13" customFormat="1" ht="11.25">
      <c r="B229" s="194"/>
      <c r="C229" s="195"/>
      <c r="D229" s="196" t="s">
        <v>388</v>
      </c>
      <c r="E229" s="197" t="s">
        <v>19</v>
      </c>
      <c r="F229" s="198" t="s">
        <v>2961</v>
      </c>
      <c r="G229" s="195"/>
      <c r="H229" s="197" t="s">
        <v>19</v>
      </c>
      <c r="I229" s="199"/>
      <c r="J229" s="195"/>
      <c r="K229" s="195"/>
      <c r="L229" s="200"/>
      <c r="M229" s="201"/>
      <c r="N229" s="202"/>
      <c r="O229" s="202"/>
      <c r="P229" s="202"/>
      <c r="Q229" s="202"/>
      <c r="R229" s="202"/>
      <c r="S229" s="202"/>
      <c r="T229" s="203"/>
      <c r="AT229" s="204" t="s">
        <v>388</v>
      </c>
      <c r="AU229" s="204" t="s">
        <v>82</v>
      </c>
      <c r="AV229" s="13" t="s">
        <v>79</v>
      </c>
      <c r="AW229" s="13" t="s">
        <v>33</v>
      </c>
      <c r="AX229" s="13" t="s">
        <v>72</v>
      </c>
      <c r="AY229" s="204" t="s">
        <v>380</v>
      </c>
    </row>
    <row r="230" spans="1:65" s="14" customFormat="1" ht="11.25">
      <c r="B230" s="205"/>
      <c r="C230" s="206"/>
      <c r="D230" s="196" t="s">
        <v>388</v>
      </c>
      <c r="E230" s="207" t="s">
        <v>19</v>
      </c>
      <c r="F230" s="208" t="s">
        <v>2962</v>
      </c>
      <c r="G230" s="206"/>
      <c r="H230" s="209">
        <v>20</v>
      </c>
      <c r="I230" s="210"/>
      <c r="J230" s="206"/>
      <c r="K230" s="206"/>
      <c r="L230" s="211"/>
      <c r="M230" s="212"/>
      <c r="N230" s="213"/>
      <c r="O230" s="213"/>
      <c r="P230" s="213"/>
      <c r="Q230" s="213"/>
      <c r="R230" s="213"/>
      <c r="S230" s="213"/>
      <c r="T230" s="214"/>
      <c r="AT230" s="215" t="s">
        <v>388</v>
      </c>
      <c r="AU230" s="215" t="s">
        <v>82</v>
      </c>
      <c r="AV230" s="14" t="s">
        <v>82</v>
      </c>
      <c r="AW230" s="14" t="s">
        <v>33</v>
      </c>
      <c r="AX230" s="14" t="s">
        <v>72</v>
      </c>
      <c r="AY230" s="215" t="s">
        <v>380</v>
      </c>
    </row>
    <row r="231" spans="1:65" s="15" customFormat="1" ht="11.25">
      <c r="B231" s="216"/>
      <c r="C231" s="217"/>
      <c r="D231" s="196" t="s">
        <v>388</v>
      </c>
      <c r="E231" s="218" t="s">
        <v>19</v>
      </c>
      <c r="F231" s="219" t="s">
        <v>2544</v>
      </c>
      <c r="G231" s="217"/>
      <c r="H231" s="220">
        <v>45</v>
      </c>
      <c r="I231" s="221"/>
      <c r="J231" s="217"/>
      <c r="K231" s="217"/>
      <c r="L231" s="222"/>
      <c r="M231" s="223"/>
      <c r="N231" s="224"/>
      <c r="O231" s="224"/>
      <c r="P231" s="224"/>
      <c r="Q231" s="224"/>
      <c r="R231" s="224"/>
      <c r="S231" s="224"/>
      <c r="T231" s="225"/>
      <c r="AT231" s="226" t="s">
        <v>388</v>
      </c>
      <c r="AU231" s="226" t="s">
        <v>82</v>
      </c>
      <c r="AV231" s="15" t="s">
        <v>386</v>
      </c>
      <c r="AW231" s="15" t="s">
        <v>33</v>
      </c>
      <c r="AX231" s="15" t="s">
        <v>79</v>
      </c>
      <c r="AY231" s="226" t="s">
        <v>380</v>
      </c>
    </row>
    <row r="232" spans="1:65" s="2" customFormat="1" ht="16.5" customHeight="1">
      <c r="A232" s="36"/>
      <c r="B232" s="37"/>
      <c r="C232" s="181" t="s">
        <v>600</v>
      </c>
      <c r="D232" s="181" t="s">
        <v>382</v>
      </c>
      <c r="E232" s="182" t="s">
        <v>2963</v>
      </c>
      <c r="F232" s="183" t="s">
        <v>2964</v>
      </c>
      <c r="G232" s="184" t="s">
        <v>641</v>
      </c>
      <c r="H232" s="185">
        <v>8</v>
      </c>
      <c r="I232" s="186"/>
      <c r="J232" s="187">
        <f>ROUND(I232*H232,2)</f>
        <v>0</v>
      </c>
      <c r="K232" s="183" t="s">
        <v>19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281</v>
      </c>
      <c r="AT232" s="192" t="s">
        <v>382</v>
      </c>
      <c r="AU232" s="192" t="s">
        <v>82</v>
      </c>
      <c r="AY232" s="19" t="s">
        <v>380</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281</v>
      </c>
      <c r="BM232" s="192" t="s">
        <v>851</v>
      </c>
    </row>
    <row r="233" spans="1:65" s="2" customFormat="1" ht="16.5" customHeight="1">
      <c r="A233" s="36"/>
      <c r="B233" s="37"/>
      <c r="C233" s="181" t="s">
        <v>619</v>
      </c>
      <c r="D233" s="181" t="s">
        <v>382</v>
      </c>
      <c r="E233" s="182" t="s">
        <v>2965</v>
      </c>
      <c r="F233" s="183" t="s">
        <v>2966</v>
      </c>
      <c r="G233" s="184" t="s">
        <v>641</v>
      </c>
      <c r="H233" s="185">
        <v>12</v>
      </c>
      <c r="I233" s="186"/>
      <c r="J233" s="187">
        <f>ROUND(I233*H233,2)</f>
        <v>0</v>
      </c>
      <c r="K233" s="183" t="s">
        <v>19</v>
      </c>
      <c r="L233" s="41"/>
      <c r="M233" s="188" t="s">
        <v>19</v>
      </c>
      <c r="N233" s="189" t="s">
        <v>43</v>
      </c>
      <c r="O233" s="66"/>
      <c r="P233" s="190">
        <f>O233*H233</f>
        <v>0</v>
      </c>
      <c r="Q233" s="190">
        <v>0</v>
      </c>
      <c r="R233" s="190">
        <f>Q233*H233</f>
        <v>0</v>
      </c>
      <c r="S233" s="190">
        <v>0</v>
      </c>
      <c r="T233" s="191">
        <f>S233*H233</f>
        <v>0</v>
      </c>
      <c r="U233" s="36"/>
      <c r="V233" s="36"/>
      <c r="W233" s="36"/>
      <c r="X233" s="36"/>
      <c r="Y233" s="36"/>
      <c r="Z233" s="36"/>
      <c r="AA233" s="36"/>
      <c r="AB233" s="36"/>
      <c r="AC233" s="36"/>
      <c r="AD233" s="36"/>
      <c r="AE233" s="36"/>
      <c r="AR233" s="192" t="s">
        <v>281</v>
      </c>
      <c r="AT233" s="192" t="s">
        <v>382</v>
      </c>
      <c r="AU233" s="192" t="s">
        <v>82</v>
      </c>
      <c r="AY233" s="19" t="s">
        <v>380</v>
      </c>
      <c r="BE233" s="193">
        <f>IF(N233="základní",J233,0)</f>
        <v>0</v>
      </c>
      <c r="BF233" s="193">
        <f>IF(N233="snížená",J233,0)</f>
        <v>0</v>
      </c>
      <c r="BG233" s="193">
        <f>IF(N233="zákl. přenesená",J233,0)</f>
        <v>0</v>
      </c>
      <c r="BH233" s="193">
        <f>IF(N233="sníž. přenesená",J233,0)</f>
        <v>0</v>
      </c>
      <c r="BI233" s="193">
        <f>IF(N233="nulová",J233,0)</f>
        <v>0</v>
      </c>
      <c r="BJ233" s="19" t="s">
        <v>79</v>
      </c>
      <c r="BK233" s="193">
        <f>ROUND(I233*H233,2)</f>
        <v>0</v>
      </c>
      <c r="BL233" s="19" t="s">
        <v>281</v>
      </c>
      <c r="BM233" s="192" t="s">
        <v>859</v>
      </c>
    </row>
    <row r="234" spans="1:65" s="2" customFormat="1" ht="16.5" customHeight="1">
      <c r="A234" s="36"/>
      <c r="B234" s="37"/>
      <c r="C234" s="181" t="s">
        <v>623</v>
      </c>
      <c r="D234" s="181" t="s">
        <v>382</v>
      </c>
      <c r="E234" s="182" t="s">
        <v>2967</v>
      </c>
      <c r="F234" s="183" t="s">
        <v>2968</v>
      </c>
      <c r="G234" s="184" t="s">
        <v>641</v>
      </c>
      <c r="H234" s="185">
        <v>1</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281</v>
      </c>
      <c r="AT234" s="192" t="s">
        <v>382</v>
      </c>
      <c r="AU234" s="192" t="s">
        <v>82</v>
      </c>
      <c r="AY234" s="19" t="s">
        <v>380</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281</v>
      </c>
      <c r="BM234" s="192" t="s">
        <v>867</v>
      </c>
    </row>
    <row r="235" spans="1:65" s="2" customFormat="1" ht="24.2" customHeight="1">
      <c r="A235" s="36"/>
      <c r="B235" s="37"/>
      <c r="C235" s="227" t="s">
        <v>631</v>
      </c>
      <c r="D235" s="227" t="s">
        <v>465</v>
      </c>
      <c r="E235" s="228" t="s">
        <v>2969</v>
      </c>
      <c r="F235" s="229" t="s">
        <v>2970</v>
      </c>
      <c r="G235" s="230" t="s">
        <v>641</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546</v>
      </c>
      <c r="AT235" s="192" t="s">
        <v>465</v>
      </c>
      <c r="AU235" s="192" t="s">
        <v>82</v>
      </c>
      <c r="AY235" s="19" t="s">
        <v>380</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281</v>
      </c>
      <c r="BM235" s="192" t="s">
        <v>884</v>
      </c>
    </row>
    <row r="236" spans="1:65" s="2" customFormat="1" ht="19.5">
      <c r="A236" s="36"/>
      <c r="B236" s="37"/>
      <c r="C236" s="38"/>
      <c r="D236" s="196" t="s">
        <v>1226</v>
      </c>
      <c r="E236" s="38"/>
      <c r="F236" s="248" t="s">
        <v>2971</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1226</v>
      </c>
      <c r="AU236" s="19" t="s">
        <v>82</v>
      </c>
    </row>
    <row r="237" spans="1:65" s="2" customFormat="1" ht="16.5" customHeight="1">
      <c r="A237" s="36"/>
      <c r="B237" s="37"/>
      <c r="C237" s="181" t="s">
        <v>638</v>
      </c>
      <c r="D237" s="181" t="s">
        <v>382</v>
      </c>
      <c r="E237" s="182" t="s">
        <v>2972</v>
      </c>
      <c r="F237" s="183" t="s">
        <v>2973</v>
      </c>
      <c r="G237" s="184" t="s">
        <v>641</v>
      </c>
      <c r="H237" s="185">
        <v>6</v>
      </c>
      <c r="I237" s="186"/>
      <c r="J237" s="187">
        <f>ROUND(I237*H237,2)</f>
        <v>0</v>
      </c>
      <c r="K237" s="183" t="s">
        <v>19</v>
      </c>
      <c r="L237" s="41"/>
      <c r="M237" s="188" t="s">
        <v>19</v>
      </c>
      <c r="N237" s="189"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281</v>
      </c>
      <c r="AT237" s="192" t="s">
        <v>382</v>
      </c>
      <c r="AU237" s="192" t="s">
        <v>82</v>
      </c>
      <c r="AY237" s="19" t="s">
        <v>380</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281</v>
      </c>
      <c r="BM237" s="192" t="s">
        <v>910</v>
      </c>
    </row>
    <row r="238" spans="1:65" s="2" customFormat="1" ht="24.2" customHeight="1">
      <c r="A238" s="36"/>
      <c r="B238" s="37"/>
      <c r="C238" s="227" t="s">
        <v>644</v>
      </c>
      <c r="D238" s="227" t="s">
        <v>465</v>
      </c>
      <c r="E238" s="228" t="s">
        <v>2974</v>
      </c>
      <c r="F238" s="229" t="s">
        <v>2975</v>
      </c>
      <c r="G238" s="230" t="s">
        <v>641</v>
      </c>
      <c r="H238" s="231">
        <v>6</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546</v>
      </c>
      <c r="AT238" s="192" t="s">
        <v>465</v>
      </c>
      <c r="AU238" s="192" t="s">
        <v>82</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927</v>
      </c>
    </row>
    <row r="239" spans="1:65" s="2" customFormat="1" ht="19.5">
      <c r="A239" s="36"/>
      <c r="B239" s="37"/>
      <c r="C239" s="38"/>
      <c r="D239" s="196" t="s">
        <v>1226</v>
      </c>
      <c r="E239" s="38"/>
      <c r="F239" s="248" t="s">
        <v>2971</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1226</v>
      </c>
      <c r="AU239" s="19" t="s">
        <v>82</v>
      </c>
    </row>
    <row r="240" spans="1:65" s="2" customFormat="1" ht="16.5" customHeight="1">
      <c r="A240" s="36"/>
      <c r="B240" s="37"/>
      <c r="C240" s="181" t="s">
        <v>648</v>
      </c>
      <c r="D240" s="181" t="s">
        <v>382</v>
      </c>
      <c r="E240" s="182" t="s">
        <v>2976</v>
      </c>
      <c r="F240" s="183" t="s">
        <v>2977</v>
      </c>
      <c r="G240" s="184" t="s">
        <v>641</v>
      </c>
      <c r="H240" s="185">
        <v>3</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281</v>
      </c>
      <c r="AT240" s="192" t="s">
        <v>382</v>
      </c>
      <c r="AU240" s="192" t="s">
        <v>82</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281</v>
      </c>
      <c r="BM240" s="192" t="s">
        <v>936</v>
      </c>
    </row>
    <row r="241" spans="1:65" s="2" customFormat="1" ht="24.2" customHeight="1">
      <c r="A241" s="36"/>
      <c r="B241" s="37"/>
      <c r="C241" s="227" t="s">
        <v>652</v>
      </c>
      <c r="D241" s="227" t="s">
        <v>465</v>
      </c>
      <c r="E241" s="228" t="s">
        <v>2978</v>
      </c>
      <c r="F241" s="229" t="s">
        <v>2979</v>
      </c>
      <c r="G241" s="230" t="s">
        <v>641</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546</v>
      </c>
      <c r="AT241" s="192" t="s">
        <v>465</v>
      </c>
      <c r="AU241" s="192" t="s">
        <v>82</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946</v>
      </c>
    </row>
    <row r="242" spans="1:65" s="2" customFormat="1" ht="19.5">
      <c r="A242" s="36"/>
      <c r="B242" s="37"/>
      <c r="C242" s="38"/>
      <c r="D242" s="196" t="s">
        <v>1226</v>
      </c>
      <c r="E242" s="38"/>
      <c r="F242" s="248" t="s">
        <v>2971</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1226</v>
      </c>
      <c r="AU242" s="19" t="s">
        <v>82</v>
      </c>
    </row>
    <row r="243" spans="1:65" s="2" customFormat="1" ht="21.75" customHeight="1">
      <c r="A243" s="36"/>
      <c r="B243" s="37"/>
      <c r="C243" s="227" t="s">
        <v>656</v>
      </c>
      <c r="D243" s="227" t="s">
        <v>465</v>
      </c>
      <c r="E243" s="228" t="s">
        <v>2980</v>
      </c>
      <c r="F243" s="229" t="s">
        <v>2981</v>
      </c>
      <c r="G243" s="230" t="s">
        <v>641</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546</v>
      </c>
      <c r="AT243" s="192" t="s">
        <v>465</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955</v>
      </c>
    </row>
    <row r="244" spans="1:65" s="2" customFormat="1" ht="39">
      <c r="A244" s="36"/>
      <c r="B244" s="37"/>
      <c r="C244" s="38"/>
      <c r="D244" s="196" t="s">
        <v>1226</v>
      </c>
      <c r="E244" s="38"/>
      <c r="F244" s="248" t="s">
        <v>2982</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1226</v>
      </c>
      <c r="AU244" s="19" t="s">
        <v>82</v>
      </c>
    </row>
    <row r="245" spans="1:65" s="2" customFormat="1" ht="16.5" customHeight="1">
      <c r="A245" s="36"/>
      <c r="B245" s="37"/>
      <c r="C245" s="181" t="s">
        <v>660</v>
      </c>
      <c r="D245" s="181" t="s">
        <v>382</v>
      </c>
      <c r="E245" s="182" t="s">
        <v>2983</v>
      </c>
      <c r="F245" s="183" t="s">
        <v>2984</v>
      </c>
      <c r="G245" s="184" t="s">
        <v>641</v>
      </c>
      <c r="H245" s="185">
        <v>1</v>
      </c>
      <c r="I245" s="186"/>
      <c r="J245" s="187">
        <f>ROUND(I245*H245,2)</f>
        <v>0</v>
      </c>
      <c r="K245" s="183" t="s">
        <v>19</v>
      </c>
      <c r="L245" s="41"/>
      <c r="M245" s="188" t="s">
        <v>19</v>
      </c>
      <c r="N245" s="189"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281</v>
      </c>
      <c r="AT245" s="192" t="s">
        <v>382</v>
      </c>
      <c r="AU245" s="192" t="s">
        <v>82</v>
      </c>
      <c r="AY245" s="19" t="s">
        <v>380</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281</v>
      </c>
      <c r="BM245" s="192" t="s">
        <v>963</v>
      </c>
    </row>
    <row r="246" spans="1:65" s="2" customFormat="1" ht="21.75" customHeight="1">
      <c r="A246" s="36"/>
      <c r="B246" s="37"/>
      <c r="C246" s="227" t="s">
        <v>664</v>
      </c>
      <c r="D246" s="227" t="s">
        <v>465</v>
      </c>
      <c r="E246" s="228" t="s">
        <v>2985</v>
      </c>
      <c r="F246" s="229" t="s">
        <v>2986</v>
      </c>
      <c r="G246" s="230" t="s">
        <v>641</v>
      </c>
      <c r="H246" s="231">
        <v>7</v>
      </c>
      <c r="I246" s="232"/>
      <c r="J246" s="233">
        <f>ROUND(I246*H246,2)</f>
        <v>0</v>
      </c>
      <c r="K246" s="229" t="s">
        <v>19</v>
      </c>
      <c r="L246" s="234"/>
      <c r="M246" s="235" t="s">
        <v>19</v>
      </c>
      <c r="N246" s="236" t="s">
        <v>43</v>
      </c>
      <c r="O246" s="66"/>
      <c r="P246" s="190">
        <f>O246*H246</f>
        <v>0</v>
      </c>
      <c r="Q246" s="190">
        <v>0</v>
      </c>
      <c r="R246" s="190">
        <f>Q246*H246</f>
        <v>0</v>
      </c>
      <c r="S246" s="190">
        <v>0</v>
      </c>
      <c r="T246" s="191">
        <f>S246*H246</f>
        <v>0</v>
      </c>
      <c r="U246" s="36"/>
      <c r="V246" s="36"/>
      <c r="W246" s="36"/>
      <c r="X246" s="36"/>
      <c r="Y246" s="36"/>
      <c r="Z246" s="36"/>
      <c r="AA246" s="36"/>
      <c r="AB246" s="36"/>
      <c r="AC246" s="36"/>
      <c r="AD246" s="36"/>
      <c r="AE246" s="36"/>
      <c r="AR246" s="192" t="s">
        <v>546</v>
      </c>
      <c r="AT246" s="192" t="s">
        <v>465</v>
      </c>
      <c r="AU246" s="192" t="s">
        <v>82</v>
      </c>
      <c r="AY246" s="19" t="s">
        <v>380</v>
      </c>
      <c r="BE246" s="193">
        <f>IF(N246="základní",J246,0)</f>
        <v>0</v>
      </c>
      <c r="BF246" s="193">
        <f>IF(N246="snížená",J246,0)</f>
        <v>0</v>
      </c>
      <c r="BG246" s="193">
        <f>IF(N246="zákl. přenesená",J246,0)</f>
        <v>0</v>
      </c>
      <c r="BH246" s="193">
        <f>IF(N246="sníž. přenesená",J246,0)</f>
        <v>0</v>
      </c>
      <c r="BI246" s="193">
        <f>IF(N246="nulová",J246,0)</f>
        <v>0</v>
      </c>
      <c r="BJ246" s="19" t="s">
        <v>79</v>
      </c>
      <c r="BK246" s="193">
        <f>ROUND(I246*H246,2)</f>
        <v>0</v>
      </c>
      <c r="BL246" s="19" t="s">
        <v>281</v>
      </c>
      <c r="BM246" s="192" t="s">
        <v>971</v>
      </c>
    </row>
    <row r="247" spans="1:65" s="2" customFormat="1" ht="29.25">
      <c r="A247" s="36"/>
      <c r="B247" s="37"/>
      <c r="C247" s="38"/>
      <c r="D247" s="196" t="s">
        <v>1226</v>
      </c>
      <c r="E247" s="38"/>
      <c r="F247" s="248" t="s">
        <v>2987</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1226</v>
      </c>
      <c r="AU247" s="19" t="s">
        <v>82</v>
      </c>
    </row>
    <row r="248" spans="1:65" s="13" customFormat="1" ht="11.25">
      <c r="B248" s="194"/>
      <c r="C248" s="195"/>
      <c r="D248" s="196" t="s">
        <v>388</v>
      </c>
      <c r="E248" s="197" t="s">
        <v>19</v>
      </c>
      <c r="F248" s="198" t="s">
        <v>2988</v>
      </c>
      <c r="G248" s="195"/>
      <c r="H248" s="197" t="s">
        <v>19</v>
      </c>
      <c r="I248" s="199"/>
      <c r="J248" s="195"/>
      <c r="K248" s="195"/>
      <c r="L248" s="200"/>
      <c r="M248" s="201"/>
      <c r="N248" s="202"/>
      <c r="O248" s="202"/>
      <c r="P248" s="202"/>
      <c r="Q248" s="202"/>
      <c r="R248" s="202"/>
      <c r="S248" s="202"/>
      <c r="T248" s="203"/>
      <c r="AT248" s="204" t="s">
        <v>388</v>
      </c>
      <c r="AU248" s="204" t="s">
        <v>82</v>
      </c>
      <c r="AV248" s="13" t="s">
        <v>79</v>
      </c>
      <c r="AW248" s="13" t="s">
        <v>33</v>
      </c>
      <c r="AX248" s="13" t="s">
        <v>72</v>
      </c>
      <c r="AY248" s="204" t="s">
        <v>380</v>
      </c>
    </row>
    <row r="249" spans="1:65" s="14" customFormat="1" ht="11.25">
      <c r="B249" s="205"/>
      <c r="C249" s="206"/>
      <c r="D249" s="196" t="s">
        <v>388</v>
      </c>
      <c r="E249" s="207" t="s">
        <v>19</v>
      </c>
      <c r="F249" s="208" t="s">
        <v>2989</v>
      </c>
      <c r="G249" s="206"/>
      <c r="H249" s="209">
        <v>7</v>
      </c>
      <c r="I249" s="210"/>
      <c r="J249" s="206"/>
      <c r="K249" s="206"/>
      <c r="L249" s="211"/>
      <c r="M249" s="212"/>
      <c r="N249" s="213"/>
      <c r="O249" s="213"/>
      <c r="P249" s="213"/>
      <c r="Q249" s="213"/>
      <c r="R249" s="213"/>
      <c r="S249" s="213"/>
      <c r="T249" s="214"/>
      <c r="AT249" s="215" t="s">
        <v>388</v>
      </c>
      <c r="AU249" s="215" t="s">
        <v>82</v>
      </c>
      <c r="AV249" s="14" t="s">
        <v>82</v>
      </c>
      <c r="AW249" s="14" t="s">
        <v>33</v>
      </c>
      <c r="AX249" s="14" t="s">
        <v>72</v>
      </c>
      <c r="AY249" s="215" t="s">
        <v>380</v>
      </c>
    </row>
    <row r="250" spans="1:65" s="15" customFormat="1" ht="11.25">
      <c r="B250" s="216"/>
      <c r="C250" s="217"/>
      <c r="D250" s="196" t="s">
        <v>388</v>
      </c>
      <c r="E250" s="218" t="s">
        <v>19</v>
      </c>
      <c r="F250" s="219" t="s">
        <v>419</v>
      </c>
      <c r="G250" s="217"/>
      <c r="H250" s="220">
        <v>7</v>
      </c>
      <c r="I250" s="221"/>
      <c r="J250" s="217"/>
      <c r="K250" s="217"/>
      <c r="L250" s="222"/>
      <c r="M250" s="223"/>
      <c r="N250" s="224"/>
      <c r="O250" s="224"/>
      <c r="P250" s="224"/>
      <c r="Q250" s="224"/>
      <c r="R250" s="224"/>
      <c r="S250" s="224"/>
      <c r="T250" s="225"/>
      <c r="AT250" s="226" t="s">
        <v>388</v>
      </c>
      <c r="AU250" s="226" t="s">
        <v>82</v>
      </c>
      <c r="AV250" s="15" t="s">
        <v>386</v>
      </c>
      <c r="AW250" s="15" t="s">
        <v>33</v>
      </c>
      <c r="AX250" s="15" t="s">
        <v>79</v>
      </c>
      <c r="AY250" s="226" t="s">
        <v>380</v>
      </c>
    </row>
    <row r="251" spans="1:65" s="2" customFormat="1" ht="21.75" customHeight="1">
      <c r="A251" s="36"/>
      <c r="B251" s="37"/>
      <c r="C251" s="227" t="s">
        <v>668</v>
      </c>
      <c r="D251" s="227" t="s">
        <v>465</v>
      </c>
      <c r="E251" s="228" t="s">
        <v>2990</v>
      </c>
      <c r="F251" s="229" t="s">
        <v>2991</v>
      </c>
      <c r="G251" s="230" t="s">
        <v>641</v>
      </c>
      <c r="H251" s="231">
        <v>4</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546</v>
      </c>
      <c r="AT251" s="192" t="s">
        <v>465</v>
      </c>
      <c r="AU251" s="192" t="s">
        <v>82</v>
      </c>
      <c r="AY251" s="19" t="s">
        <v>380</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281</v>
      </c>
      <c r="BM251" s="192" t="s">
        <v>979</v>
      </c>
    </row>
    <row r="252" spans="1:65" s="2" customFormat="1" ht="29.25">
      <c r="A252" s="36"/>
      <c r="B252" s="37"/>
      <c r="C252" s="38"/>
      <c r="D252" s="196" t="s">
        <v>1226</v>
      </c>
      <c r="E252" s="38"/>
      <c r="F252" s="248" t="s">
        <v>2992</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1226</v>
      </c>
      <c r="AU252" s="19" t="s">
        <v>82</v>
      </c>
    </row>
    <row r="253" spans="1:65" s="13" customFormat="1" ht="11.25">
      <c r="B253" s="194"/>
      <c r="C253" s="195"/>
      <c r="D253" s="196" t="s">
        <v>388</v>
      </c>
      <c r="E253" s="197" t="s">
        <v>19</v>
      </c>
      <c r="F253" s="198" t="s">
        <v>2993</v>
      </c>
      <c r="G253" s="195"/>
      <c r="H253" s="197" t="s">
        <v>19</v>
      </c>
      <c r="I253" s="199"/>
      <c r="J253" s="195"/>
      <c r="K253" s="195"/>
      <c r="L253" s="200"/>
      <c r="M253" s="201"/>
      <c r="N253" s="202"/>
      <c r="O253" s="202"/>
      <c r="P253" s="202"/>
      <c r="Q253" s="202"/>
      <c r="R253" s="202"/>
      <c r="S253" s="202"/>
      <c r="T253" s="203"/>
      <c r="AT253" s="204" t="s">
        <v>388</v>
      </c>
      <c r="AU253" s="204" t="s">
        <v>82</v>
      </c>
      <c r="AV253" s="13" t="s">
        <v>79</v>
      </c>
      <c r="AW253" s="13" t="s">
        <v>33</v>
      </c>
      <c r="AX253" s="13" t="s">
        <v>72</v>
      </c>
      <c r="AY253" s="204" t="s">
        <v>380</v>
      </c>
    </row>
    <row r="254" spans="1:65" s="14" customFormat="1" ht="11.25">
      <c r="B254" s="205"/>
      <c r="C254" s="206"/>
      <c r="D254" s="196" t="s">
        <v>388</v>
      </c>
      <c r="E254" s="207" t="s">
        <v>19</v>
      </c>
      <c r="F254" s="208" t="s">
        <v>2994</v>
      </c>
      <c r="G254" s="206"/>
      <c r="H254" s="209">
        <v>4</v>
      </c>
      <c r="I254" s="210"/>
      <c r="J254" s="206"/>
      <c r="K254" s="206"/>
      <c r="L254" s="211"/>
      <c r="M254" s="212"/>
      <c r="N254" s="213"/>
      <c r="O254" s="213"/>
      <c r="P254" s="213"/>
      <c r="Q254" s="213"/>
      <c r="R254" s="213"/>
      <c r="S254" s="213"/>
      <c r="T254" s="214"/>
      <c r="AT254" s="215" t="s">
        <v>388</v>
      </c>
      <c r="AU254" s="215" t="s">
        <v>82</v>
      </c>
      <c r="AV254" s="14" t="s">
        <v>82</v>
      </c>
      <c r="AW254" s="14" t="s">
        <v>33</v>
      </c>
      <c r="AX254" s="14" t="s">
        <v>72</v>
      </c>
      <c r="AY254" s="215" t="s">
        <v>380</v>
      </c>
    </row>
    <row r="255" spans="1:65" s="15" customFormat="1" ht="11.25">
      <c r="B255" s="216"/>
      <c r="C255" s="217"/>
      <c r="D255" s="196" t="s">
        <v>388</v>
      </c>
      <c r="E255" s="218" t="s">
        <v>19</v>
      </c>
      <c r="F255" s="219" t="s">
        <v>419</v>
      </c>
      <c r="G255" s="217"/>
      <c r="H255" s="220">
        <v>4</v>
      </c>
      <c r="I255" s="221"/>
      <c r="J255" s="217"/>
      <c r="K255" s="217"/>
      <c r="L255" s="222"/>
      <c r="M255" s="223"/>
      <c r="N255" s="224"/>
      <c r="O255" s="224"/>
      <c r="P255" s="224"/>
      <c r="Q255" s="224"/>
      <c r="R255" s="224"/>
      <c r="S255" s="224"/>
      <c r="T255" s="225"/>
      <c r="AT255" s="226" t="s">
        <v>388</v>
      </c>
      <c r="AU255" s="226" t="s">
        <v>82</v>
      </c>
      <c r="AV255" s="15" t="s">
        <v>386</v>
      </c>
      <c r="AW255" s="15" t="s">
        <v>33</v>
      </c>
      <c r="AX255" s="15" t="s">
        <v>79</v>
      </c>
      <c r="AY255" s="226" t="s">
        <v>380</v>
      </c>
    </row>
    <row r="256" spans="1:65" s="2" customFormat="1" ht="24.2" customHeight="1">
      <c r="A256" s="36"/>
      <c r="B256" s="37"/>
      <c r="C256" s="227" t="s">
        <v>672</v>
      </c>
      <c r="D256" s="227" t="s">
        <v>465</v>
      </c>
      <c r="E256" s="228" t="s">
        <v>2995</v>
      </c>
      <c r="F256" s="229" t="s">
        <v>2996</v>
      </c>
      <c r="G256" s="230" t="s">
        <v>641</v>
      </c>
      <c r="H256" s="231">
        <v>2</v>
      </c>
      <c r="I256" s="232"/>
      <c r="J256" s="233">
        <f>ROUND(I256*H256,2)</f>
        <v>0</v>
      </c>
      <c r="K256" s="229" t="s">
        <v>19</v>
      </c>
      <c r="L256" s="234"/>
      <c r="M256" s="235" t="s">
        <v>19</v>
      </c>
      <c r="N256" s="236" t="s">
        <v>43</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546</v>
      </c>
      <c r="AT256" s="192" t="s">
        <v>465</v>
      </c>
      <c r="AU256" s="192" t="s">
        <v>82</v>
      </c>
      <c r="AY256" s="19" t="s">
        <v>380</v>
      </c>
      <c r="BE256" s="193">
        <f>IF(N256="základní",J256,0)</f>
        <v>0</v>
      </c>
      <c r="BF256" s="193">
        <f>IF(N256="snížená",J256,0)</f>
        <v>0</v>
      </c>
      <c r="BG256" s="193">
        <f>IF(N256="zákl. přenesená",J256,0)</f>
        <v>0</v>
      </c>
      <c r="BH256" s="193">
        <f>IF(N256="sníž. přenesená",J256,0)</f>
        <v>0</v>
      </c>
      <c r="BI256" s="193">
        <f>IF(N256="nulová",J256,0)</f>
        <v>0</v>
      </c>
      <c r="BJ256" s="19" t="s">
        <v>79</v>
      </c>
      <c r="BK256" s="193">
        <f>ROUND(I256*H256,2)</f>
        <v>0</v>
      </c>
      <c r="BL256" s="19" t="s">
        <v>281</v>
      </c>
      <c r="BM256" s="192" t="s">
        <v>987</v>
      </c>
    </row>
    <row r="257" spans="1:65" s="13" customFormat="1" ht="11.25">
      <c r="B257" s="194"/>
      <c r="C257" s="195"/>
      <c r="D257" s="196" t="s">
        <v>388</v>
      </c>
      <c r="E257" s="197" t="s">
        <v>19</v>
      </c>
      <c r="F257" s="198" t="s">
        <v>2997</v>
      </c>
      <c r="G257" s="195"/>
      <c r="H257" s="197" t="s">
        <v>19</v>
      </c>
      <c r="I257" s="199"/>
      <c r="J257" s="195"/>
      <c r="K257" s="195"/>
      <c r="L257" s="200"/>
      <c r="M257" s="201"/>
      <c r="N257" s="202"/>
      <c r="O257" s="202"/>
      <c r="P257" s="202"/>
      <c r="Q257" s="202"/>
      <c r="R257" s="202"/>
      <c r="S257" s="202"/>
      <c r="T257" s="203"/>
      <c r="AT257" s="204" t="s">
        <v>388</v>
      </c>
      <c r="AU257" s="204" t="s">
        <v>82</v>
      </c>
      <c r="AV257" s="13" t="s">
        <v>79</v>
      </c>
      <c r="AW257" s="13" t="s">
        <v>33</v>
      </c>
      <c r="AX257" s="13" t="s">
        <v>72</v>
      </c>
      <c r="AY257" s="204" t="s">
        <v>380</v>
      </c>
    </row>
    <row r="258" spans="1:65" s="14" customFormat="1" ht="11.25">
      <c r="B258" s="205"/>
      <c r="C258" s="206"/>
      <c r="D258" s="196" t="s">
        <v>388</v>
      </c>
      <c r="E258" s="207" t="s">
        <v>19</v>
      </c>
      <c r="F258" s="208" t="s">
        <v>2998</v>
      </c>
      <c r="G258" s="206"/>
      <c r="H258" s="209">
        <v>2</v>
      </c>
      <c r="I258" s="210"/>
      <c r="J258" s="206"/>
      <c r="K258" s="206"/>
      <c r="L258" s="211"/>
      <c r="M258" s="212"/>
      <c r="N258" s="213"/>
      <c r="O258" s="213"/>
      <c r="P258" s="213"/>
      <c r="Q258" s="213"/>
      <c r="R258" s="213"/>
      <c r="S258" s="213"/>
      <c r="T258" s="214"/>
      <c r="AT258" s="215" t="s">
        <v>388</v>
      </c>
      <c r="AU258" s="215" t="s">
        <v>82</v>
      </c>
      <c r="AV258" s="14" t="s">
        <v>82</v>
      </c>
      <c r="AW258" s="14" t="s">
        <v>33</v>
      </c>
      <c r="AX258" s="14" t="s">
        <v>72</v>
      </c>
      <c r="AY258" s="215" t="s">
        <v>380</v>
      </c>
    </row>
    <row r="259" spans="1:65" s="15" customFormat="1" ht="11.25">
      <c r="B259" s="216"/>
      <c r="C259" s="217"/>
      <c r="D259" s="196" t="s">
        <v>388</v>
      </c>
      <c r="E259" s="218" t="s">
        <v>19</v>
      </c>
      <c r="F259" s="219" t="s">
        <v>419</v>
      </c>
      <c r="G259" s="217"/>
      <c r="H259" s="220">
        <v>2</v>
      </c>
      <c r="I259" s="221"/>
      <c r="J259" s="217"/>
      <c r="K259" s="217"/>
      <c r="L259" s="222"/>
      <c r="M259" s="223"/>
      <c r="N259" s="224"/>
      <c r="O259" s="224"/>
      <c r="P259" s="224"/>
      <c r="Q259" s="224"/>
      <c r="R259" s="224"/>
      <c r="S259" s="224"/>
      <c r="T259" s="225"/>
      <c r="AT259" s="226" t="s">
        <v>388</v>
      </c>
      <c r="AU259" s="226" t="s">
        <v>82</v>
      </c>
      <c r="AV259" s="15" t="s">
        <v>386</v>
      </c>
      <c r="AW259" s="15" t="s">
        <v>33</v>
      </c>
      <c r="AX259" s="15" t="s">
        <v>79</v>
      </c>
      <c r="AY259" s="226" t="s">
        <v>380</v>
      </c>
    </row>
    <row r="260" spans="1:65" s="2" customFormat="1" ht="24.2" customHeight="1">
      <c r="A260" s="36"/>
      <c r="B260" s="37"/>
      <c r="C260" s="227" t="s">
        <v>677</v>
      </c>
      <c r="D260" s="227" t="s">
        <v>465</v>
      </c>
      <c r="E260" s="228" t="s">
        <v>2999</v>
      </c>
      <c r="F260" s="229" t="s">
        <v>3000</v>
      </c>
      <c r="G260" s="230" t="s">
        <v>641</v>
      </c>
      <c r="H260" s="231">
        <v>40</v>
      </c>
      <c r="I260" s="232"/>
      <c r="J260" s="233">
        <f>ROUND(I260*H260,2)</f>
        <v>0</v>
      </c>
      <c r="K260" s="229" t="s">
        <v>19</v>
      </c>
      <c r="L260" s="234"/>
      <c r="M260" s="235" t="s">
        <v>19</v>
      </c>
      <c r="N260" s="236" t="s">
        <v>43</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546</v>
      </c>
      <c r="AT260" s="192" t="s">
        <v>465</v>
      </c>
      <c r="AU260" s="192" t="s">
        <v>82</v>
      </c>
      <c r="AY260" s="19" t="s">
        <v>380</v>
      </c>
      <c r="BE260" s="193">
        <f>IF(N260="základní",J260,0)</f>
        <v>0</v>
      </c>
      <c r="BF260" s="193">
        <f>IF(N260="snížená",J260,0)</f>
        <v>0</v>
      </c>
      <c r="BG260" s="193">
        <f>IF(N260="zákl. přenesená",J260,0)</f>
        <v>0</v>
      </c>
      <c r="BH260" s="193">
        <f>IF(N260="sníž. přenesená",J260,0)</f>
        <v>0</v>
      </c>
      <c r="BI260" s="193">
        <f>IF(N260="nulová",J260,0)</f>
        <v>0</v>
      </c>
      <c r="BJ260" s="19" t="s">
        <v>79</v>
      </c>
      <c r="BK260" s="193">
        <f>ROUND(I260*H260,2)</f>
        <v>0</v>
      </c>
      <c r="BL260" s="19" t="s">
        <v>281</v>
      </c>
      <c r="BM260" s="192" t="s">
        <v>995</v>
      </c>
    </row>
    <row r="261" spans="1:65" s="14" customFormat="1" ht="11.25">
      <c r="B261" s="205"/>
      <c r="C261" s="206"/>
      <c r="D261" s="196" t="s">
        <v>388</v>
      </c>
      <c r="E261" s="207" t="s">
        <v>19</v>
      </c>
      <c r="F261" s="208" t="s">
        <v>3001</v>
      </c>
      <c r="G261" s="206"/>
      <c r="H261" s="209">
        <v>40</v>
      </c>
      <c r="I261" s="210"/>
      <c r="J261" s="206"/>
      <c r="K261" s="206"/>
      <c r="L261" s="211"/>
      <c r="M261" s="212"/>
      <c r="N261" s="213"/>
      <c r="O261" s="213"/>
      <c r="P261" s="213"/>
      <c r="Q261" s="213"/>
      <c r="R261" s="213"/>
      <c r="S261" s="213"/>
      <c r="T261" s="214"/>
      <c r="AT261" s="215" t="s">
        <v>388</v>
      </c>
      <c r="AU261" s="215" t="s">
        <v>82</v>
      </c>
      <c r="AV261" s="14" t="s">
        <v>82</v>
      </c>
      <c r="AW261" s="14" t="s">
        <v>33</v>
      </c>
      <c r="AX261" s="14" t="s">
        <v>72</v>
      </c>
      <c r="AY261" s="215" t="s">
        <v>380</v>
      </c>
    </row>
    <row r="262" spans="1:65" s="15" customFormat="1" ht="11.25">
      <c r="B262" s="216"/>
      <c r="C262" s="217"/>
      <c r="D262" s="196" t="s">
        <v>388</v>
      </c>
      <c r="E262" s="218" t="s">
        <v>19</v>
      </c>
      <c r="F262" s="219" t="s">
        <v>419</v>
      </c>
      <c r="G262" s="217"/>
      <c r="H262" s="220">
        <v>40</v>
      </c>
      <c r="I262" s="221"/>
      <c r="J262" s="217"/>
      <c r="K262" s="217"/>
      <c r="L262" s="222"/>
      <c r="M262" s="223"/>
      <c r="N262" s="224"/>
      <c r="O262" s="224"/>
      <c r="P262" s="224"/>
      <c r="Q262" s="224"/>
      <c r="R262" s="224"/>
      <c r="S262" s="224"/>
      <c r="T262" s="225"/>
      <c r="AT262" s="226" t="s">
        <v>388</v>
      </c>
      <c r="AU262" s="226" t="s">
        <v>82</v>
      </c>
      <c r="AV262" s="15" t="s">
        <v>386</v>
      </c>
      <c r="AW262" s="15" t="s">
        <v>33</v>
      </c>
      <c r="AX262" s="15" t="s">
        <v>79</v>
      </c>
      <c r="AY262" s="226" t="s">
        <v>380</v>
      </c>
    </row>
    <row r="263" spans="1:65" s="2" customFormat="1" ht="16.5" customHeight="1">
      <c r="A263" s="36"/>
      <c r="B263" s="37"/>
      <c r="C263" s="181" t="s">
        <v>688</v>
      </c>
      <c r="D263" s="181" t="s">
        <v>382</v>
      </c>
      <c r="E263" s="182" t="s">
        <v>3002</v>
      </c>
      <c r="F263" s="183" t="s">
        <v>3003</v>
      </c>
      <c r="G263" s="184" t="s">
        <v>641</v>
      </c>
      <c r="H263" s="185">
        <v>2</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281</v>
      </c>
      <c r="AT263" s="192" t="s">
        <v>382</v>
      </c>
      <c r="AU263" s="192" t="s">
        <v>82</v>
      </c>
      <c r="AY263" s="19" t="s">
        <v>380</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281</v>
      </c>
      <c r="BM263" s="192" t="s">
        <v>154</v>
      </c>
    </row>
    <row r="264" spans="1:65" s="2" customFormat="1" ht="19.5">
      <c r="A264" s="36"/>
      <c r="B264" s="37"/>
      <c r="C264" s="38"/>
      <c r="D264" s="196" t="s">
        <v>1226</v>
      </c>
      <c r="E264" s="38"/>
      <c r="F264" s="248" t="s">
        <v>3004</v>
      </c>
      <c r="G264" s="38"/>
      <c r="H264" s="38"/>
      <c r="I264" s="249"/>
      <c r="J264" s="38"/>
      <c r="K264" s="38"/>
      <c r="L264" s="41"/>
      <c r="M264" s="250"/>
      <c r="N264" s="251"/>
      <c r="O264" s="66"/>
      <c r="P264" s="66"/>
      <c r="Q264" s="66"/>
      <c r="R264" s="66"/>
      <c r="S264" s="66"/>
      <c r="T264" s="67"/>
      <c r="U264" s="36"/>
      <c r="V264" s="36"/>
      <c r="W264" s="36"/>
      <c r="X264" s="36"/>
      <c r="Y264" s="36"/>
      <c r="Z264" s="36"/>
      <c r="AA264" s="36"/>
      <c r="AB264" s="36"/>
      <c r="AC264" s="36"/>
      <c r="AD264" s="36"/>
      <c r="AE264" s="36"/>
      <c r="AT264" s="19" t="s">
        <v>1226</v>
      </c>
      <c r="AU264" s="19" t="s">
        <v>82</v>
      </c>
    </row>
    <row r="265" spans="1:65" s="2" customFormat="1" ht="16.5" customHeight="1">
      <c r="A265" s="36"/>
      <c r="B265" s="37"/>
      <c r="C265" s="181" t="s">
        <v>699</v>
      </c>
      <c r="D265" s="181" t="s">
        <v>382</v>
      </c>
      <c r="E265" s="182" t="s">
        <v>3005</v>
      </c>
      <c r="F265" s="183" t="s">
        <v>3006</v>
      </c>
      <c r="G265" s="184" t="s">
        <v>452</v>
      </c>
      <c r="H265" s="185">
        <v>71.849999999999994</v>
      </c>
      <c r="I265" s="186"/>
      <c r="J265" s="187">
        <f>ROUND(I265*H265,2)</f>
        <v>0</v>
      </c>
      <c r="K265" s="183" t="s">
        <v>19</v>
      </c>
      <c r="L265" s="41"/>
      <c r="M265" s="188" t="s">
        <v>19</v>
      </c>
      <c r="N265" s="189" t="s">
        <v>43</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281</v>
      </c>
      <c r="AT265" s="192" t="s">
        <v>382</v>
      </c>
      <c r="AU265" s="192" t="s">
        <v>82</v>
      </c>
      <c r="AY265" s="19" t="s">
        <v>380</v>
      </c>
      <c r="BE265" s="193">
        <f>IF(N265="základní",J265,0)</f>
        <v>0</v>
      </c>
      <c r="BF265" s="193">
        <f>IF(N265="snížená",J265,0)</f>
        <v>0</v>
      </c>
      <c r="BG265" s="193">
        <f>IF(N265="zákl. přenesená",J265,0)</f>
        <v>0</v>
      </c>
      <c r="BH265" s="193">
        <f>IF(N265="sníž. přenesená",J265,0)</f>
        <v>0</v>
      </c>
      <c r="BI265" s="193">
        <f>IF(N265="nulová",J265,0)</f>
        <v>0</v>
      </c>
      <c r="BJ265" s="19" t="s">
        <v>79</v>
      </c>
      <c r="BK265" s="193">
        <f>ROUND(I265*H265,2)</f>
        <v>0</v>
      </c>
      <c r="BL265" s="19" t="s">
        <v>281</v>
      </c>
      <c r="BM265" s="192" t="s">
        <v>160</v>
      </c>
    </row>
    <row r="266" spans="1:65" s="13" customFormat="1" ht="11.25">
      <c r="B266" s="194"/>
      <c r="C266" s="195"/>
      <c r="D266" s="196" t="s">
        <v>388</v>
      </c>
      <c r="E266" s="197" t="s">
        <v>19</v>
      </c>
      <c r="F266" s="198" t="s">
        <v>3007</v>
      </c>
      <c r="G266" s="195"/>
      <c r="H266" s="197" t="s">
        <v>19</v>
      </c>
      <c r="I266" s="199"/>
      <c r="J266" s="195"/>
      <c r="K266" s="195"/>
      <c r="L266" s="200"/>
      <c r="M266" s="201"/>
      <c r="N266" s="202"/>
      <c r="O266" s="202"/>
      <c r="P266" s="202"/>
      <c r="Q266" s="202"/>
      <c r="R266" s="202"/>
      <c r="S266" s="202"/>
      <c r="T266" s="203"/>
      <c r="AT266" s="204" t="s">
        <v>388</v>
      </c>
      <c r="AU266" s="204" t="s">
        <v>82</v>
      </c>
      <c r="AV266" s="13" t="s">
        <v>79</v>
      </c>
      <c r="AW266" s="13" t="s">
        <v>33</v>
      </c>
      <c r="AX266" s="13" t="s">
        <v>72</v>
      </c>
      <c r="AY266" s="204" t="s">
        <v>380</v>
      </c>
    </row>
    <row r="267" spans="1:65" s="14" customFormat="1" ht="11.25">
      <c r="B267" s="205"/>
      <c r="C267" s="206"/>
      <c r="D267" s="196" t="s">
        <v>388</v>
      </c>
      <c r="E267" s="207" t="s">
        <v>19</v>
      </c>
      <c r="F267" s="208" t="s">
        <v>3008</v>
      </c>
      <c r="G267" s="206"/>
      <c r="H267" s="209">
        <v>71.849999999999994</v>
      </c>
      <c r="I267" s="210"/>
      <c r="J267" s="206"/>
      <c r="K267" s="206"/>
      <c r="L267" s="211"/>
      <c r="M267" s="212"/>
      <c r="N267" s="213"/>
      <c r="O267" s="213"/>
      <c r="P267" s="213"/>
      <c r="Q267" s="213"/>
      <c r="R267" s="213"/>
      <c r="S267" s="213"/>
      <c r="T267" s="214"/>
      <c r="AT267" s="215" t="s">
        <v>388</v>
      </c>
      <c r="AU267" s="215" t="s">
        <v>82</v>
      </c>
      <c r="AV267" s="14" t="s">
        <v>82</v>
      </c>
      <c r="AW267" s="14" t="s">
        <v>33</v>
      </c>
      <c r="AX267" s="14" t="s">
        <v>72</v>
      </c>
      <c r="AY267" s="215" t="s">
        <v>380</v>
      </c>
    </row>
    <row r="268" spans="1:65" s="15" customFormat="1" ht="11.25">
      <c r="B268" s="216"/>
      <c r="C268" s="217"/>
      <c r="D268" s="196" t="s">
        <v>388</v>
      </c>
      <c r="E268" s="218" t="s">
        <v>19</v>
      </c>
      <c r="F268" s="219" t="s">
        <v>419</v>
      </c>
      <c r="G268" s="217"/>
      <c r="H268" s="220">
        <v>71.849999999999994</v>
      </c>
      <c r="I268" s="221"/>
      <c r="J268" s="217"/>
      <c r="K268" s="217"/>
      <c r="L268" s="222"/>
      <c r="M268" s="223"/>
      <c r="N268" s="224"/>
      <c r="O268" s="224"/>
      <c r="P268" s="224"/>
      <c r="Q268" s="224"/>
      <c r="R268" s="224"/>
      <c r="S268" s="224"/>
      <c r="T268" s="225"/>
      <c r="AT268" s="226" t="s">
        <v>388</v>
      </c>
      <c r="AU268" s="226" t="s">
        <v>82</v>
      </c>
      <c r="AV268" s="15" t="s">
        <v>386</v>
      </c>
      <c r="AW268" s="15" t="s">
        <v>33</v>
      </c>
      <c r="AX268" s="15" t="s">
        <v>79</v>
      </c>
      <c r="AY268" s="226" t="s">
        <v>380</v>
      </c>
    </row>
    <row r="269" spans="1:65" s="2" customFormat="1" ht="16.5" customHeight="1">
      <c r="A269" s="36"/>
      <c r="B269" s="37"/>
      <c r="C269" s="181" t="s">
        <v>703</v>
      </c>
      <c r="D269" s="181" t="s">
        <v>382</v>
      </c>
      <c r="E269" s="182" t="s">
        <v>3009</v>
      </c>
      <c r="F269" s="183" t="s">
        <v>3010</v>
      </c>
      <c r="G269" s="184" t="s">
        <v>452</v>
      </c>
      <c r="H269" s="185">
        <v>128.45500000000001</v>
      </c>
      <c r="I269" s="186"/>
      <c r="J269" s="187">
        <f>ROUND(I269*H269,2)</f>
        <v>0</v>
      </c>
      <c r="K269" s="183" t="s">
        <v>19</v>
      </c>
      <c r="L269" s="41"/>
      <c r="M269" s="188" t="s">
        <v>19</v>
      </c>
      <c r="N269" s="189" t="s">
        <v>43</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281</v>
      </c>
      <c r="AT269" s="192" t="s">
        <v>382</v>
      </c>
      <c r="AU269" s="192" t="s">
        <v>82</v>
      </c>
      <c r="AY269" s="19" t="s">
        <v>380</v>
      </c>
      <c r="BE269" s="193">
        <f>IF(N269="základní",J269,0)</f>
        <v>0</v>
      </c>
      <c r="BF269" s="193">
        <f>IF(N269="snížená",J269,0)</f>
        <v>0</v>
      </c>
      <c r="BG269" s="193">
        <f>IF(N269="zákl. přenesená",J269,0)</f>
        <v>0</v>
      </c>
      <c r="BH269" s="193">
        <f>IF(N269="sníž. přenesená",J269,0)</f>
        <v>0</v>
      </c>
      <c r="BI269" s="193">
        <f>IF(N269="nulová",J269,0)</f>
        <v>0</v>
      </c>
      <c r="BJ269" s="19" t="s">
        <v>79</v>
      </c>
      <c r="BK269" s="193">
        <f>ROUND(I269*H269,2)</f>
        <v>0</v>
      </c>
      <c r="BL269" s="19" t="s">
        <v>281</v>
      </c>
      <c r="BM269" s="192" t="s">
        <v>163</v>
      </c>
    </row>
    <row r="270" spans="1:65" s="13" customFormat="1" ht="11.25">
      <c r="B270" s="194"/>
      <c r="C270" s="195"/>
      <c r="D270" s="196" t="s">
        <v>388</v>
      </c>
      <c r="E270" s="197" t="s">
        <v>19</v>
      </c>
      <c r="F270" s="198" t="s">
        <v>3007</v>
      </c>
      <c r="G270" s="195"/>
      <c r="H270" s="197" t="s">
        <v>19</v>
      </c>
      <c r="I270" s="199"/>
      <c r="J270" s="195"/>
      <c r="K270" s="195"/>
      <c r="L270" s="200"/>
      <c r="M270" s="201"/>
      <c r="N270" s="202"/>
      <c r="O270" s="202"/>
      <c r="P270" s="202"/>
      <c r="Q270" s="202"/>
      <c r="R270" s="202"/>
      <c r="S270" s="202"/>
      <c r="T270" s="203"/>
      <c r="AT270" s="204" t="s">
        <v>388</v>
      </c>
      <c r="AU270" s="204" t="s">
        <v>82</v>
      </c>
      <c r="AV270" s="13" t="s">
        <v>79</v>
      </c>
      <c r="AW270" s="13" t="s">
        <v>33</v>
      </c>
      <c r="AX270" s="13" t="s">
        <v>72</v>
      </c>
      <c r="AY270" s="204" t="s">
        <v>380</v>
      </c>
    </row>
    <row r="271" spans="1:65" s="14" customFormat="1" ht="11.25">
      <c r="B271" s="205"/>
      <c r="C271" s="206"/>
      <c r="D271" s="196" t="s">
        <v>388</v>
      </c>
      <c r="E271" s="207" t="s">
        <v>19</v>
      </c>
      <c r="F271" s="208" t="s">
        <v>3011</v>
      </c>
      <c r="G271" s="206"/>
      <c r="H271" s="209">
        <v>128.45500000000001</v>
      </c>
      <c r="I271" s="210"/>
      <c r="J271" s="206"/>
      <c r="K271" s="206"/>
      <c r="L271" s="211"/>
      <c r="M271" s="212"/>
      <c r="N271" s="213"/>
      <c r="O271" s="213"/>
      <c r="P271" s="213"/>
      <c r="Q271" s="213"/>
      <c r="R271" s="213"/>
      <c r="S271" s="213"/>
      <c r="T271" s="214"/>
      <c r="AT271" s="215" t="s">
        <v>388</v>
      </c>
      <c r="AU271" s="215" t="s">
        <v>82</v>
      </c>
      <c r="AV271" s="14" t="s">
        <v>82</v>
      </c>
      <c r="AW271" s="14" t="s">
        <v>33</v>
      </c>
      <c r="AX271" s="14" t="s">
        <v>72</v>
      </c>
      <c r="AY271" s="215" t="s">
        <v>380</v>
      </c>
    </row>
    <row r="272" spans="1:65" s="15" customFormat="1" ht="11.25">
      <c r="B272" s="216"/>
      <c r="C272" s="217"/>
      <c r="D272" s="196" t="s">
        <v>388</v>
      </c>
      <c r="E272" s="218" t="s">
        <v>19</v>
      </c>
      <c r="F272" s="219" t="s">
        <v>419</v>
      </c>
      <c r="G272" s="217"/>
      <c r="H272" s="220">
        <v>128.45500000000001</v>
      </c>
      <c r="I272" s="221"/>
      <c r="J272" s="217"/>
      <c r="K272" s="217"/>
      <c r="L272" s="222"/>
      <c r="M272" s="223"/>
      <c r="N272" s="224"/>
      <c r="O272" s="224"/>
      <c r="P272" s="224"/>
      <c r="Q272" s="224"/>
      <c r="R272" s="224"/>
      <c r="S272" s="224"/>
      <c r="T272" s="225"/>
      <c r="AT272" s="226" t="s">
        <v>388</v>
      </c>
      <c r="AU272" s="226" t="s">
        <v>82</v>
      </c>
      <c r="AV272" s="15" t="s">
        <v>386</v>
      </c>
      <c r="AW272" s="15" t="s">
        <v>33</v>
      </c>
      <c r="AX272" s="15" t="s">
        <v>79</v>
      </c>
      <c r="AY272" s="226" t="s">
        <v>380</v>
      </c>
    </row>
    <row r="273" spans="1:65" s="2" customFormat="1" ht="24.2" customHeight="1">
      <c r="A273" s="36"/>
      <c r="B273" s="37"/>
      <c r="C273" s="181" t="s">
        <v>709</v>
      </c>
      <c r="D273" s="181" t="s">
        <v>382</v>
      </c>
      <c r="E273" s="182" t="s">
        <v>3012</v>
      </c>
      <c r="F273" s="183" t="s">
        <v>3013</v>
      </c>
      <c r="G273" s="184" t="s">
        <v>3014</v>
      </c>
      <c r="H273" s="257"/>
      <c r="I273" s="186"/>
      <c r="J273" s="187">
        <f>ROUND(I273*H273,2)</f>
        <v>0</v>
      </c>
      <c r="K273" s="183" t="s">
        <v>19</v>
      </c>
      <c r="L273" s="41"/>
      <c r="M273" s="188" t="s">
        <v>19</v>
      </c>
      <c r="N273" s="189" t="s">
        <v>43</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281</v>
      </c>
      <c r="AT273" s="192" t="s">
        <v>382</v>
      </c>
      <c r="AU273" s="192" t="s">
        <v>82</v>
      </c>
      <c r="AY273" s="19" t="s">
        <v>380</v>
      </c>
      <c r="BE273" s="193">
        <f>IF(N273="základní",J273,0)</f>
        <v>0</v>
      </c>
      <c r="BF273" s="193">
        <f>IF(N273="snížená",J273,0)</f>
        <v>0</v>
      </c>
      <c r="BG273" s="193">
        <f>IF(N273="zákl. přenesená",J273,0)</f>
        <v>0</v>
      </c>
      <c r="BH273" s="193">
        <f>IF(N273="sníž. přenesená",J273,0)</f>
        <v>0</v>
      </c>
      <c r="BI273" s="193">
        <f>IF(N273="nulová",J273,0)</f>
        <v>0</v>
      </c>
      <c r="BJ273" s="19" t="s">
        <v>79</v>
      </c>
      <c r="BK273" s="193">
        <f>ROUND(I273*H273,2)</f>
        <v>0</v>
      </c>
      <c r="BL273" s="19" t="s">
        <v>281</v>
      </c>
      <c r="BM273" s="192" t="s">
        <v>1029</v>
      </c>
    </row>
    <row r="274" spans="1:65" s="12" customFormat="1" ht="22.9" customHeight="1">
      <c r="B274" s="165"/>
      <c r="C274" s="166"/>
      <c r="D274" s="167" t="s">
        <v>71</v>
      </c>
      <c r="E274" s="179" t="s">
        <v>3015</v>
      </c>
      <c r="F274" s="179" t="s">
        <v>3016</v>
      </c>
      <c r="G274" s="166"/>
      <c r="H274" s="166"/>
      <c r="I274" s="169"/>
      <c r="J274" s="180">
        <f>BK274</f>
        <v>0</v>
      </c>
      <c r="K274" s="166"/>
      <c r="L274" s="171"/>
      <c r="M274" s="172"/>
      <c r="N274" s="173"/>
      <c r="O274" s="173"/>
      <c r="P274" s="174">
        <f>SUM(P275:P425)</f>
        <v>0</v>
      </c>
      <c r="Q274" s="173"/>
      <c r="R274" s="174">
        <f>SUM(R275:R425)</f>
        <v>0</v>
      </c>
      <c r="S274" s="173"/>
      <c r="T274" s="175">
        <f>SUM(T275:T425)</f>
        <v>0</v>
      </c>
      <c r="AR274" s="176" t="s">
        <v>82</v>
      </c>
      <c r="AT274" s="177" t="s">
        <v>71</v>
      </c>
      <c r="AU274" s="177" t="s">
        <v>79</v>
      </c>
      <c r="AY274" s="176" t="s">
        <v>380</v>
      </c>
      <c r="BK274" s="178">
        <f>SUM(BK275:BK425)</f>
        <v>0</v>
      </c>
    </row>
    <row r="275" spans="1:65" s="2" customFormat="1" ht="16.5" customHeight="1">
      <c r="A275" s="36"/>
      <c r="B275" s="37"/>
      <c r="C275" s="181" t="s">
        <v>721</v>
      </c>
      <c r="D275" s="181" t="s">
        <v>382</v>
      </c>
      <c r="E275" s="182" t="s">
        <v>3017</v>
      </c>
      <c r="F275" s="183" t="s">
        <v>3018</v>
      </c>
      <c r="G275" s="184" t="s">
        <v>452</v>
      </c>
      <c r="H275" s="185">
        <v>12.074999999999999</v>
      </c>
      <c r="I275" s="186"/>
      <c r="J275" s="187">
        <f>ROUND(I275*H275,2)</f>
        <v>0</v>
      </c>
      <c r="K275" s="183" t="s">
        <v>19</v>
      </c>
      <c r="L275" s="41"/>
      <c r="M275" s="188" t="s">
        <v>19</v>
      </c>
      <c r="N275" s="189" t="s">
        <v>43</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281</v>
      </c>
      <c r="AT275" s="192" t="s">
        <v>382</v>
      </c>
      <c r="AU275" s="192" t="s">
        <v>82</v>
      </c>
      <c r="AY275" s="19" t="s">
        <v>380</v>
      </c>
      <c r="BE275" s="193">
        <f>IF(N275="základní",J275,0)</f>
        <v>0</v>
      </c>
      <c r="BF275" s="193">
        <f>IF(N275="snížená",J275,0)</f>
        <v>0</v>
      </c>
      <c r="BG275" s="193">
        <f>IF(N275="zákl. přenesená",J275,0)</f>
        <v>0</v>
      </c>
      <c r="BH275" s="193">
        <f>IF(N275="sníž. přenesená",J275,0)</f>
        <v>0</v>
      </c>
      <c r="BI275" s="193">
        <f>IF(N275="nulová",J275,0)</f>
        <v>0</v>
      </c>
      <c r="BJ275" s="19" t="s">
        <v>79</v>
      </c>
      <c r="BK275" s="193">
        <f>ROUND(I275*H275,2)</f>
        <v>0</v>
      </c>
      <c r="BL275" s="19" t="s">
        <v>281</v>
      </c>
      <c r="BM275" s="192" t="s">
        <v>1039</v>
      </c>
    </row>
    <row r="276" spans="1:65" s="14" customFormat="1" ht="11.25">
      <c r="B276" s="205"/>
      <c r="C276" s="206"/>
      <c r="D276" s="196" t="s">
        <v>388</v>
      </c>
      <c r="E276" s="207" t="s">
        <v>19</v>
      </c>
      <c r="F276" s="208" t="s">
        <v>3019</v>
      </c>
      <c r="G276" s="206"/>
      <c r="H276" s="209">
        <v>12.074999999999999</v>
      </c>
      <c r="I276" s="210"/>
      <c r="J276" s="206"/>
      <c r="K276" s="206"/>
      <c r="L276" s="211"/>
      <c r="M276" s="212"/>
      <c r="N276" s="213"/>
      <c r="O276" s="213"/>
      <c r="P276" s="213"/>
      <c r="Q276" s="213"/>
      <c r="R276" s="213"/>
      <c r="S276" s="213"/>
      <c r="T276" s="214"/>
      <c r="AT276" s="215" t="s">
        <v>388</v>
      </c>
      <c r="AU276" s="215" t="s">
        <v>82</v>
      </c>
      <c r="AV276" s="14" t="s">
        <v>82</v>
      </c>
      <c r="AW276" s="14" t="s">
        <v>33</v>
      </c>
      <c r="AX276" s="14" t="s">
        <v>72</v>
      </c>
      <c r="AY276" s="215" t="s">
        <v>380</v>
      </c>
    </row>
    <row r="277" spans="1:65" s="15" customFormat="1" ht="11.25">
      <c r="B277" s="216"/>
      <c r="C277" s="217"/>
      <c r="D277" s="196" t="s">
        <v>388</v>
      </c>
      <c r="E277" s="218" t="s">
        <v>19</v>
      </c>
      <c r="F277" s="219" t="s">
        <v>419</v>
      </c>
      <c r="G277" s="217"/>
      <c r="H277" s="220">
        <v>12.074999999999999</v>
      </c>
      <c r="I277" s="221"/>
      <c r="J277" s="217"/>
      <c r="K277" s="217"/>
      <c r="L277" s="222"/>
      <c r="M277" s="223"/>
      <c r="N277" s="224"/>
      <c r="O277" s="224"/>
      <c r="P277" s="224"/>
      <c r="Q277" s="224"/>
      <c r="R277" s="224"/>
      <c r="S277" s="224"/>
      <c r="T277" s="225"/>
      <c r="AT277" s="226" t="s">
        <v>388</v>
      </c>
      <c r="AU277" s="226" t="s">
        <v>82</v>
      </c>
      <c r="AV277" s="15" t="s">
        <v>386</v>
      </c>
      <c r="AW277" s="15" t="s">
        <v>33</v>
      </c>
      <c r="AX277" s="15" t="s">
        <v>79</v>
      </c>
      <c r="AY277" s="226" t="s">
        <v>380</v>
      </c>
    </row>
    <row r="278" spans="1:65" s="2" customFormat="1" ht="16.5" customHeight="1">
      <c r="A278" s="36"/>
      <c r="B278" s="37"/>
      <c r="C278" s="181" t="s">
        <v>733</v>
      </c>
      <c r="D278" s="181" t="s">
        <v>382</v>
      </c>
      <c r="E278" s="182" t="s">
        <v>3020</v>
      </c>
      <c r="F278" s="183" t="s">
        <v>3021</v>
      </c>
      <c r="G278" s="184" t="s">
        <v>452</v>
      </c>
      <c r="H278" s="185">
        <v>54.51</v>
      </c>
      <c r="I278" s="186"/>
      <c r="J278" s="187">
        <f>ROUND(I278*H278,2)</f>
        <v>0</v>
      </c>
      <c r="K278" s="183" t="s">
        <v>19</v>
      </c>
      <c r="L278" s="41"/>
      <c r="M278" s="188" t="s">
        <v>19</v>
      </c>
      <c r="N278" s="189" t="s">
        <v>43</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281</v>
      </c>
      <c r="AT278" s="192" t="s">
        <v>382</v>
      </c>
      <c r="AU278" s="192" t="s">
        <v>82</v>
      </c>
      <c r="AY278" s="19" t="s">
        <v>380</v>
      </c>
      <c r="BE278" s="193">
        <f>IF(N278="základní",J278,0)</f>
        <v>0</v>
      </c>
      <c r="BF278" s="193">
        <f>IF(N278="snížená",J278,0)</f>
        <v>0</v>
      </c>
      <c r="BG278" s="193">
        <f>IF(N278="zákl. přenesená",J278,0)</f>
        <v>0</v>
      </c>
      <c r="BH278" s="193">
        <f>IF(N278="sníž. přenesená",J278,0)</f>
        <v>0</v>
      </c>
      <c r="BI278" s="193">
        <f>IF(N278="nulová",J278,0)</f>
        <v>0</v>
      </c>
      <c r="BJ278" s="19" t="s">
        <v>79</v>
      </c>
      <c r="BK278" s="193">
        <f>ROUND(I278*H278,2)</f>
        <v>0</v>
      </c>
      <c r="BL278" s="19" t="s">
        <v>281</v>
      </c>
      <c r="BM278" s="192" t="s">
        <v>1049</v>
      </c>
    </row>
    <row r="279" spans="1:65" s="14" customFormat="1" ht="11.25">
      <c r="B279" s="205"/>
      <c r="C279" s="206"/>
      <c r="D279" s="196" t="s">
        <v>388</v>
      </c>
      <c r="E279" s="207" t="s">
        <v>19</v>
      </c>
      <c r="F279" s="208" t="s">
        <v>3022</v>
      </c>
      <c r="G279" s="206"/>
      <c r="H279" s="209">
        <v>54.51</v>
      </c>
      <c r="I279" s="210"/>
      <c r="J279" s="206"/>
      <c r="K279" s="206"/>
      <c r="L279" s="211"/>
      <c r="M279" s="212"/>
      <c r="N279" s="213"/>
      <c r="O279" s="213"/>
      <c r="P279" s="213"/>
      <c r="Q279" s="213"/>
      <c r="R279" s="213"/>
      <c r="S279" s="213"/>
      <c r="T279" s="214"/>
      <c r="AT279" s="215" t="s">
        <v>388</v>
      </c>
      <c r="AU279" s="215" t="s">
        <v>82</v>
      </c>
      <c r="AV279" s="14" t="s">
        <v>82</v>
      </c>
      <c r="AW279" s="14" t="s">
        <v>33</v>
      </c>
      <c r="AX279" s="14" t="s">
        <v>72</v>
      </c>
      <c r="AY279" s="215" t="s">
        <v>380</v>
      </c>
    </row>
    <row r="280" spans="1:65" s="15" customFormat="1" ht="11.25">
      <c r="B280" s="216"/>
      <c r="C280" s="217"/>
      <c r="D280" s="196" t="s">
        <v>388</v>
      </c>
      <c r="E280" s="218" t="s">
        <v>19</v>
      </c>
      <c r="F280" s="219" t="s">
        <v>419</v>
      </c>
      <c r="G280" s="217"/>
      <c r="H280" s="220">
        <v>54.51</v>
      </c>
      <c r="I280" s="221"/>
      <c r="J280" s="217"/>
      <c r="K280" s="217"/>
      <c r="L280" s="222"/>
      <c r="M280" s="223"/>
      <c r="N280" s="224"/>
      <c r="O280" s="224"/>
      <c r="P280" s="224"/>
      <c r="Q280" s="224"/>
      <c r="R280" s="224"/>
      <c r="S280" s="224"/>
      <c r="T280" s="225"/>
      <c r="AT280" s="226" t="s">
        <v>388</v>
      </c>
      <c r="AU280" s="226" t="s">
        <v>82</v>
      </c>
      <c r="AV280" s="15" t="s">
        <v>386</v>
      </c>
      <c r="AW280" s="15" t="s">
        <v>33</v>
      </c>
      <c r="AX280" s="15" t="s">
        <v>79</v>
      </c>
      <c r="AY280" s="226" t="s">
        <v>380</v>
      </c>
    </row>
    <row r="281" spans="1:65" s="2" customFormat="1" ht="16.5" customHeight="1">
      <c r="A281" s="36"/>
      <c r="B281" s="37"/>
      <c r="C281" s="181" t="s">
        <v>744</v>
      </c>
      <c r="D281" s="181" t="s">
        <v>382</v>
      </c>
      <c r="E281" s="182" t="s">
        <v>3023</v>
      </c>
      <c r="F281" s="183" t="s">
        <v>3024</v>
      </c>
      <c r="G281" s="184" t="s">
        <v>452</v>
      </c>
      <c r="H281" s="185">
        <v>4.5999999999999996</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281</v>
      </c>
      <c r="AT281" s="192" t="s">
        <v>382</v>
      </c>
      <c r="AU281" s="192" t="s">
        <v>82</v>
      </c>
      <c r="AY281" s="19" t="s">
        <v>380</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281</v>
      </c>
      <c r="BM281" s="192" t="s">
        <v>1059</v>
      </c>
    </row>
    <row r="282" spans="1:65" s="14" customFormat="1" ht="11.25">
      <c r="B282" s="205"/>
      <c r="C282" s="206"/>
      <c r="D282" s="196" t="s">
        <v>388</v>
      </c>
      <c r="E282" s="207" t="s">
        <v>19</v>
      </c>
      <c r="F282" s="208" t="s">
        <v>3025</v>
      </c>
      <c r="G282" s="206"/>
      <c r="H282" s="209">
        <v>4.5999999999999996</v>
      </c>
      <c r="I282" s="210"/>
      <c r="J282" s="206"/>
      <c r="K282" s="206"/>
      <c r="L282" s="211"/>
      <c r="M282" s="212"/>
      <c r="N282" s="213"/>
      <c r="O282" s="213"/>
      <c r="P282" s="213"/>
      <c r="Q282" s="213"/>
      <c r="R282" s="213"/>
      <c r="S282" s="213"/>
      <c r="T282" s="214"/>
      <c r="AT282" s="215" t="s">
        <v>388</v>
      </c>
      <c r="AU282" s="215" t="s">
        <v>82</v>
      </c>
      <c r="AV282" s="14" t="s">
        <v>82</v>
      </c>
      <c r="AW282" s="14" t="s">
        <v>33</v>
      </c>
      <c r="AX282" s="14" t="s">
        <v>72</v>
      </c>
      <c r="AY282" s="215" t="s">
        <v>380</v>
      </c>
    </row>
    <row r="283" spans="1:65" s="15" customFormat="1" ht="11.25">
      <c r="B283" s="216"/>
      <c r="C283" s="217"/>
      <c r="D283" s="196" t="s">
        <v>388</v>
      </c>
      <c r="E283" s="218" t="s">
        <v>19</v>
      </c>
      <c r="F283" s="219" t="s">
        <v>419</v>
      </c>
      <c r="G283" s="217"/>
      <c r="H283" s="220">
        <v>4.5999999999999996</v>
      </c>
      <c r="I283" s="221"/>
      <c r="J283" s="217"/>
      <c r="K283" s="217"/>
      <c r="L283" s="222"/>
      <c r="M283" s="223"/>
      <c r="N283" s="224"/>
      <c r="O283" s="224"/>
      <c r="P283" s="224"/>
      <c r="Q283" s="224"/>
      <c r="R283" s="224"/>
      <c r="S283" s="224"/>
      <c r="T283" s="225"/>
      <c r="AT283" s="226" t="s">
        <v>388</v>
      </c>
      <c r="AU283" s="226" t="s">
        <v>82</v>
      </c>
      <c r="AV283" s="15" t="s">
        <v>386</v>
      </c>
      <c r="AW283" s="15" t="s">
        <v>33</v>
      </c>
      <c r="AX283" s="15" t="s">
        <v>79</v>
      </c>
      <c r="AY283" s="226" t="s">
        <v>380</v>
      </c>
    </row>
    <row r="284" spans="1:65" s="2" customFormat="1" ht="16.5" customHeight="1">
      <c r="A284" s="36"/>
      <c r="B284" s="37"/>
      <c r="C284" s="181" t="s">
        <v>753</v>
      </c>
      <c r="D284" s="181" t="s">
        <v>382</v>
      </c>
      <c r="E284" s="182" t="s">
        <v>3026</v>
      </c>
      <c r="F284" s="183" t="s">
        <v>3027</v>
      </c>
      <c r="G284" s="184" t="s">
        <v>452</v>
      </c>
      <c r="H284" s="185">
        <v>20.7</v>
      </c>
      <c r="I284" s="186"/>
      <c r="J284" s="187">
        <f>ROUND(I284*H284,2)</f>
        <v>0</v>
      </c>
      <c r="K284" s="183" t="s">
        <v>19</v>
      </c>
      <c r="L284" s="41"/>
      <c r="M284" s="188" t="s">
        <v>19</v>
      </c>
      <c r="N284" s="189" t="s">
        <v>43</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281</v>
      </c>
      <c r="AT284" s="192" t="s">
        <v>382</v>
      </c>
      <c r="AU284" s="192" t="s">
        <v>82</v>
      </c>
      <c r="AY284" s="19" t="s">
        <v>380</v>
      </c>
      <c r="BE284" s="193">
        <f>IF(N284="základní",J284,0)</f>
        <v>0</v>
      </c>
      <c r="BF284" s="193">
        <f>IF(N284="snížená",J284,0)</f>
        <v>0</v>
      </c>
      <c r="BG284" s="193">
        <f>IF(N284="zákl. přenesená",J284,0)</f>
        <v>0</v>
      </c>
      <c r="BH284" s="193">
        <f>IF(N284="sníž. přenesená",J284,0)</f>
        <v>0</v>
      </c>
      <c r="BI284" s="193">
        <f>IF(N284="nulová",J284,0)</f>
        <v>0</v>
      </c>
      <c r="BJ284" s="19" t="s">
        <v>79</v>
      </c>
      <c r="BK284" s="193">
        <f>ROUND(I284*H284,2)</f>
        <v>0</v>
      </c>
      <c r="BL284" s="19" t="s">
        <v>281</v>
      </c>
      <c r="BM284" s="192" t="s">
        <v>1068</v>
      </c>
    </row>
    <row r="285" spans="1:65" s="13" customFormat="1" ht="11.25">
      <c r="B285" s="194"/>
      <c r="C285" s="195"/>
      <c r="D285" s="196" t="s">
        <v>388</v>
      </c>
      <c r="E285" s="197" t="s">
        <v>19</v>
      </c>
      <c r="F285" s="198" t="s">
        <v>3028</v>
      </c>
      <c r="G285" s="195"/>
      <c r="H285" s="197" t="s">
        <v>19</v>
      </c>
      <c r="I285" s="199"/>
      <c r="J285" s="195"/>
      <c r="K285" s="195"/>
      <c r="L285" s="200"/>
      <c r="M285" s="201"/>
      <c r="N285" s="202"/>
      <c r="O285" s="202"/>
      <c r="P285" s="202"/>
      <c r="Q285" s="202"/>
      <c r="R285" s="202"/>
      <c r="S285" s="202"/>
      <c r="T285" s="203"/>
      <c r="AT285" s="204" t="s">
        <v>388</v>
      </c>
      <c r="AU285" s="204" t="s">
        <v>82</v>
      </c>
      <c r="AV285" s="13" t="s">
        <v>79</v>
      </c>
      <c r="AW285" s="13" t="s">
        <v>33</v>
      </c>
      <c r="AX285" s="13" t="s">
        <v>72</v>
      </c>
      <c r="AY285" s="204" t="s">
        <v>380</v>
      </c>
    </row>
    <row r="286" spans="1:65" s="14" customFormat="1" ht="11.25">
      <c r="B286" s="205"/>
      <c r="C286" s="206"/>
      <c r="D286" s="196" t="s">
        <v>388</v>
      </c>
      <c r="E286" s="207" t="s">
        <v>19</v>
      </c>
      <c r="F286" s="208" t="s">
        <v>3029</v>
      </c>
      <c r="G286" s="206"/>
      <c r="H286" s="209">
        <v>11.5</v>
      </c>
      <c r="I286" s="210"/>
      <c r="J286" s="206"/>
      <c r="K286" s="206"/>
      <c r="L286" s="211"/>
      <c r="M286" s="212"/>
      <c r="N286" s="213"/>
      <c r="O286" s="213"/>
      <c r="P286" s="213"/>
      <c r="Q286" s="213"/>
      <c r="R286" s="213"/>
      <c r="S286" s="213"/>
      <c r="T286" s="214"/>
      <c r="AT286" s="215" t="s">
        <v>388</v>
      </c>
      <c r="AU286" s="215" t="s">
        <v>82</v>
      </c>
      <c r="AV286" s="14" t="s">
        <v>82</v>
      </c>
      <c r="AW286" s="14" t="s">
        <v>33</v>
      </c>
      <c r="AX286" s="14" t="s">
        <v>72</v>
      </c>
      <c r="AY286" s="215" t="s">
        <v>380</v>
      </c>
    </row>
    <row r="287" spans="1:65" s="13" customFormat="1" ht="11.25">
      <c r="B287" s="194"/>
      <c r="C287" s="195"/>
      <c r="D287" s="196" t="s">
        <v>388</v>
      </c>
      <c r="E287" s="197" t="s">
        <v>19</v>
      </c>
      <c r="F287" s="198" t="s">
        <v>3030</v>
      </c>
      <c r="G287" s="195"/>
      <c r="H287" s="197" t="s">
        <v>19</v>
      </c>
      <c r="I287" s="199"/>
      <c r="J287" s="195"/>
      <c r="K287" s="195"/>
      <c r="L287" s="200"/>
      <c r="M287" s="201"/>
      <c r="N287" s="202"/>
      <c r="O287" s="202"/>
      <c r="P287" s="202"/>
      <c r="Q287" s="202"/>
      <c r="R287" s="202"/>
      <c r="S287" s="202"/>
      <c r="T287" s="203"/>
      <c r="AT287" s="204" t="s">
        <v>388</v>
      </c>
      <c r="AU287" s="204" t="s">
        <v>82</v>
      </c>
      <c r="AV287" s="13" t="s">
        <v>79</v>
      </c>
      <c r="AW287" s="13" t="s">
        <v>33</v>
      </c>
      <c r="AX287" s="13" t="s">
        <v>72</v>
      </c>
      <c r="AY287" s="204" t="s">
        <v>380</v>
      </c>
    </row>
    <row r="288" spans="1:65" s="14" customFormat="1" ht="11.25">
      <c r="B288" s="205"/>
      <c r="C288" s="206"/>
      <c r="D288" s="196" t="s">
        <v>388</v>
      </c>
      <c r="E288" s="207" t="s">
        <v>19</v>
      </c>
      <c r="F288" s="208" t="s">
        <v>2492</v>
      </c>
      <c r="G288" s="206"/>
      <c r="H288" s="209">
        <v>9.1999999999999993</v>
      </c>
      <c r="I288" s="210"/>
      <c r="J288" s="206"/>
      <c r="K288" s="206"/>
      <c r="L288" s="211"/>
      <c r="M288" s="212"/>
      <c r="N288" s="213"/>
      <c r="O288" s="213"/>
      <c r="P288" s="213"/>
      <c r="Q288" s="213"/>
      <c r="R288" s="213"/>
      <c r="S288" s="213"/>
      <c r="T288" s="214"/>
      <c r="AT288" s="215" t="s">
        <v>388</v>
      </c>
      <c r="AU288" s="215" t="s">
        <v>82</v>
      </c>
      <c r="AV288" s="14" t="s">
        <v>82</v>
      </c>
      <c r="AW288" s="14" t="s">
        <v>33</v>
      </c>
      <c r="AX288" s="14" t="s">
        <v>72</v>
      </c>
      <c r="AY288" s="215" t="s">
        <v>380</v>
      </c>
    </row>
    <row r="289" spans="1:65" s="15" customFormat="1" ht="11.25">
      <c r="B289" s="216"/>
      <c r="C289" s="217"/>
      <c r="D289" s="196" t="s">
        <v>388</v>
      </c>
      <c r="E289" s="218" t="s">
        <v>19</v>
      </c>
      <c r="F289" s="219" t="s">
        <v>2544</v>
      </c>
      <c r="G289" s="217"/>
      <c r="H289" s="220">
        <v>20.7</v>
      </c>
      <c r="I289" s="221"/>
      <c r="J289" s="217"/>
      <c r="K289" s="217"/>
      <c r="L289" s="222"/>
      <c r="M289" s="223"/>
      <c r="N289" s="224"/>
      <c r="O289" s="224"/>
      <c r="P289" s="224"/>
      <c r="Q289" s="224"/>
      <c r="R289" s="224"/>
      <c r="S289" s="224"/>
      <c r="T289" s="225"/>
      <c r="AT289" s="226" t="s">
        <v>388</v>
      </c>
      <c r="AU289" s="226" t="s">
        <v>82</v>
      </c>
      <c r="AV289" s="15" t="s">
        <v>386</v>
      </c>
      <c r="AW289" s="15" t="s">
        <v>33</v>
      </c>
      <c r="AX289" s="15" t="s">
        <v>79</v>
      </c>
      <c r="AY289" s="226" t="s">
        <v>380</v>
      </c>
    </row>
    <row r="290" spans="1:65" s="2" customFormat="1" ht="16.5" customHeight="1">
      <c r="A290" s="36"/>
      <c r="B290" s="37"/>
      <c r="C290" s="227" t="s">
        <v>760</v>
      </c>
      <c r="D290" s="227" t="s">
        <v>465</v>
      </c>
      <c r="E290" s="228" t="s">
        <v>3031</v>
      </c>
      <c r="F290" s="229" t="s">
        <v>3032</v>
      </c>
      <c r="G290" s="230" t="s">
        <v>452</v>
      </c>
      <c r="H290" s="231">
        <v>20.7</v>
      </c>
      <c r="I290" s="232"/>
      <c r="J290" s="233">
        <f>ROUND(I290*H290,2)</f>
        <v>0</v>
      </c>
      <c r="K290" s="229" t="s">
        <v>19</v>
      </c>
      <c r="L290" s="234"/>
      <c r="M290" s="235" t="s">
        <v>19</v>
      </c>
      <c r="N290" s="236" t="s">
        <v>43</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546</v>
      </c>
      <c r="AT290" s="192" t="s">
        <v>465</v>
      </c>
      <c r="AU290" s="192" t="s">
        <v>82</v>
      </c>
      <c r="AY290" s="19" t="s">
        <v>380</v>
      </c>
      <c r="BE290" s="193">
        <f>IF(N290="základní",J290,0)</f>
        <v>0</v>
      </c>
      <c r="BF290" s="193">
        <f>IF(N290="snížená",J290,0)</f>
        <v>0</v>
      </c>
      <c r="BG290" s="193">
        <f>IF(N290="zákl. přenesená",J290,0)</f>
        <v>0</v>
      </c>
      <c r="BH290" s="193">
        <f>IF(N290="sníž. přenesená",J290,0)</f>
        <v>0</v>
      </c>
      <c r="BI290" s="193">
        <f>IF(N290="nulová",J290,0)</f>
        <v>0</v>
      </c>
      <c r="BJ290" s="19" t="s">
        <v>79</v>
      </c>
      <c r="BK290" s="193">
        <f>ROUND(I290*H290,2)</f>
        <v>0</v>
      </c>
      <c r="BL290" s="19" t="s">
        <v>281</v>
      </c>
      <c r="BM290" s="192" t="s">
        <v>1079</v>
      </c>
    </row>
    <row r="291" spans="1:65" s="2" customFormat="1" ht="16.5" customHeight="1">
      <c r="A291" s="36"/>
      <c r="B291" s="37"/>
      <c r="C291" s="181" t="s">
        <v>767</v>
      </c>
      <c r="D291" s="181" t="s">
        <v>382</v>
      </c>
      <c r="E291" s="182" t="s">
        <v>3033</v>
      </c>
      <c r="F291" s="183" t="s">
        <v>3034</v>
      </c>
      <c r="G291" s="184" t="s">
        <v>452</v>
      </c>
      <c r="H291" s="185">
        <v>106.375</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281</v>
      </c>
      <c r="AT291" s="192" t="s">
        <v>382</v>
      </c>
      <c r="AU291" s="192" t="s">
        <v>82</v>
      </c>
      <c r="AY291" s="19" t="s">
        <v>380</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281</v>
      </c>
      <c r="BM291" s="192" t="s">
        <v>1095</v>
      </c>
    </row>
    <row r="292" spans="1:65" s="13" customFormat="1" ht="11.25">
      <c r="B292" s="194"/>
      <c r="C292" s="195"/>
      <c r="D292" s="196" t="s">
        <v>388</v>
      </c>
      <c r="E292" s="197" t="s">
        <v>19</v>
      </c>
      <c r="F292" s="198" t="s">
        <v>3028</v>
      </c>
      <c r="G292" s="195"/>
      <c r="H292" s="197" t="s">
        <v>19</v>
      </c>
      <c r="I292" s="199"/>
      <c r="J292" s="195"/>
      <c r="K292" s="195"/>
      <c r="L292" s="200"/>
      <c r="M292" s="201"/>
      <c r="N292" s="202"/>
      <c r="O292" s="202"/>
      <c r="P292" s="202"/>
      <c r="Q292" s="202"/>
      <c r="R292" s="202"/>
      <c r="S292" s="202"/>
      <c r="T292" s="203"/>
      <c r="AT292" s="204" t="s">
        <v>388</v>
      </c>
      <c r="AU292" s="204" t="s">
        <v>82</v>
      </c>
      <c r="AV292" s="13" t="s">
        <v>79</v>
      </c>
      <c r="AW292" s="13" t="s">
        <v>33</v>
      </c>
      <c r="AX292" s="13" t="s">
        <v>72</v>
      </c>
      <c r="AY292" s="204" t="s">
        <v>380</v>
      </c>
    </row>
    <row r="293" spans="1:65" s="14" customFormat="1" ht="11.25">
      <c r="B293" s="205"/>
      <c r="C293" s="206"/>
      <c r="D293" s="196" t="s">
        <v>388</v>
      </c>
      <c r="E293" s="207" t="s">
        <v>19</v>
      </c>
      <c r="F293" s="208" t="s">
        <v>3035</v>
      </c>
      <c r="G293" s="206"/>
      <c r="H293" s="209">
        <v>69</v>
      </c>
      <c r="I293" s="210"/>
      <c r="J293" s="206"/>
      <c r="K293" s="206"/>
      <c r="L293" s="211"/>
      <c r="M293" s="212"/>
      <c r="N293" s="213"/>
      <c r="O293" s="213"/>
      <c r="P293" s="213"/>
      <c r="Q293" s="213"/>
      <c r="R293" s="213"/>
      <c r="S293" s="213"/>
      <c r="T293" s="214"/>
      <c r="AT293" s="215" t="s">
        <v>388</v>
      </c>
      <c r="AU293" s="215" t="s">
        <v>82</v>
      </c>
      <c r="AV293" s="14" t="s">
        <v>82</v>
      </c>
      <c r="AW293" s="14" t="s">
        <v>33</v>
      </c>
      <c r="AX293" s="14" t="s">
        <v>72</v>
      </c>
      <c r="AY293" s="215" t="s">
        <v>380</v>
      </c>
    </row>
    <row r="294" spans="1:65" s="13" customFormat="1" ht="11.25">
      <c r="B294" s="194"/>
      <c r="C294" s="195"/>
      <c r="D294" s="196" t="s">
        <v>388</v>
      </c>
      <c r="E294" s="197" t="s">
        <v>19</v>
      </c>
      <c r="F294" s="198" t="s">
        <v>3030</v>
      </c>
      <c r="G294" s="195"/>
      <c r="H294" s="197" t="s">
        <v>19</v>
      </c>
      <c r="I294" s="199"/>
      <c r="J294" s="195"/>
      <c r="K294" s="195"/>
      <c r="L294" s="200"/>
      <c r="M294" s="201"/>
      <c r="N294" s="202"/>
      <c r="O294" s="202"/>
      <c r="P294" s="202"/>
      <c r="Q294" s="202"/>
      <c r="R294" s="202"/>
      <c r="S294" s="202"/>
      <c r="T294" s="203"/>
      <c r="AT294" s="204" t="s">
        <v>388</v>
      </c>
      <c r="AU294" s="204" t="s">
        <v>82</v>
      </c>
      <c r="AV294" s="13" t="s">
        <v>79</v>
      </c>
      <c r="AW294" s="13" t="s">
        <v>33</v>
      </c>
      <c r="AX294" s="13" t="s">
        <v>72</v>
      </c>
      <c r="AY294" s="204" t="s">
        <v>380</v>
      </c>
    </row>
    <row r="295" spans="1:65" s="14" customFormat="1" ht="11.25">
      <c r="B295" s="205"/>
      <c r="C295" s="206"/>
      <c r="D295" s="196" t="s">
        <v>388</v>
      </c>
      <c r="E295" s="207" t="s">
        <v>19</v>
      </c>
      <c r="F295" s="208" t="s">
        <v>3036</v>
      </c>
      <c r="G295" s="206"/>
      <c r="H295" s="209">
        <v>37.375</v>
      </c>
      <c r="I295" s="210"/>
      <c r="J295" s="206"/>
      <c r="K295" s="206"/>
      <c r="L295" s="211"/>
      <c r="M295" s="212"/>
      <c r="N295" s="213"/>
      <c r="O295" s="213"/>
      <c r="P295" s="213"/>
      <c r="Q295" s="213"/>
      <c r="R295" s="213"/>
      <c r="S295" s="213"/>
      <c r="T295" s="214"/>
      <c r="AT295" s="215" t="s">
        <v>388</v>
      </c>
      <c r="AU295" s="215" t="s">
        <v>82</v>
      </c>
      <c r="AV295" s="14" t="s">
        <v>82</v>
      </c>
      <c r="AW295" s="14" t="s">
        <v>33</v>
      </c>
      <c r="AX295" s="14" t="s">
        <v>72</v>
      </c>
      <c r="AY295" s="215" t="s">
        <v>380</v>
      </c>
    </row>
    <row r="296" spans="1:65" s="15" customFormat="1" ht="11.25">
      <c r="B296" s="216"/>
      <c r="C296" s="217"/>
      <c r="D296" s="196" t="s">
        <v>388</v>
      </c>
      <c r="E296" s="218" t="s">
        <v>19</v>
      </c>
      <c r="F296" s="219" t="s">
        <v>2544</v>
      </c>
      <c r="G296" s="217"/>
      <c r="H296" s="220">
        <v>106.375</v>
      </c>
      <c r="I296" s="221"/>
      <c r="J296" s="217"/>
      <c r="K296" s="217"/>
      <c r="L296" s="222"/>
      <c r="M296" s="223"/>
      <c r="N296" s="224"/>
      <c r="O296" s="224"/>
      <c r="P296" s="224"/>
      <c r="Q296" s="224"/>
      <c r="R296" s="224"/>
      <c r="S296" s="224"/>
      <c r="T296" s="225"/>
      <c r="AT296" s="226" t="s">
        <v>388</v>
      </c>
      <c r="AU296" s="226" t="s">
        <v>82</v>
      </c>
      <c r="AV296" s="15" t="s">
        <v>386</v>
      </c>
      <c r="AW296" s="15" t="s">
        <v>33</v>
      </c>
      <c r="AX296" s="15" t="s">
        <v>79</v>
      </c>
      <c r="AY296" s="226" t="s">
        <v>380</v>
      </c>
    </row>
    <row r="297" spans="1:65" s="2" customFormat="1" ht="16.5" customHeight="1">
      <c r="A297" s="36"/>
      <c r="B297" s="37"/>
      <c r="C297" s="227" t="s">
        <v>771</v>
      </c>
      <c r="D297" s="227" t="s">
        <v>465</v>
      </c>
      <c r="E297" s="228" t="s">
        <v>3037</v>
      </c>
      <c r="F297" s="229" t="s">
        <v>3038</v>
      </c>
      <c r="G297" s="230" t="s">
        <v>452</v>
      </c>
      <c r="H297" s="231">
        <v>106.375</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546</v>
      </c>
      <c r="AT297" s="192" t="s">
        <v>465</v>
      </c>
      <c r="AU297" s="192" t="s">
        <v>82</v>
      </c>
      <c r="AY297" s="19" t="s">
        <v>380</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281</v>
      </c>
      <c r="BM297" s="192" t="s">
        <v>1112</v>
      </c>
    </row>
    <row r="298" spans="1:65" s="2" customFormat="1" ht="16.5" customHeight="1">
      <c r="A298" s="36"/>
      <c r="B298" s="37"/>
      <c r="C298" s="181" t="s">
        <v>776</v>
      </c>
      <c r="D298" s="181" t="s">
        <v>382</v>
      </c>
      <c r="E298" s="182" t="s">
        <v>3039</v>
      </c>
      <c r="F298" s="183" t="s">
        <v>3040</v>
      </c>
      <c r="G298" s="184" t="s">
        <v>452</v>
      </c>
      <c r="H298" s="185">
        <v>74.174999999999997</v>
      </c>
      <c r="I298" s="186"/>
      <c r="J298" s="187">
        <f>ROUND(I298*H298,2)</f>
        <v>0</v>
      </c>
      <c r="K298" s="183" t="s">
        <v>19</v>
      </c>
      <c r="L298" s="41"/>
      <c r="M298" s="188" t="s">
        <v>19</v>
      </c>
      <c r="N298" s="189"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281</v>
      </c>
      <c r="AT298" s="192" t="s">
        <v>382</v>
      </c>
      <c r="AU298" s="192" t="s">
        <v>82</v>
      </c>
      <c r="AY298" s="19" t="s">
        <v>380</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281</v>
      </c>
      <c r="BM298" s="192" t="s">
        <v>1122</v>
      </c>
    </row>
    <row r="299" spans="1:65" s="13" customFormat="1" ht="11.25">
      <c r="B299" s="194"/>
      <c r="C299" s="195"/>
      <c r="D299" s="196" t="s">
        <v>388</v>
      </c>
      <c r="E299" s="197" t="s">
        <v>19</v>
      </c>
      <c r="F299" s="198" t="s">
        <v>3028</v>
      </c>
      <c r="G299" s="195"/>
      <c r="H299" s="197" t="s">
        <v>19</v>
      </c>
      <c r="I299" s="199"/>
      <c r="J299" s="195"/>
      <c r="K299" s="195"/>
      <c r="L299" s="200"/>
      <c r="M299" s="201"/>
      <c r="N299" s="202"/>
      <c r="O299" s="202"/>
      <c r="P299" s="202"/>
      <c r="Q299" s="202"/>
      <c r="R299" s="202"/>
      <c r="S299" s="202"/>
      <c r="T299" s="203"/>
      <c r="AT299" s="204" t="s">
        <v>388</v>
      </c>
      <c r="AU299" s="204" t="s">
        <v>82</v>
      </c>
      <c r="AV299" s="13" t="s">
        <v>79</v>
      </c>
      <c r="AW299" s="13" t="s">
        <v>33</v>
      </c>
      <c r="AX299" s="13" t="s">
        <v>72</v>
      </c>
      <c r="AY299" s="204" t="s">
        <v>380</v>
      </c>
    </row>
    <row r="300" spans="1:65" s="14" customFormat="1" ht="11.25">
      <c r="B300" s="205"/>
      <c r="C300" s="206"/>
      <c r="D300" s="196" t="s">
        <v>388</v>
      </c>
      <c r="E300" s="207" t="s">
        <v>19</v>
      </c>
      <c r="F300" s="208" t="s">
        <v>3041</v>
      </c>
      <c r="G300" s="206"/>
      <c r="H300" s="209">
        <v>74.174999999999997</v>
      </c>
      <c r="I300" s="210"/>
      <c r="J300" s="206"/>
      <c r="K300" s="206"/>
      <c r="L300" s="211"/>
      <c r="M300" s="212"/>
      <c r="N300" s="213"/>
      <c r="O300" s="213"/>
      <c r="P300" s="213"/>
      <c r="Q300" s="213"/>
      <c r="R300" s="213"/>
      <c r="S300" s="213"/>
      <c r="T300" s="214"/>
      <c r="AT300" s="215" t="s">
        <v>388</v>
      </c>
      <c r="AU300" s="215" t="s">
        <v>82</v>
      </c>
      <c r="AV300" s="14" t="s">
        <v>82</v>
      </c>
      <c r="AW300" s="14" t="s">
        <v>33</v>
      </c>
      <c r="AX300" s="14" t="s">
        <v>72</v>
      </c>
      <c r="AY300" s="215" t="s">
        <v>380</v>
      </c>
    </row>
    <row r="301" spans="1:65" s="15" customFormat="1" ht="11.25">
      <c r="B301" s="216"/>
      <c r="C301" s="217"/>
      <c r="D301" s="196" t="s">
        <v>388</v>
      </c>
      <c r="E301" s="218" t="s">
        <v>19</v>
      </c>
      <c r="F301" s="219" t="s">
        <v>419</v>
      </c>
      <c r="G301" s="217"/>
      <c r="H301" s="220">
        <v>74.174999999999997</v>
      </c>
      <c r="I301" s="221"/>
      <c r="J301" s="217"/>
      <c r="K301" s="217"/>
      <c r="L301" s="222"/>
      <c r="M301" s="223"/>
      <c r="N301" s="224"/>
      <c r="O301" s="224"/>
      <c r="P301" s="224"/>
      <c r="Q301" s="224"/>
      <c r="R301" s="224"/>
      <c r="S301" s="224"/>
      <c r="T301" s="225"/>
      <c r="AT301" s="226" t="s">
        <v>388</v>
      </c>
      <c r="AU301" s="226" t="s">
        <v>82</v>
      </c>
      <c r="AV301" s="15" t="s">
        <v>386</v>
      </c>
      <c r="AW301" s="15" t="s">
        <v>33</v>
      </c>
      <c r="AX301" s="15" t="s">
        <v>79</v>
      </c>
      <c r="AY301" s="226" t="s">
        <v>380</v>
      </c>
    </row>
    <row r="302" spans="1:65" s="2" customFormat="1" ht="16.5" customHeight="1">
      <c r="A302" s="36"/>
      <c r="B302" s="37"/>
      <c r="C302" s="227" t="s">
        <v>782</v>
      </c>
      <c r="D302" s="227" t="s">
        <v>465</v>
      </c>
      <c r="E302" s="228" t="s">
        <v>3042</v>
      </c>
      <c r="F302" s="229" t="s">
        <v>3043</v>
      </c>
      <c r="G302" s="230" t="s">
        <v>452</v>
      </c>
      <c r="H302" s="231">
        <v>74.174999999999997</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546</v>
      </c>
      <c r="AT302" s="192" t="s">
        <v>465</v>
      </c>
      <c r="AU302" s="192" t="s">
        <v>82</v>
      </c>
      <c r="AY302" s="19" t="s">
        <v>380</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281</v>
      </c>
      <c r="BM302" s="192" t="s">
        <v>1131</v>
      </c>
    </row>
    <row r="303" spans="1:65" s="2" customFormat="1" ht="16.5" customHeight="1">
      <c r="A303" s="36"/>
      <c r="B303" s="37"/>
      <c r="C303" s="181" t="s">
        <v>787</v>
      </c>
      <c r="D303" s="181" t="s">
        <v>382</v>
      </c>
      <c r="E303" s="182" t="s">
        <v>3044</v>
      </c>
      <c r="F303" s="183" t="s">
        <v>3045</v>
      </c>
      <c r="G303" s="184" t="s">
        <v>452</v>
      </c>
      <c r="H303" s="185">
        <v>31.164999999999999</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281</v>
      </c>
      <c r="AT303" s="192" t="s">
        <v>382</v>
      </c>
      <c r="AU303" s="192" t="s">
        <v>82</v>
      </c>
      <c r="AY303" s="19" t="s">
        <v>380</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281</v>
      </c>
      <c r="BM303" s="192" t="s">
        <v>1140</v>
      </c>
    </row>
    <row r="304" spans="1:65" s="13" customFormat="1" ht="11.25">
      <c r="B304" s="194"/>
      <c r="C304" s="195"/>
      <c r="D304" s="196" t="s">
        <v>388</v>
      </c>
      <c r="E304" s="197" t="s">
        <v>19</v>
      </c>
      <c r="F304" s="198" t="s">
        <v>3028</v>
      </c>
      <c r="G304" s="195"/>
      <c r="H304" s="197" t="s">
        <v>19</v>
      </c>
      <c r="I304" s="199"/>
      <c r="J304" s="195"/>
      <c r="K304" s="195"/>
      <c r="L304" s="200"/>
      <c r="M304" s="201"/>
      <c r="N304" s="202"/>
      <c r="O304" s="202"/>
      <c r="P304" s="202"/>
      <c r="Q304" s="202"/>
      <c r="R304" s="202"/>
      <c r="S304" s="202"/>
      <c r="T304" s="203"/>
      <c r="AT304" s="204" t="s">
        <v>388</v>
      </c>
      <c r="AU304" s="204" t="s">
        <v>82</v>
      </c>
      <c r="AV304" s="13" t="s">
        <v>79</v>
      </c>
      <c r="AW304" s="13" t="s">
        <v>33</v>
      </c>
      <c r="AX304" s="13" t="s">
        <v>72</v>
      </c>
      <c r="AY304" s="204" t="s">
        <v>380</v>
      </c>
    </row>
    <row r="305" spans="1:65" s="14" customFormat="1" ht="11.25">
      <c r="B305" s="205"/>
      <c r="C305" s="206"/>
      <c r="D305" s="196" t="s">
        <v>388</v>
      </c>
      <c r="E305" s="207" t="s">
        <v>19</v>
      </c>
      <c r="F305" s="208" t="s">
        <v>3046</v>
      </c>
      <c r="G305" s="206"/>
      <c r="H305" s="209">
        <v>31.164999999999999</v>
      </c>
      <c r="I305" s="210"/>
      <c r="J305" s="206"/>
      <c r="K305" s="206"/>
      <c r="L305" s="211"/>
      <c r="M305" s="212"/>
      <c r="N305" s="213"/>
      <c r="O305" s="213"/>
      <c r="P305" s="213"/>
      <c r="Q305" s="213"/>
      <c r="R305" s="213"/>
      <c r="S305" s="213"/>
      <c r="T305" s="214"/>
      <c r="AT305" s="215" t="s">
        <v>388</v>
      </c>
      <c r="AU305" s="215" t="s">
        <v>82</v>
      </c>
      <c r="AV305" s="14" t="s">
        <v>82</v>
      </c>
      <c r="AW305" s="14" t="s">
        <v>33</v>
      </c>
      <c r="AX305" s="14" t="s">
        <v>72</v>
      </c>
      <c r="AY305" s="215" t="s">
        <v>380</v>
      </c>
    </row>
    <row r="306" spans="1:65" s="15" customFormat="1" ht="11.25">
      <c r="B306" s="216"/>
      <c r="C306" s="217"/>
      <c r="D306" s="196" t="s">
        <v>388</v>
      </c>
      <c r="E306" s="218" t="s">
        <v>19</v>
      </c>
      <c r="F306" s="219" t="s">
        <v>419</v>
      </c>
      <c r="G306" s="217"/>
      <c r="H306" s="220">
        <v>31.164999999999999</v>
      </c>
      <c r="I306" s="221"/>
      <c r="J306" s="217"/>
      <c r="K306" s="217"/>
      <c r="L306" s="222"/>
      <c r="M306" s="223"/>
      <c r="N306" s="224"/>
      <c r="O306" s="224"/>
      <c r="P306" s="224"/>
      <c r="Q306" s="224"/>
      <c r="R306" s="224"/>
      <c r="S306" s="224"/>
      <c r="T306" s="225"/>
      <c r="AT306" s="226" t="s">
        <v>388</v>
      </c>
      <c r="AU306" s="226" t="s">
        <v>82</v>
      </c>
      <c r="AV306" s="15" t="s">
        <v>386</v>
      </c>
      <c r="AW306" s="15" t="s">
        <v>33</v>
      </c>
      <c r="AX306" s="15" t="s">
        <v>79</v>
      </c>
      <c r="AY306" s="226" t="s">
        <v>380</v>
      </c>
    </row>
    <row r="307" spans="1:65" s="2" customFormat="1" ht="16.5" customHeight="1">
      <c r="A307" s="36"/>
      <c r="B307" s="37"/>
      <c r="C307" s="227" t="s">
        <v>791</v>
      </c>
      <c r="D307" s="227" t="s">
        <v>465</v>
      </c>
      <c r="E307" s="228" t="s">
        <v>3047</v>
      </c>
      <c r="F307" s="229" t="s">
        <v>3048</v>
      </c>
      <c r="G307" s="230" t="s">
        <v>452</v>
      </c>
      <c r="H307" s="231">
        <v>31.164999999999999</v>
      </c>
      <c r="I307" s="232"/>
      <c r="J307" s="233">
        <f>ROUND(I307*H307,2)</f>
        <v>0</v>
      </c>
      <c r="K307" s="229" t="s">
        <v>19</v>
      </c>
      <c r="L307" s="234"/>
      <c r="M307" s="235" t="s">
        <v>19</v>
      </c>
      <c r="N307" s="236" t="s">
        <v>43</v>
      </c>
      <c r="O307" s="66"/>
      <c r="P307" s="190">
        <f>O307*H307</f>
        <v>0</v>
      </c>
      <c r="Q307" s="190">
        <v>0</v>
      </c>
      <c r="R307" s="190">
        <f>Q307*H307</f>
        <v>0</v>
      </c>
      <c r="S307" s="190">
        <v>0</v>
      </c>
      <c r="T307" s="191">
        <f>S307*H307</f>
        <v>0</v>
      </c>
      <c r="U307" s="36"/>
      <c r="V307" s="36"/>
      <c r="W307" s="36"/>
      <c r="X307" s="36"/>
      <c r="Y307" s="36"/>
      <c r="Z307" s="36"/>
      <c r="AA307" s="36"/>
      <c r="AB307" s="36"/>
      <c r="AC307" s="36"/>
      <c r="AD307" s="36"/>
      <c r="AE307" s="36"/>
      <c r="AR307" s="192" t="s">
        <v>546</v>
      </c>
      <c r="AT307" s="192" t="s">
        <v>465</v>
      </c>
      <c r="AU307" s="192" t="s">
        <v>82</v>
      </c>
      <c r="AY307" s="19" t="s">
        <v>380</v>
      </c>
      <c r="BE307" s="193">
        <f>IF(N307="základní",J307,0)</f>
        <v>0</v>
      </c>
      <c r="BF307" s="193">
        <f>IF(N307="snížená",J307,0)</f>
        <v>0</v>
      </c>
      <c r="BG307" s="193">
        <f>IF(N307="zákl. přenesená",J307,0)</f>
        <v>0</v>
      </c>
      <c r="BH307" s="193">
        <f>IF(N307="sníž. přenesená",J307,0)</f>
        <v>0</v>
      </c>
      <c r="BI307" s="193">
        <f>IF(N307="nulová",J307,0)</f>
        <v>0</v>
      </c>
      <c r="BJ307" s="19" t="s">
        <v>79</v>
      </c>
      <c r="BK307" s="193">
        <f>ROUND(I307*H307,2)</f>
        <v>0</v>
      </c>
      <c r="BL307" s="19" t="s">
        <v>281</v>
      </c>
      <c r="BM307" s="192" t="s">
        <v>1156</v>
      </c>
    </row>
    <row r="308" spans="1:65" s="2" customFormat="1" ht="16.5" customHeight="1">
      <c r="A308" s="36"/>
      <c r="B308" s="37"/>
      <c r="C308" s="181" t="s">
        <v>795</v>
      </c>
      <c r="D308" s="181" t="s">
        <v>382</v>
      </c>
      <c r="E308" s="182" t="s">
        <v>3049</v>
      </c>
      <c r="F308" s="183" t="s">
        <v>3050</v>
      </c>
      <c r="G308" s="184" t="s">
        <v>452</v>
      </c>
      <c r="H308" s="185">
        <v>64.400000000000006</v>
      </c>
      <c r="I308" s="186"/>
      <c r="J308" s="187">
        <f>ROUND(I308*H308,2)</f>
        <v>0</v>
      </c>
      <c r="K308" s="183" t="s">
        <v>19</v>
      </c>
      <c r="L308" s="41"/>
      <c r="M308" s="188" t="s">
        <v>19</v>
      </c>
      <c r="N308" s="189"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281</v>
      </c>
      <c r="AT308" s="192" t="s">
        <v>382</v>
      </c>
      <c r="AU308" s="192" t="s">
        <v>82</v>
      </c>
      <c r="AY308" s="19" t="s">
        <v>380</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281</v>
      </c>
      <c r="BM308" s="192" t="s">
        <v>1165</v>
      </c>
    </row>
    <row r="309" spans="1:65" s="13" customFormat="1" ht="11.25">
      <c r="B309" s="194"/>
      <c r="C309" s="195"/>
      <c r="D309" s="196" t="s">
        <v>388</v>
      </c>
      <c r="E309" s="197" t="s">
        <v>19</v>
      </c>
      <c r="F309" s="198" t="s">
        <v>3028</v>
      </c>
      <c r="G309" s="195"/>
      <c r="H309" s="197" t="s">
        <v>19</v>
      </c>
      <c r="I309" s="199"/>
      <c r="J309" s="195"/>
      <c r="K309" s="195"/>
      <c r="L309" s="200"/>
      <c r="M309" s="201"/>
      <c r="N309" s="202"/>
      <c r="O309" s="202"/>
      <c r="P309" s="202"/>
      <c r="Q309" s="202"/>
      <c r="R309" s="202"/>
      <c r="S309" s="202"/>
      <c r="T309" s="203"/>
      <c r="AT309" s="204" t="s">
        <v>388</v>
      </c>
      <c r="AU309" s="204" t="s">
        <v>82</v>
      </c>
      <c r="AV309" s="13" t="s">
        <v>79</v>
      </c>
      <c r="AW309" s="13" t="s">
        <v>33</v>
      </c>
      <c r="AX309" s="13" t="s">
        <v>72</v>
      </c>
      <c r="AY309" s="204" t="s">
        <v>380</v>
      </c>
    </row>
    <row r="310" spans="1:65" s="14" customFormat="1" ht="11.25">
      <c r="B310" s="205"/>
      <c r="C310" s="206"/>
      <c r="D310" s="196" t="s">
        <v>388</v>
      </c>
      <c r="E310" s="207" t="s">
        <v>19</v>
      </c>
      <c r="F310" s="208" t="s">
        <v>3051</v>
      </c>
      <c r="G310" s="206"/>
      <c r="H310" s="209">
        <v>64.400000000000006</v>
      </c>
      <c r="I310" s="210"/>
      <c r="J310" s="206"/>
      <c r="K310" s="206"/>
      <c r="L310" s="211"/>
      <c r="M310" s="212"/>
      <c r="N310" s="213"/>
      <c r="O310" s="213"/>
      <c r="P310" s="213"/>
      <c r="Q310" s="213"/>
      <c r="R310" s="213"/>
      <c r="S310" s="213"/>
      <c r="T310" s="214"/>
      <c r="AT310" s="215" t="s">
        <v>388</v>
      </c>
      <c r="AU310" s="215" t="s">
        <v>82</v>
      </c>
      <c r="AV310" s="14" t="s">
        <v>82</v>
      </c>
      <c r="AW310" s="14" t="s">
        <v>33</v>
      </c>
      <c r="AX310" s="14" t="s">
        <v>72</v>
      </c>
      <c r="AY310" s="215" t="s">
        <v>380</v>
      </c>
    </row>
    <row r="311" spans="1:65" s="15" customFormat="1" ht="11.25">
      <c r="B311" s="216"/>
      <c r="C311" s="217"/>
      <c r="D311" s="196" t="s">
        <v>388</v>
      </c>
      <c r="E311" s="218" t="s">
        <v>19</v>
      </c>
      <c r="F311" s="219" t="s">
        <v>419</v>
      </c>
      <c r="G311" s="217"/>
      <c r="H311" s="220">
        <v>64.400000000000006</v>
      </c>
      <c r="I311" s="221"/>
      <c r="J311" s="217"/>
      <c r="K311" s="217"/>
      <c r="L311" s="222"/>
      <c r="M311" s="223"/>
      <c r="N311" s="224"/>
      <c r="O311" s="224"/>
      <c r="P311" s="224"/>
      <c r="Q311" s="224"/>
      <c r="R311" s="224"/>
      <c r="S311" s="224"/>
      <c r="T311" s="225"/>
      <c r="AT311" s="226" t="s">
        <v>388</v>
      </c>
      <c r="AU311" s="226" t="s">
        <v>82</v>
      </c>
      <c r="AV311" s="15" t="s">
        <v>386</v>
      </c>
      <c r="AW311" s="15" t="s">
        <v>33</v>
      </c>
      <c r="AX311" s="15" t="s">
        <v>79</v>
      </c>
      <c r="AY311" s="226" t="s">
        <v>380</v>
      </c>
    </row>
    <row r="312" spans="1:65" s="2" customFormat="1" ht="16.5" customHeight="1">
      <c r="A312" s="36"/>
      <c r="B312" s="37"/>
      <c r="C312" s="227" t="s">
        <v>799</v>
      </c>
      <c r="D312" s="227" t="s">
        <v>465</v>
      </c>
      <c r="E312" s="228" t="s">
        <v>3052</v>
      </c>
      <c r="F312" s="229" t="s">
        <v>3053</v>
      </c>
      <c r="G312" s="230" t="s">
        <v>452</v>
      </c>
      <c r="H312" s="231">
        <v>64.400000000000006</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546</v>
      </c>
      <c r="AT312" s="192" t="s">
        <v>465</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281</v>
      </c>
      <c r="BM312" s="192" t="s">
        <v>1183</v>
      </c>
    </row>
    <row r="313" spans="1:65" s="2" customFormat="1" ht="16.5" customHeight="1">
      <c r="A313" s="36"/>
      <c r="B313" s="37"/>
      <c r="C313" s="181" t="s">
        <v>804</v>
      </c>
      <c r="D313" s="181" t="s">
        <v>382</v>
      </c>
      <c r="E313" s="182" t="s">
        <v>3054</v>
      </c>
      <c r="F313" s="183" t="s">
        <v>3055</v>
      </c>
      <c r="G313" s="184" t="s">
        <v>452</v>
      </c>
      <c r="H313" s="185">
        <v>7.4749999999999996</v>
      </c>
      <c r="I313" s="186"/>
      <c r="J313" s="187">
        <f>ROUND(I313*H313,2)</f>
        <v>0</v>
      </c>
      <c r="K313" s="183" t="s">
        <v>19</v>
      </c>
      <c r="L313" s="41"/>
      <c r="M313" s="188" t="s">
        <v>19</v>
      </c>
      <c r="N313" s="189" t="s">
        <v>43</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281</v>
      </c>
      <c r="AT313" s="192" t="s">
        <v>382</v>
      </c>
      <c r="AU313" s="192" t="s">
        <v>82</v>
      </c>
      <c r="AY313" s="19" t="s">
        <v>380</v>
      </c>
      <c r="BE313" s="193">
        <f>IF(N313="základní",J313,0)</f>
        <v>0</v>
      </c>
      <c r="BF313" s="193">
        <f>IF(N313="snížená",J313,0)</f>
        <v>0</v>
      </c>
      <c r="BG313" s="193">
        <f>IF(N313="zákl. přenesená",J313,0)</f>
        <v>0</v>
      </c>
      <c r="BH313" s="193">
        <f>IF(N313="sníž. přenesená",J313,0)</f>
        <v>0</v>
      </c>
      <c r="BI313" s="193">
        <f>IF(N313="nulová",J313,0)</f>
        <v>0</v>
      </c>
      <c r="BJ313" s="19" t="s">
        <v>79</v>
      </c>
      <c r="BK313" s="193">
        <f>ROUND(I313*H313,2)</f>
        <v>0</v>
      </c>
      <c r="BL313" s="19" t="s">
        <v>281</v>
      </c>
      <c r="BM313" s="192" t="s">
        <v>1193</v>
      </c>
    </row>
    <row r="314" spans="1:65" s="13" customFormat="1" ht="11.25">
      <c r="B314" s="194"/>
      <c r="C314" s="195"/>
      <c r="D314" s="196" t="s">
        <v>388</v>
      </c>
      <c r="E314" s="197" t="s">
        <v>19</v>
      </c>
      <c r="F314" s="198" t="s">
        <v>3028</v>
      </c>
      <c r="G314" s="195"/>
      <c r="H314" s="197" t="s">
        <v>19</v>
      </c>
      <c r="I314" s="199"/>
      <c r="J314" s="195"/>
      <c r="K314" s="195"/>
      <c r="L314" s="200"/>
      <c r="M314" s="201"/>
      <c r="N314" s="202"/>
      <c r="O314" s="202"/>
      <c r="P314" s="202"/>
      <c r="Q314" s="202"/>
      <c r="R314" s="202"/>
      <c r="S314" s="202"/>
      <c r="T314" s="203"/>
      <c r="AT314" s="204" t="s">
        <v>388</v>
      </c>
      <c r="AU314" s="204" t="s">
        <v>82</v>
      </c>
      <c r="AV314" s="13" t="s">
        <v>79</v>
      </c>
      <c r="AW314" s="13" t="s">
        <v>33</v>
      </c>
      <c r="AX314" s="13" t="s">
        <v>72</v>
      </c>
      <c r="AY314" s="204" t="s">
        <v>380</v>
      </c>
    </row>
    <row r="315" spans="1:65" s="14" customFormat="1" ht="11.25">
      <c r="B315" s="205"/>
      <c r="C315" s="206"/>
      <c r="D315" s="196" t="s">
        <v>388</v>
      </c>
      <c r="E315" s="207" t="s">
        <v>19</v>
      </c>
      <c r="F315" s="208" t="s">
        <v>3056</v>
      </c>
      <c r="G315" s="206"/>
      <c r="H315" s="209">
        <v>7.4749999999999996</v>
      </c>
      <c r="I315" s="210"/>
      <c r="J315" s="206"/>
      <c r="K315" s="206"/>
      <c r="L315" s="211"/>
      <c r="M315" s="212"/>
      <c r="N315" s="213"/>
      <c r="O315" s="213"/>
      <c r="P315" s="213"/>
      <c r="Q315" s="213"/>
      <c r="R315" s="213"/>
      <c r="S315" s="213"/>
      <c r="T315" s="214"/>
      <c r="AT315" s="215" t="s">
        <v>388</v>
      </c>
      <c r="AU315" s="215" t="s">
        <v>82</v>
      </c>
      <c r="AV315" s="14" t="s">
        <v>82</v>
      </c>
      <c r="AW315" s="14" t="s">
        <v>33</v>
      </c>
      <c r="AX315" s="14" t="s">
        <v>72</v>
      </c>
      <c r="AY315" s="215" t="s">
        <v>380</v>
      </c>
    </row>
    <row r="316" spans="1:65" s="15" customFormat="1" ht="11.25">
      <c r="B316" s="216"/>
      <c r="C316" s="217"/>
      <c r="D316" s="196" t="s">
        <v>388</v>
      </c>
      <c r="E316" s="218" t="s">
        <v>19</v>
      </c>
      <c r="F316" s="219" t="s">
        <v>419</v>
      </c>
      <c r="G316" s="217"/>
      <c r="H316" s="220">
        <v>7.4749999999999996</v>
      </c>
      <c r="I316" s="221"/>
      <c r="J316" s="217"/>
      <c r="K316" s="217"/>
      <c r="L316" s="222"/>
      <c r="M316" s="223"/>
      <c r="N316" s="224"/>
      <c r="O316" s="224"/>
      <c r="P316" s="224"/>
      <c r="Q316" s="224"/>
      <c r="R316" s="224"/>
      <c r="S316" s="224"/>
      <c r="T316" s="225"/>
      <c r="AT316" s="226" t="s">
        <v>388</v>
      </c>
      <c r="AU316" s="226" t="s">
        <v>82</v>
      </c>
      <c r="AV316" s="15" t="s">
        <v>386</v>
      </c>
      <c r="AW316" s="15" t="s">
        <v>33</v>
      </c>
      <c r="AX316" s="15" t="s">
        <v>79</v>
      </c>
      <c r="AY316" s="226" t="s">
        <v>380</v>
      </c>
    </row>
    <row r="317" spans="1:65" s="2" customFormat="1" ht="16.5" customHeight="1">
      <c r="A317" s="36"/>
      <c r="B317" s="37"/>
      <c r="C317" s="227" t="s">
        <v>815</v>
      </c>
      <c r="D317" s="227" t="s">
        <v>465</v>
      </c>
      <c r="E317" s="228" t="s">
        <v>3057</v>
      </c>
      <c r="F317" s="229" t="s">
        <v>3058</v>
      </c>
      <c r="G317" s="230" t="s">
        <v>452</v>
      </c>
      <c r="H317" s="231">
        <v>7.4749999999999996</v>
      </c>
      <c r="I317" s="232"/>
      <c r="J317" s="233">
        <f>ROUND(I317*H317,2)</f>
        <v>0</v>
      </c>
      <c r="K317" s="229" t="s">
        <v>19</v>
      </c>
      <c r="L317" s="234"/>
      <c r="M317" s="235" t="s">
        <v>19</v>
      </c>
      <c r="N317" s="236" t="s">
        <v>43</v>
      </c>
      <c r="O317" s="66"/>
      <c r="P317" s="190">
        <f>O317*H317</f>
        <v>0</v>
      </c>
      <c r="Q317" s="190">
        <v>0</v>
      </c>
      <c r="R317" s="190">
        <f>Q317*H317</f>
        <v>0</v>
      </c>
      <c r="S317" s="190">
        <v>0</v>
      </c>
      <c r="T317" s="191">
        <f>S317*H317</f>
        <v>0</v>
      </c>
      <c r="U317" s="36"/>
      <c r="V317" s="36"/>
      <c r="W317" s="36"/>
      <c r="X317" s="36"/>
      <c r="Y317" s="36"/>
      <c r="Z317" s="36"/>
      <c r="AA317" s="36"/>
      <c r="AB317" s="36"/>
      <c r="AC317" s="36"/>
      <c r="AD317" s="36"/>
      <c r="AE317" s="36"/>
      <c r="AR317" s="192" t="s">
        <v>546</v>
      </c>
      <c r="AT317" s="192" t="s">
        <v>465</v>
      </c>
      <c r="AU317" s="192" t="s">
        <v>82</v>
      </c>
      <c r="AY317" s="19" t="s">
        <v>380</v>
      </c>
      <c r="BE317" s="193">
        <f>IF(N317="základní",J317,0)</f>
        <v>0</v>
      </c>
      <c r="BF317" s="193">
        <f>IF(N317="snížená",J317,0)</f>
        <v>0</v>
      </c>
      <c r="BG317" s="193">
        <f>IF(N317="zákl. přenesená",J317,0)</f>
        <v>0</v>
      </c>
      <c r="BH317" s="193">
        <f>IF(N317="sníž. přenesená",J317,0)</f>
        <v>0</v>
      </c>
      <c r="BI317" s="193">
        <f>IF(N317="nulová",J317,0)</f>
        <v>0</v>
      </c>
      <c r="BJ317" s="19" t="s">
        <v>79</v>
      </c>
      <c r="BK317" s="193">
        <f>ROUND(I317*H317,2)</f>
        <v>0</v>
      </c>
      <c r="BL317" s="19" t="s">
        <v>281</v>
      </c>
      <c r="BM317" s="192" t="s">
        <v>1209</v>
      </c>
    </row>
    <row r="318" spans="1:65" s="2" customFormat="1" ht="24.2" customHeight="1">
      <c r="A318" s="36"/>
      <c r="B318" s="37"/>
      <c r="C318" s="181" t="s">
        <v>831</v>
      </c>
      <c r="D318" s="181" t="s">
        <v>382</v>
      </c>
      <c r="E318" s="182" t="s">
        <v>3059</v>
      </c>
      <c r="F318" s="183" t="s">
        <v>3060</v>
      </c>
      <c r="G318" s="184" t="s">
        <v>452</v>
      </c>
      <c r="H318" s="185">
        <v>20.7</v>
      </c>
      <c r="I318" s="186"/>
      <c r="J318" s="187">
        <f>ROUND(I318*H318,2)</f>
        <v>0</v>
      </c>
      <c r="K318" s="183" t="s">
        <v>19</v>
      </c>
      <c r="L318" s="41"/>
      <c r="M318" s="188" t="s">
        <v>19</v>
      </c>
      <c r="N318" s="189"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281</v>
      </c>
      <c r="AT318" s="192" t="s">
        <v>382</v>
      </c>
      <c r="AU318" s="192" t="s">
        <v>82</v>
      </c>
      <c r="AY318" s="19" t="s">
        <v>380</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281</v>
      </c>
      <c r="BM318" s="192" t="s">
        <v>1222</v>
      </c>
    </row>
    <row r="319" spans="1:65" s="13" customFormat="1" ht="11.25">
      <c r="B319" s="194"/>
      <c r="C319" s="195"/>
      <c r="D319" s="196" t="s">
        <v>388</v>
      </c>
      <c r="E319" s="197" t="s">
        <v>19</v>
      </c>
      <c r="F319" s="198" t="s">
        <v>3061</v>
      </c>
      <c r="G319" s="195"/>
      <c r="H319" s="197" t="s">
        <v>19</v>
      </c>
      <c r="I319" s="199"/>
      <c r="J319" s="195"/>
      <c r="K319" s="195"/>
      <c r="L319" s="200"/>
      <c r="M319" s="201"/>
      <c r="N319" s="202"/>
      <c r="O319" s="202"/>
      <c r="P319" s="202"/>
      <c r="Q319" s="202"/>
      <c r="R319" s="202"/>
      <c r="S319" s="202"/>
      <c r="T319" s="203"/>
      <c r="AT319" s="204" t="s">
        <v>388</v>
      </c>
      <c r="AU319" s="204" t="s">
        <v>82</v>
      </c>
      <c r="AV319" s="13" t="s">
        <v>79</v>
      </c>
      <c r="AW319" s="13" t="s">
        <v>33</v>
      </c>
      <c r="AX319" s="13" t="s">
        <v>72</v>
      </c>
      <c r="AY319" s="204" t="s">
        <v>380</v>
      </c>
    </row>
    <row r="320" spans="1:65" s="14" customFormat="1" ht="11.25">
      <c r="B320" s="205"/>
      <c r="C320" s="206"/>
      <c r="D320" s="196" t="s">
        <v>388</v>
      </c>
      <c r="E320" s="207" t="s">
        <v>19</v>
      </c>
      <c r="F320" s="208" t="s">
        <v>3029</v>
      </c>
      <c r="G320" s="206"/>
      <c r="H320" s="209">
        <v>11.5</v>
      </c>
      <c r="I320" s="210"/>
      <c r="J320" s="206"/>
      <c r="K320" s="206"/>
      <c r="L320" s="211"/>
      <c r="M320" s="212"/>
      <c r="N320" s="213"/>
      <c r="O320" s="213"/>
      <c r="P320" s="213"/>
      <c r="Q320" s="213"/>
      <c r="R320" s="213"/>
      <c r="S320" s="213"/>
      <c r="T320" s="214"/>
      <c r="AT320" s="215" t="s">
        <v>388</v>
      </c>
      <c r="AU320" s="215" t="s">
        <v>82</v>
      </c>
      <c r="AV320" s="14" t="s">
        <v>82</v>
      </c>
      <c r="AW320" s="14" t="s">
        <v>33</v>
      </c>
      <c r="AX320" s="14" t="s">
        <v>72</v>
      </c>
      <c r="AY320" s="215" t="s">
        <v>380</v>
      </c>
    </row>
    <row r="321" spans="1:65" s="13" customFormat="1" ht="11.25">
      <c r="B321" s="194"/>
      <c r="C321" s="195"/>
      <c r="D321" s="196" t="s">
        <v>388</v>
      </c>
      <c r="E321" s="197" t="s">
        <v>19</v>
      </c>
      <c r="F321" s="198" t="s">
        <v>3062</v>
      </c>
      <c r="G321" s="195"/>
      <c r="H321" s="197" t="s">
        <v>19</v>
      </c>
      <c r="I321" s="199"/>
      <c r="J321" s="195"/>
      <c r="K321" s="195"/>
      <c r="L321" s="200"/>
      <c r="M321" s="201"/>
      <c r="N321" s="202"/>
      <c r="O321" s="202"/>
      <c r="P321" s="202"/>
      <c r="Q321" s="202"/>
      <c r="R321" s="202"/>
      <c r="S321" s="202"/>
      <c r="T321" s="203"/>
      <c r="AT321" s="204" t="s">
        <v>388</v>
      </c>
      <c r="AU321" s="204" t="s">
        <v>82</v>
      </c>
      <c r="AV321" s="13" t="s">
        <v>79</v>
      </c>
      <c r="AW321" s="13" t="s">
        <v>33</v>
      </c>
      <c r="AX321" s="13" t="s">
        <v>72</v>
      </c>
      <c r="AY321" s="204" t="s">
        <v>380</v>
      </c>
    </row>
    <row r="322" spans="1:65" s="14" customFormat="1" ht="11.25">
      <c r="B322" s="205"/>
      <c r="C322" s="206"/>
      <c r="D322" s="196" t="s">
        <v>388</v>
      </c>
      <c r="E322" s="207" t="s">
        <v>19</v>
      </c>
      <c r="F322" s="208" t="s">
        <v>2492</v>
      </c>
      <c r="G322" s="206"/>
      <c r="H322" s="209">
        <v>9.1999999999999993</v>
      </c>
      <c r="I322" s="210"/>
      <c r="J322" s="206"/>
      <c r="K322" s="206"/>
      <c r="L322" s="211"/>
      <c r="M322" s="212"/>
      <c r="N322" s="213"/>
      <c r="O322" s="213"/>
      <c r="P322" s="213"/>
      <c r="Q322" s="213"/>
      <c r="R322" s="213"/>
      <c r="S322" s="213"/>
      <c r="T322" s="214"/>
      <c r="AT322" s="215" t="s">
        <v>388</v>
      </c>
      <c r="AU322" s="215" t="s">
        <v>82</v>
      </c>
      <c r="AV322" s="14" t="s">
        <v>82</v>
      </c>
      <c r="AW322" s="14" t="s">
        <v>33</v>
      </c>
      <c r="AX322" s="14" t="s">
        <v>72</v>
      </c>
      <c r="AY322" s="215" t="s">
        <v>380</v>
      </c>
    </row>
    <row r="323" spans="1:65" s="15" customFormat="1" ht="11.25">
      <c r="B323" s="216"/>
      <c r="C323" s="217"/>
      <c r="D323" s="196" t="s">
        <v>388</v>
      </c>
      <c r="E323" s="218" t="s">
        <v>19</v>
      </c>
      <c r="F323" s="219" t="s">
        <v>2544</v>
      </c>
      <c r="G323" s="217"/>
      <c r="H323" s="220">
        <v>20.7</v>
      </c>
      <c r="I323" s="221"/>
      <c r="J323" s="217"/>
      <c r="K323" s="217"/>
      <c r="L323" s="222"/>
      <c r="M323" s="223"/>
      <c r="N323" s="224"/>
      <c r="O323" s="224"/>
      <c r="P323" s="224"/>
      <c r="Q323" s="224"/>
      <c r="R323" s="224"/>
      <c r="S323" s="224"/>
      <c r="T323" s="225"/>
      <c r="AT323" s="226" t="s">
        <v>388</v>
      </c>
      <c r="AU323" s="226" t="s">
        <v>82</v>
      </c>
      <c r="AV323" s="15" t="s">
        <v>386</v>
      </c>
      <c r="AW323" s="15" t="s">
        <v>33</v>
      </c>
      <c r="AX323" s="15" t="s">
        <v>79</v>
      </c>
      <c r="AY323" s="226" t="s">
        <v>380</v>
      </c>
    </row>
    <row r="324" spans="1:65" s="2" customFormat="1" ht="33" customHeight="1">
      <c r="A324" s="36"/>
      <c r="B324" s="37"/>
      <c r="C324" s="181" t="s">
        <v>835</v>
      </c>
      <c r="D324" s="181" t="s">
        <v>382</v>
      </c>
      <c r="E324" s="182" t="s">
        <v>3063</v>
      </c>
      <c r="F324" s="183" t="s">
        <v>3064</v>
      </c>
      <c r="G324" s="184" t="s">
        <v>452</v>
      </c>
      <c r="H324" s="185">
        <v>72.45</v>
      </c>
      <c r="I324" s="186"/>
      <c r="J324" s="187">
        <f>ROUND(I324*H324,2)</f>
        <v>0</v>
      </c>
      <c r="K324" s="183" t="s">
        <v>19</v>
      </c>
      <c r="L324" s="41"/>
      <c r="M324" s="188" t="s">
        <v>19</v>
      </c>
      <c r="N324" s="189" t="s">
        <v>43</v>
      </c>
      <c r="O324" s="66"/>
      <c r="P324" s="190">
        <f>O324*H324</f>
        <v>0</v>
      </c>
      <c r="Q324" s="190">
        <v>0</v>
      </c>
      <c r="R324" s="190">
        <f>Q324*H324</f>
        <v>0</v>
      </c>
      <c r="S324" s="190">
        <v>0</v>
      </c>
      <c r="T324" s="191">
        <f>S324*H324</f>
        <v>0</v>
      </c>
      <c r="U324" s="36"/>
      <c r="V324" s="36"/>
      <c r="W324" s="36"/>
      <c r="X324" s="36"/>
      <c r="Y324" s="36"/>
      <c r="Z324" s="36"/>
      <c r="AA324" s="36"/>
      <c r="AB324" s="36"/>
      <c r="AC324" s="36"/>
      <c r="AD324" s="36"/>
      <c r="AE324" s="36"/>
      <c r="AR324" s="192" t="s">
        <v>281</v>
      </c>
      <c r="AT324" s="192" t="s">
        <v>382</v>
      </c>
      <c r="AU324" s="192" t="s">
        <v>82</v>
      </c>
      <c r="AY324" s="19" t="s">
        <v>380</v>
      </c>
      <c r="BE324" s="193">
        <f>IF(N324="základní",J324,0)</f>
        <v>0</v>
      </c>
      <c r="BF324" s="193">
        <f>IF(N324="snížená",J324,0)</f>
        <v>0</v>
      </c>
      <c r="BG324" s="193">
        <f>IF(N324="zákl. přenesená",J324,0)</f>
        <v>0</v>
      </c>
      <c r="BH324" s="193">
        <f>IF(N324="sníž. přenesená",J324,0)</f>
        <v>0</v>
      </c>
      <c r="BI324" s="193">
        <f>IF(N324="nulová",J324,0)</f>
        <v>0</v>
      </c>
      <c r="BJ324" s="19" t="s">
        <v>79</v>
      </c>
      <c r="BK324" s="193">
        <f>ROUND(I324*H324,2)</f>
        <v>0</v>
      </c>
      <c r="BL324" s="19" t="s">
        <v>281</v>
      </c>
      <c r="BM324" s="192" t="s">
        <v>1239</v>
      </c>
    </row>
    <row r="325" spans="1:65" s="13" customFormat="1" ht="11.25">
      <c r="B325" s="194"/>
      <c r="C325" s="195"/>
      <c r="D325" s="196" t="s">
        <v>388</v>
      </c>
      <c r="E325" s="197" t="s">
        <v>19</v>
      </c>
      <c r="F325" s="198" t="s">
        <v>3028</v>
      </c>
      <c r="G325" s="195"/>
      <c r="H325" s="197" t="s">
        <v>19</v>
      </c>
      <c r="I325" s="199"/>
      <c r="J325" s="195"/>
      <c r="K325" s="195"/>
      <c r="L325" s="200"/>
      <c r="M325" s="201"/>
      <c r="N325" s="202"/>
      <c r="O325" s="202"/>
      <c r="P325" s="202"/>
      <c r="Q325" s="202"/>
      <c r="R325" s="202"/>
      <c r="S325" s="202"/>
      <c r="T325" s="203"/>
      <c r="AT325" s="204" t="s">
        <v>388</v>
      </c>
      <c r="AU325" s="204" t="s">
        <v>82</v>
      </c>
      <c r="AV325" s="13" t="s">
        <v>79</v>
      </c>
      <c r="AW325" s="13" t="s">
        <v>33</v>
      </c>
      <c r="AX325" s="13" t="s">
        <v>72</v>
      </c>
      <c r="AY325" s="204" t="s">
        <v>380</v>
      </c>
    </row>
    <row r="326" spans="1:65" s="14" customFormat="1" ht="11.25">
      <c r="B326" s="205"/>
      <c r="C326" s="206"/>
      <c r="D326" s="196" t="s">
        <v>388</v>
      </c>
      <c r="E326" s="207" t="s">
        <v>19</v>
      </c>
      <c r="F326" s="208" t="s">
        <v>3065</v>
      </c>
      <c r="G326" s="206"/>
      <c r="H326" s="209">
        <v>60.95</v>
      </c>
      <c r="I326" s="210"/>
      <c r="J326" s="206"/>
      <c r="K326" s="206"/>
      <c r="L326" s="211"/>
      <c r="M326" s="212"/>
      <c r="N326" s="213"/>
      <c r="O326" s="213"/>
      <c r="P326" s="213"/>
      <c r="Q326" s="213"/>
      <c r="R326" s="213"/>
      <c r="S326" s="213"/>
      <c r="T326" s="214"/>
      <c r="AT326" s="215" t="s">
        <v>388</v>
      </c>
      <c r="AU326" s="215" t="s">
        <v>82</v>
      </c>
      <c r="AV326" s="14" t="s">
        <v>82</v>
      </c>
      <c r="AW326" s="14" t="s">
        <v>33</v>
      </c>
      <c r="AX326" s="14" t="s">
        <v>72</v>
      </c>
      <c r="AY326" s="215" t="s">
        <v>380</v>
      </c>
    </row>
    <row r="327" spans="1:65" s="13" customFormat="1" ht="11.25">
      <c r="B327" s="194"/>
      <c r="C327" s="195"/>
      <c r="D327" s="196" t="s">
        <v>388</v>
      </c>
      <c r="E327" s="197" t="s">
        <v>19</v>
      </c>
      <c r="F327" s="198" t="s">
        <v>3030</v>
      </c>
      <c r="G327" s="195"/>
      <c r="H327" s="197" t="s">
        <v>19</v>
      </c>
      <c r="I327" s="199"/>
      <c r="J327" s="195"/>
      <c r="K327" s="195"/>
      <c r="L327" s="200"/>
      <c r="M327" s="201"/>
      <c r="N327" s="202"/>
      <c r="O327" s="202"/>
      <c r="P327" s="202"/>
      <c r="Q327" s="202"/>
      <c r="R327" s="202"/>
      <c r="S327" s="202"/>
      <c r="T327" s="203"/>
      <c r="AT327" s="204" t="s">
        <v>388</v>
      </c>
      <c r="AU327" s="204" t="s">
        <v>82</v>
      </c>
      <c r="AV327" s="13" t="s">
        <v>79</v>
      </c>
      <c r="AW327" s="13" t="s">
        <v>33</v>
      </c>
      <c r="AX327" s="13" t="s">
        <v>72</v>
      </c>
      <c r="AY327" s="204" t="s">
        <v>380</v>
      </c>
    </row>
    <row r="328" spans="1:65" s="14" customFormat="1" ht="11.25">
      <c r="B328" s="205"/>
      <c r="C328" s="206"/>
      <c r="D328" s="196" t="s">
        <v>388</v>
      </c>
      <c r="E328" s="207" t="s">
        <v>19</v>
      </c>
      <c r="F328" s="208" t="s">
        <v>3029</v>
      </c>
      <c r="G328" s="206"/>
      <c r="H328" s="209">
        <v>11.5</v>
      </c>
      <c r="I328" s="210"/>
      <c r="J328" s="206"/>
      <c r="K328" s="206"/>
      <c r="L328" s="211"/>
      <c r="M328" s="212"/>
      <c r="N328" s="213"/>
      <c r="O328" s="213"/>
      <c r="P328" s="213"/>
      <c r="Q328" s="213"/>
      <c r="R328" s="213"/>
      <c r="S328" s="213"/>
      <c r="T328" s="214"/>
      <c r="AT328" s="215" t="s">
        <v>388</v>
      </c>
      <c r="AU328" s="215" t="s">
        <v>82</v>
      </c>
      <c r="AV328" s="14" t="s">
        <v>82</v>
      </c>
      <c r="AW328" s="14" t="s">
        <v>33</v>
      </c>
      <c r="AX328" s="14" t="s">
        <v>72</v>
      </c>
      <c r="AY328" s="215" t="s">
        <v>380</v>
      </c>
    </row>
    <row r="329" spans="1:65" s="15" customFormat="1" ht="11.25">
      <c r="B329" s="216"/>
      <c r="C329" s="217"/>
      <c r="D329" s="196" t="s">
        <v>388</v>
      </c>
      <c r="E329" s="218" t="s">
        <v>19</v>
      </c>
      <c r="F329" s="219" t="s">
        <v>2544</v>
      </c>
      <c r="G329" s="217"/>
      <c r="H329" s="220">
        <v>72.45</v>
      </c>
      <c r="I329" s="221"/>
      <c r="J329" s="217"/>
      <c r="K329" s="217"/>
      <c r="L329" s="222"/>
      <c r="M329" s="223"/>
      <c r="N329" s="224"/>
      <c r="O329" s="224"/>
      <c r="P329" s="224"/>
      <c r="Q329" s="224"/>
      <c r="R329" s="224"/>
      <c r="S329" s="224"/>
      <c r="T329" s="225"/>
      <c r="AT329" s="226" t="s">
        <v>388</v>
      </c>
      <c r="AU329" s="226" t="s">
        <v>82</v>
      </c>
      <c r="AV329" s="15" t="s">
        <v>386</v>
      </c>
      <c r="AW329" s="15" t="s">
        <v>33</v>
      </c>
      <c r="AX329" s="15" t="s">
        <v>79</v>
      </c>
      <c r="AY329" s="226" t="s">
        <v>380</v>
      </c>
    </row>
    <row r="330" spans="1:65" s="2" customFormat="1" ht="33" customHeight="1">
      <c r="A330" s="36"/>
      <c r="B330" s="37"/>
      <c r="C330" s="181" t="s">
        <v>841</v>
      </c>
      <c r="D330" s="181" t="s">
        <v>382</v>
      </c>
      <c r="E330" s="182" t="s">
        <v>3066</v>
      </c>
      <c r="F330" s="183" t="s">
        <v>3067</v>
      </c>
      <c r="G330" s="184" t="s">
        <v>452</v>
      </c>
      <c r="H330" s="185">
        <v>13.8</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281</v>
      </c>
      <c r="AT330" s="192" t="s">
        <v>382</v>
      </c>
      <c r="AU330" s="192" t="s">
        <v>82</v>
      </c>
      <c r="AY330" s="19" t="s">
        <v>380</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281</v>
      </c>
      <c r="BM330" s="192" t="s">
        <v>1251</v>
      </c>
    </row>
    <row r="331" spans="1:65" s="13" customFormat="1" ht="11.25">
      <c r="B331" s="194"/>
      <c r="C331" s="195"/>
      <c r="D331" s="196" t="s">
        <v>388</v>
      </c>
      <c r="E331" s="197" t="s">
        <v>19</v>
      </c>
      <c r="F331" s="198" t="s">
        <v>3028</v>
      </c>
      <c r="G331" s="195"/>
      <c r="H331" s="197" t="s">
        <v>19</v>
      </c>
      <c r="I331" s="199"/>
      <c r="J331" s="195"/>
      <c r="K331" s="195"/>
      <c r="L331" s="200"/>
      <c r="M331" s="201"/>
      <c r="N331" s="202"/>
      <c r="O331" s="202"/>
      <c r="P331" s="202"/>
      <c r="Q331" s="202"/>
      <c r="R331" s="202"/>
      <c r="S331" s="202"/>
      <c r="T331" s="203"/>
      <c r="AT331" s="204" t="s">
        <v>388</v>
      </c>
      <c r="AU331" s="204" t="s">
        <v>82</v>
      </c>
      <c r="AV331" s="13" t="s">
        <v>79</v>
      </c>
      <c r="AW331" s="13" t="s">
        <v>33</v>
      </c>
      <c r="AX331" s="13" t="s">
        <v>72</v>
      </c>
      <c r="AY331" s="204" t="s">
        <v>380</v>
      </c>
    </row>
    <row r="332" spans="1:65" s="14" customFormat="1" ht="11.25">
      <c r="B332" s="205"/>
      <c r="C332" s="206"/>
      <c r="D332" s="196" t="s">
        <v>388</v>
      </c>
      <c r="E332" s="207" t="s">
        <v>19</v>
      </c>
      <c r="F332" s="208" t="s">
        <v>2375</v>
      </c>
      <c r="G332" s="206"/>
      <c r="H332" s="209">
        <v>13.8</v>
      </c>
      <c r="I332" s="210"/>
      <c r="J332" s="206"/>
      <c r="K332" s="206"/>
      <c r="L332" s="211"/>
      <c r="M332" s="212"/>
      <c r="N332" s="213"/>
      <c r="O332" s="213"/>
      <c r="P332" s="213"/>
      <c r="Q332" s="213"/>
      <c r="R332" s="213"/>
      <c r="S332" s="213"/>
      <c r="T332" s="214"/>
      <c r="AT332" s="215" t="s">
        <v>388</v>
      </c>
      <c r="AU332" s="215" t="s">
        <v>82</v>
      </c>
      <c r="AV332" s="14" t="s">
        <v>82</v>
      </c>
      <c r="AW332" s="14" t="s">
        <v>33</v>
      </c>
      <c r="AX332" s="14" t="s">
        <v>72</v>
      </c>
      <c r="AY332" s="215" t="s">
        <v>380</v>
      </c>
    </row>
    <row r="333" spans="1:65" s="15" customFormat="1" ht="11.25">
      <c r="B333" s="216"/>
      <c r="C333" s="217"/>
      <c r="D333" s="196" t="s">
        <v>388</v>
      </c>
      <c r="E333" s="218" t="s">
        <v>19</v>
      </c>
      <c r="F333" s="219" t="s">
        <v>419</v>
      </c>
      <c r="G333" s="217"/>
      <c r="H333" s="220">
        <v>13.8</v>
      </c>
      <c r="I333" s="221"/>
      <c r="J333" s="217"/>
      <c r="K333" s="217"/>
      <c r="L333" s="222"/>
      <c r="M333" s="223"/>
      <c r="N333" s="224"/>
      <c r="O333" s="224"/>
      <c r="P333" s="224"/>
      <c r="Q333" s="224"/>
      <c r="R333" s="224"/>
      <c r="S333" s="224"/>
      <c r="T333" s="225"/>
      <c r="AT333" s="226" t="s">
        <v>388</v>
      </c>
      <c r="AU333" s="226" t="s">
        <v>82</v>
      </c>
      <c r="AV333" s="15" t="s">
        <v>386</v>
      </c>
      <c r="AW333" s="15" t="s">
        <v>33</v>
      </c>
      <c r="AX333" s="15" t="s">
        <v>79</v>
      </c>
      <c r="AY333" s="226" t="s">
        <v>380</v>
      </c>
    </row>
    <row r="334" spans="1:65" s="2" customFormat="1" ht="33" customHeight="1">
      <c r="A334" s="36"/>
      <c r="B334" s="37"/>
      <c r="C334" s="181" t="s">
        <v>845</v>
      </c>
      <c r="D334" s="181" t="s">
        <v>382</v>
      </c>
      <c r="E334" s="182" t="s">
        <v>3068</v>
      </c>
      <c r="F334" s="183" t="s">
        <v>3069</v>
      </c>
      <c r="G334" s="184" t="s">
        <v>452</v>
      </c>
      <c r="H334" s="185">
        <v>136.13499999999999</v>
      </c>
      <c r="I334" s="186"/>
      <c r="J334" s="187">
        <f>ROUND(I334*H334,2)</f>
        <v>0</v>
      </c>
      <c r="K334" s="183" t="s">
        <v>19</v>
      </c>
      <c r="L334" s="41"/>
      <c r="M334" s="188" t="s">
        <v>19</v>
      </c>
      <c r="N334" s="189"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281</v>
      </c>
      <c r="AT334" s="192" t="s">
        <v>382</v>
      </c>
      <c r="AU334" s="192" t="s">
        <v>82</v>
      </c>
      <c r="AY334" s="19" t="s">
        <v>380</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281</v>
      </c>
      <c r="BM334" s="192" t="s">
        <v>1261</v>
      </c>
    </row>
    <row r="335" spans="1:65" s="13" customFormat="1" ht="11.25">
      <c r="B335" s="194"/>
      <c r="C335" s="195"/>
      <c r="D335" s="196" t="s">
        <v>388</v>
      </c>
      <c r="E335" s="197" t="s">
        <v>19</v>
      </c>
      <c r="F335" s="198" t="s">
        <v>3070</v>
      </c>
      <c r="G335" s="195"/>
      <c r="H335" s="197" t="s">
        <v>19</v>
      </c>
      <c r="I335" s="199"/>
      <c r="J335" s="195"/>
      <c r="K335" s="195"/>
      <c r="L335" s="200"/>
      <c r="M335" s="201"/>
      <c r="N335" s="202"/>
      <c r="O335" s="202"/>
      <c r="P335" s="202"/>
      <c r="Q335" s="202"/>
      <c r="R335" s="202"/>
      <c r="S335" s="202"/>
      <c r="T335" s="203"/>
      <c r="AT335" s="204" t="s">
        <v>388</v>
      </c>
      <c r="AU335" s="204" t="s">
        <v>82</v>
      </c>
      <c r="AV335" s="13" t="s">
        <v>79</v>
      </c>
      <c r="AW335" s="13" t="s">
        <v>33</v>
      </c>
      <c r="AX335" s="13" t="s">
        <v>72</v>
      </c>
      <c r="AY335" s="204" t="s">
        <v>380</v>
      </c>
    </row>
    <row r="336" spans="1:65" s="13" customFormat="1" ht="11.25">
      <c r="B336" s="194"/>
      <c r="C336" s="195"/>
      <c r="D336" s="196" t="s">
        <v>388</v>
      </c>
      <c r="E336" s="197" t="s">
        <v>19</v>
      </c>
      <c r="F336" s="198" t="s">
        <v>3071</v>
      </c>
      <c r="G336" s="195"/>
      <c r="H336" s="197" t="s">
        <v>19</v>
      </c>
      <c r="I336" s="199"/>
      <c r="J336" s="195"/>
      <c r="K336" s="195"/>
      <c r="L336" s="200"/>
      <c r="M336" s="201"/>
      <c r="N336" s="202"/>
      <c r="O336" s="202"/>
      <c r="P336" s="202"/>
      <c r="Q336" s="202"/>
      <c r="R336" s="202"/>
      <c r="S336" s="202"/>
      <c r="T336" s="203"/>
      <c r="AT336" s="204" t="s">
        <v>388</v>
      </c>
      <c r="AU336" s="204" t="s">
        <v>82</v>
      </c>
      <c r="AV336" s="13" t="s">
        <v>79</v>
      </c>
      <c r="AW336" s="13" t="s">
        <v>33</v>
      </c>
      <c r="AX336" s="13" t="s">
        <v>72</v>
      </c>
      <c r="AY336" s="204" t="s">
        <v>380</v>
      </c>
    </row>
    <row r="337" spans="1:65" s="14" customFormat="1" ht="11.25">
      <c r="B337" s="205"/>
      <c r="C337" s="206"/>
      <c r="D337" s="196" t="s">
        <v>388</v>
      </c>
      <c r="E337" s="207" t="s">
        <v>19</v>
      </c>
      <c r="F337" s="208" t="s">
        <v>3072</v>
      </c>
      <c r="G337" s="206"/>
      <c r="H337" s="209">
        <v>56.21</v>
      </c>
      <c r="I337" s="210"/>
      <c r="J337" s="206"/>
      <c r="K337" s="206"/>
      <c r="L337" s="211"/>
      <c r="M337" s="212"/>
      <c r="N337" s="213"/>
      <c r="O337" s="213"/>
      <c r="P337" s="213"/>
      <c r="Q337" s="213"/>
      <c r="R337" s="213"/>
      <c r="S337" s="213"/>
      <c r="T337" s="214"/>
      <c r="AT337" s="215" t="s">
        <v>388</v>
      </c>
      <c r="AU337" s="215" t="s">
        <v>82</v>
      </c>
      <c r="AV337" s="14" t="s">
        <v>82</v>
      </c>
      <c r="AW337" s="14" t="s">
        <v>33</v>
      </c>
      <c r="AX337" s="14" t="s">
        <v>72</v>
      </c>
      <c r="AY337" s="215" t="s">
        <v>380</v>
      </c>
    </row>
    <row r="338" spans="1:65" s="13" customFormat="1" ht="11.25">
      <c r="B338" s="194"/>
      <c r="C338" s="195"/>
      <c r="D338" s="196" t="s">
        <v>388</v>
      </c>
      <c r="E338" s="197" t="s">
        <v>19</v>
      </c>
      <c r="F338" s="198" t="s">
        <v>3073</v>
      </c>
      <c r="G338" s="195"/>
      <c r="H338" s="197" t="s">
        <v>19</v>
      </c>
      <c r="I338" s="199"/>
      <c r="J338" s="195"/>
      <c r="K338" s="195"/>
      <c r="L338" s="200"/>
      <c r="M338" s="201"/>
      <c r="N338" s="202"/>
      <c r="O338" s="202"/>
      <c r="P338" s="202"/>
      <c r="Q338" s="202"/>
      <c r="R338" s="202"/>
      <c r="S338" s="202"/>
      <c r="T338" s="203"/>
      <c r="AT338" s="204" t="s">
        <v>388</v>
      </c>
      <c r="AU338" s="204" t="s">
        <v>82</v>
      </c>
      <c r="AV338" s="13" t="s">
        <v>79</v>
      </c>
      <c r="AW338" s="13" t="s">
        <v>33</v>
      </c>
      <c r="AX338" s="13" t="s">
        <v>72</v>
      </c>
      <c r="AY338" s="204" t="s">
        <v>380</v>
      </c>
    </row>
    <row r="339" spans="1:65" s="14" customFormat="1" ht="11.25">
      <c r="B339" s="205"/>
      <c r="C339" s="206"/>
      <c r="D339" s="196" t="s">
        <v>388</v>
      </c>
      <c r="E339" s="207" t="s">
        <v>19</v>
      </c>
      <c r="F339" s="208" t="s">
        <v>3074</v>
      </c>
      <c r="G339" s="206"/>
      <c r="H339" s="209">
        <v>79.924999999999997</v>
      </c>
      <c r="I339" s="210"/>
      <c r="J339" s="206"/>
      <c r="K339" s="206"/>
      <c r="L339" s="211"/>
      <c r="M339" s="212"/>
      <c r="N339" s="213"/>
      <c r="O339" s="213"/>
      <c r="P339" s="213"/>
      <c r="Q339" s="213"/>
      <c r="R339" s="213"/>
      <c r="S339" s="213"/>
      <c r="T339" s="214"/>
      <c r="AT339" s="215" t="s">
        <v>388</v>
      </c>
      <c r="AU339" s="215" t="s">
        <v>82</v>
      </c>
      <c r="AV339" s="14" t="s">
        <v>82</v>
      </c>
      <c r="AW339" s="14" t="s">
        <v>33</v>
      </c>
      <c r="AX339" s="14" t="s">
        <v>72</v>
      </c>
      <c r="AY339" s="215" t="s">
        <v>380</v>
      </c>
    </row>
    <row r="340" spans="1:65" s="15" customFormat="1" ht="11.25">
      <c r="B340" s="216"/>
      <c r="C340" s="217"/>
      <c r="D340" s="196" t="s">
        <v>388</v>
      </c>
      <c r="E340" s="218" t="s">
        <v>19</v>
      </c>
      <c r="F340" s="219" t="s">
        <v>2544</v>
      </c>
      <c r="G340" s="217"/>
      <c r="H340" s="220">
        <v>136.13499999999999</v>
      </c>
      <c r="I340" s="221"/>
      <c r="J340" s="217"/>
      <c r="K340" s="217"/>
      <c r="L340" s="222"/>
      <c r="M340" s="223"/>
      <c r="N340" s="224"/>
      <c r="O340" s="224"/>
      <c r="P340" s="224"/>
      <c r="Q340" s="224"/>
      <c r="R340" s="224"/>
      <c r="S340" s="224"/>
      <c r="T340" s="225"/>
      <c r="AT340" s="226" t="s">
        <v>388</v>
      </c>
      <c r="AU340" s="226" t="s">
        <v>82</v>
      </c>
      <c r="AV340" s="15" t="s">
        <v>386</v>
      </c>
      <c r="AW340" s="15" t="s">
        <v>33</v>
      </c>
      <c r="AX340" s="15" t="s">
        <v>79</v>
      </c>
      <c r="AY340" s="226" t="s">
        <v>380</v>
      </c>
    </row>
    <row r="341" spans="1:65" s="2" customFormat="1" ht="33" customHeight="1">
      <c r="A341" s="36"/>
      <c r="B341" s="37"/>
      <c r="C341" s="181" t="s">
        <v>851</v>
      </c>
      <c r="D341" s="181" t="s">
        <v>382</v>
      </c>
      <c r="E341" s="182" t="s">
        <v>3075</v>
      </c>
      <c r="F341" s="183" t="s">
        <v>3076</v>
      </c>
      <c r="G341" s="184" t="s">
        <v>452</v>
      </c>
      <c r="H341" s="185">
        <v>13.8</v>
      </c>
      <c r="I341" s="186"/>
      <c r="J341" s="187">
        <f>ROUND(I341*H341,2)</f>
        <v>0</v>
      </c>
      <c r="K341" s="183" t="s">
        <v>19</v>
      </c>
      <c r="L341" s="41"/>
      <c r="M341" s="188" t="s">
        <v>19</v>
      </c>
      <c r="N341" s="189" t="s">
        <v>43</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281</v>
      </c>
      <c r="AT341" s="192" t="s">
        <v>382</v>
      </c>
      <c r="AU341" s="192" t="s">
        <v>82</v>
      </c>
      <c r="AY341" s="19" t="s">
        <v>380</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281</v>
      </c>
      <c r="BM341" s="192" t="s">
        <v>1271</v>
      </c>
    </row>
    <row r="342" spans="1:65" s="2" customFormat="1" ht="19.5">
      <c r="A342" s="36"/>
      <c r="B342" s="37"/>
      <c r="C342" s="38"/>
      <c r="D342" s="196" t="s">
        <v>1226</v>
      </c>
      <c r="E342" s="38"/>
      <c r="F342" s="248" t="s">
        <v>3077</v>
      </c>
      <c r="G342" s="38"/>
      <c r="H342" s="38"/>
      <c r="I342" s="249"/>
      <c r="J342" s="38"/>
      <c r="K342" s="38"/>
      <c r="L342" s="41"/>
      <c r="M342" s="250"/>
      <c r="N342" s="251"/>
      <c r="O342" s="66"/>
      <c r="P342" s="66"/>
      <c r="Q342" s="66"/>
      <c r="R342" s="66"/>
      <c r="S342" s="66"/>
      <c r="T342" s="67"/>
      <c r="U342" s="36"/>
      <c r="V342" s="36"/>
      <c r="W342" s="36"/>
      <c r="X342" s="36"/>
      <c r="Y342" s="36"/>
      <c r="Z342" s="36"/>
      <c r="AA342" s="36"/>
      <c r="AB342" s="36"/>
      <c r="AC342" s="36"/>
      <c r="AD342" s="36"/>
      <c r="AE342" s="36"/>
      <c r="AT342" s="19" t="s">
        <v>1226</v>
      </c>
      <c r="AU342" s="19" t="s">
        <v>82</v>
      </c>
    </row>
    <row r="343" spans="1:65" s="13" customFormat="1" ht="11.25">
      <c r="B343" s="194"/>
      <c r="C343" s="195"/>
      <c r="D343" s="196" t="s">
        <v>388</v>
      </c>
      <c r="E343" s="197" t="s">
        <v>19</v>
      </c>
      <c r="F343" s="198" t="s">
        <v>3078</v>
      </c>
      <c r="G343" s="195"/>
      <c r="H343" s="197" t="s">
        <v>19</v>
      </c>
      <c r="I343" s="199"/>
      <c r="J343" s="195"/>
      <c r="K343" s="195"/>
      <c r="L343" s="200"/>
      <c r="M343" s="201"/>
      <c r="N343" s="202"/>
      <c r="O343" s="202"/>
      <c r="P343" s="202"/>
      <c r="Q343" s="202"/>
      <c r="R343" s="202"/>
      <c r="S343" s="202"/>
      <c r="T343" s="203"/>
      <c r="AT343" s="204" t="s">
        <v>388</v>
      </c>
      <c r="AU343" s="204" t="s">
        <v>82</v>
      </c>
      <c r="AV343" s="13" t="s">
        <v>79</v>
      </c>
      <c r="AW343" s="13" t="s">
        <v>33</v>
      </c>
      <c r="AX343" s="13" t="s">
        <v>72</v>
      </c>
      <c r="AY343" s="204" t="s">
        <v>380</v>
      </c>
    </row>
    <row r="344" spans="1:65" s="14" customFormat="1" ht="11.25">
      <c r="B344" s="205"/>
      <c r="C344" s="206"/>
      <c r="D344" s="196" t="s">
        <v>388</v>
      </c>
      <c r="E344" s="207" t="s">
        <v>19</v>
      </c>
      <c r="F344" s="208" t="s">
        <v>2375</v>
      </c>
      <c r="G344" s="206"/>
      <c r="H344" s="209">
        <v>13.8</v>
      </c>
      <c r="I344" s="210"/>
      <c r="J344" s="206"/>
      <c r="K344" s="206"/>
      <c r="L344" s="211"/>
      <c r="M344" s="212"/>
      <c r="N344" s="213"/>
      <c r="O344" s="213"/>
      <c r="P344" s="213"/>
      <c r="Q344" s="213"/>
      <c r="R344" s="213"/>
      <c r="S344" s="213"/>
      <c r="T344" s="214"/>
      <c r="AT344" s="215" t="s">
        <v>388</v>
      </c>
      <c r="AU344" s="215" t="s">
        <v>82</v>
      </c>
      <c r="AV344" s="14" t="s">
        <v>82</v>
      </c>
      <c r="AW344" s="14" t="s">
        <v>33</v>
      </c>
      <c r="AX344" s="14" t="s">
        <v>72</v>
      </c>
      <c r="AY344" s="215" t="s">
        <v>380</v>
      </c>
    </row>
    <row r="345" spans="1:65" s="15" customFormat="1" ht="11.25">
      <c r="B345" s="216"/>
      <c r="C345" s="217"/>
      <c r="D345" s="196" t="s">
        <v>388</v>
      </c>
      <c r="E345" s="218" t="s">
        <v>19</v>
      </c>
      <c r="F345" s="219" t="s">
        <v>419</v>
      </c>
      <c r="G345" s="217"/>
      <c r="H345" s="220">
        <v>13.8</v>
      </c>
      <c r="I345" s="221"/>
      <c r="J345" s="217"/>
      <c r="K345" s="217"/>
      <c r="L345" s="222"/>
      <c r="M345" s="223"/>
      <c r="N345" s="224"/>
      <c r="O345" s="224"/>
      <c r="P345" s="224"/>
      <c r="Q345" s="224"/>
      <c r="R345" s="224"/>
      <c r="S345" s="224"/>
      <c r="T345" s="225"/>
      <c r="AT345" s="226" t="s">
        <v>388</v>
      </c>
      <c r="AU345" s="226" t="s">
        <v>82</v>
      </c>
      <c r="AV345" s="15" t="s">
        <v>386</v>
      </c>
      <c r="AW345" s="15" t="s">
        <v>33</v>
      </c>
      <c r="AX345" s="15" t="s">
        <v>79</v>
      </c>
      <c r="AY345" s="226" t="s">
        <v>380</v>
      </c>
    </row>
    <row r="346" spans="1:65" s="2" customFormat="1" ht="33" customHeight="1">
      <c r="A346" s="36"/>
      <c r="B346" s="37"/>
      <c r="C346" s="181" t="s">
        <v>855</v>
      </c>
      <c r="D346" s="181" t="s">
        <v>382</v>
      </c>
      <c r="E346" s="182" t="s">
        <v>3079</v>
      </c>
      <c r="F346" s="183" t="s">
        <v>3080</v>
      </c>
      <c r="G346" s="184" t="s">
        <v>452</v>
      </c>
      <c r="H346" s="185">
        <v>49.45</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281</v>
      </c>
      <c r="AT346" s="192" t="s">
        <v>382</v>
      </c>
      <c r="AU346" s="192" t="s">
        <v>82</v>
      </c>
      <c r="AY346" s="19" t="s">
        <v>380</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281</v>
      </c>
      <c r="BM346" s="192" t="s">
        <v>1280</v>
      </c>
    </row>
    <row r="347" spans="1:65" s="2" customFormat="1" ht="19.5">
      <c r="A347" s="36"/>
      <c r="B347" s="37"/>
      <c r="C347" s="38"/>
      <c r="D347" s="196" t="s">
        <v>1226</v>
      </c>
      <c r="E347" s="38"/>
      <c r="F347" s="248" t="s">
        <v>3077</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1226</v>
      </c>
      <c r="AU347" s="19" t="s">
        <v>82</v>
      </c>
    </row>
    <row r="348" spans="1:65" s="13" customFormat="1" ht="11.25">
      <c r="B348" s="194"/>
      <c r="C348" s="195"/>
      <c r="D348" s="196" t="s">
        <v>388</v>
      </c>
      <c r="E348" s="197" t="s">
        <v>19</v>
      </c>
      <c r="F348" s="198" t="s">
        <v>3081</v>
      </c>
      <c r="G348" s="195"/>
      <c r="H348" s="197" t="s">
        <v>19</v>
      </c>
      <c r="I348" s="199"/>
      <c r="J348" s="195"/>
      <c r="K348" s="195"/>
      <c r="L348" s="200"/>
      <c r="M348" s="201"/>
      <c r="N348" s="202"/>
      <c r="O348" s="202"/>
      <c r="P348" s="202"/>
      <c r="Q348" s="202"/>
      <c r="R348" s="202"/>
      <c r="S348" s="202"/>
      <c r="T348" s="203"/>
      <c r="AT348" s="204" t="s">
        <v>388</v>
      </c>
      <c r="AU348" s="204" t="s">
        <v>82</v>
      </c>
      <c r="AV348" s="13" t="s">
        <v>79</v>
      </c>
      <c r="AW348" s="13" t="s">
        <v>33</v>
      </c>
      <c r="AX348" s="13" t="s">
        <v>72</v>
      </c>
      <c r="AY348" s="204" t="s">
        <v>380</v>
      </c>
    </row>
    <row r="349" spans="1:65" s="14" customFormat="1" ht="11.25">
      <c r="B349" s="205"/>
      <c r="C349" s="206"/>
      <c r="D349" s="196" t="s">
        <v>388</v>
      </c>
      <c r="E349" s="207" t="s">
        <v>19</v>
      </c>
      <c r="F349" s="208" t="s">
        <v>3082</v>
      </c>
      <c r="G349" s="206"/>
      <c r="H349" s="209">
        <v>10.35</v>
      </c>
      <c r="I349" s="210"/>
      <c r="J349" s="206"/>
      <c r="K349" s="206"/>
      <c r="L349" s="211"/>
      <c r="M349" s="212"/>
      <c r="N349" s="213"/>
      <c r="O349" s="213"/>
      <c r="P349" s="213"/>
      <c r="Q349" s="213"/>
      <c r="R349" s="213"/>
      <c r="S349" s="213"/>
      <c r="T349" s="214"/>
      <c r="AT349" s="215" t="s">
        <v>388</v>
      </c>
      <c r="AU349" s="215" t="s">
        <v>82</v>
      </c>
      <c r="AV349" s="14" t="s">
        <v>82</v>
      </c>
      <c r="AW349" s="14" t="s">
        <v>33</v>
      </c>
      <c r="AX349" s="14" t="s">
        <v>72</v>
      </c>
      <c r="AY349" s="215" t="s">
        <v>380</v>
      </c>
    </row>
    <row r="350" spans="1:65" s="13" customFormat="1" ht="11.25">
      <c r="B350" s="194"/>
      <c r="C350" s="195"/>
      <c r="D350" s="196" t="s">
        <v>388</v>
      </c>
      <c r="E350" s="197" t="s">
        <v>19</v>
      </c>
      <c r="F350" s="198" t="s">
        <v>3083</v>
      </c>
      <c r="G350" s="195"/>
      <c r="H350" s="197" t="s">
        <v>19</v>
      </c>
      <c r="I350" s="199"/>
      <c r="J350" s="195"/>
      <c r="K350" s="195"/>
      <c r="L350" s="200"/>
      <c r="M350" s="201"/>
      <c r="N350" s="202"/>
      <c r="O350" s="202"/>
      <c r="P350" s="202"/>
      <c r="Q350" s="202"/>
      <c r="R350" s="202"/>
      <c r="S350" s="202"/>
      <c r="T350" s="203"/>
      <c r="AT350" s="204" t="s">
        <v>388</v>
      </c>
      <c r="AU350" s="204" t="s">
        <v>82</v>
      </c>
      <c r="AV350" s="13" t="s">
        <v>79</v>
      </c>
      <c r="AW350" s="13" t="s">
        <v>33</v>
      </c>
      <c r="AX350" s="13" t="s">
        <v>72</v>
      </c>
      <c r="AY350" s="204" t="s">
        <v>380</v>
      </c>
    </row>
    <row r="351" spans="1:65" s="14" customFormat="1" ht="11.25">
      <c r="B351" s="205"/>
      <c r="C351" s="206"/>
      <c r="D351" s="196" t="s">
        <v>388</v>
      </c>
      <c r="E351" s="207" t="s">
        <v>19</v>
      </c>
      <c r="F351" s="208" t="s">
        <v>3084</v>
      </c>
      <c r="G351" s="206"/>
      <c r="H351" s="209">
        <v>39.1</v>
      </c>
      <c r="I351" s="210"/>
      <c r="J351" s="206"/>
      <c r="K351" s="206"/>
      <c r="L351" s="211"/>
      <c r="M351" s="212"/>
      <c r="N351" s="213"/>
      <c r="O351" s="213"/>
      <c r="P351" s="213"/>
      <c r="Q351" s="213"/>
      <c r="R351" s="213"/>
      <c r="S351" s="213"/>
      <c r="T351" s="214"/>
      <c r="AT351" s="215" t="s">
        <v>388</v>
      </c>
      <c r="AU351" s="215" t="s">
        <v>82</v>
      </c>
      <c r="AV351" s="14" t="s">
        <v>82</v>
      </c>
      <c r="AW351" s="14" t="s">
        <v>33</v>
      </c>
      <c r="AX351" s="14" t="s">
        <v>72</v>
      </c>
      <c r="AY351" s="215" t="s">
        <v>380</v>
      </c>
    </row>
    <row r="352" spans="1:65" s="15" customFormat="1" ht="11.25">
      <c r="B352" s="216"/>
      <c r="C352" s="217"/>
      <c r="D352" s="196" t="s">
        <v>388</v>
      </c>
      <c r="E352" s="218" t="s">
        <v>19</v>
      </c>
      <c r="F352" s="219" t="s">
        <v>2544</v>
      </c>
      <c r="G352" s="217"/>
      <c r="H352" s="220">
        <v>49.45</v>
      </c>
      <c r="I352" s="221"/>
      <c r="J352" s="217"/>
      <c r="K352" s="217"/>
      <c r="L352" s="222"/>
      <c r="M352" s="223"/>
      <c r="N352" s="224"/>
      <c r="O352" s="224"/>
      <c r="P352" s="224"/>
      <c r="Q352" s="224"/>
      <c r="R352" s="224"/>
      <c r="S352" s="224"/>
      <c r="T352" s="225"/>
      <c r="AT352" s="226" t="s">
        <v>388</v>
      </c>
      <c r="AU352" s="226" t="s">
        <v>82</v>
      </c>
      <c r="AV352" s="15" t="s">
        <v>386</v>
      </c>
      <c r="AW352" s="15" t="s">
        <v>33</v>
      </c>
      <c r="AX352" s="15" t="s">
        <v>79</v>
      </c>
      <c r="AY352" s="226" t="s">
        <v>380</v>
      </c>
    </row>
    <row r="353" spans="1:65" s="2" customFormat="1" ht="33" customHeight="1">
      <c r="A353" s="36"/>
      <c r="B353" s="37"/>
      <c r="C353" s="181" t="s">
        <v>859</v>
      </c>
      <c r="D353" s="181" t="s">
        <v>382</v>
      </c>
      <c r="E353" s="182" t="s">
        <v>3085</v>
      </c>
      <c r="F353" s="183" t="s">
        <v>3086</v>
      </c>
      <c r="G353" s="184" t="s">
        <v>452</v>
      </c>
      <c r="H353" s="185">
        <v>39.1</v>
      </c>
      <c r="I353" s="186"/>
      <c r="J353" s="187">
        <f>ROUND(I353*H353,2)</f>
        <v>0</v>
      </c>
      <c r="K353" s="183" t="s">
        <v>19</v>
      </c>
      <c r="L353" s="41"/>
      <c r="M353" s="188" t="s">
        <v>19</v>
      </c>
      <c r="N353" s="189" t="s">
        <v>43</v>
      </c>
      <c r="O353" s="66"/>
      <c r="P353" s="190">
        <f>O353*H353</f>
        <v>0</v>
      </c>
      <c r="Q353" s="190">
        <v>0</v>
      </c>
      <c r="R353" s="190">
        <f>Q353*H353</f>
        <v>0</v>
      </c>
      <c r="S353" s="190">
        <v>0</v>
      </c>
      <c r="T353" s="191">
        <f>S353*H353</f>
        <v>0</v>
      </c>
      <c r="U353" s="36"/>
      <c r="V353" s="36"/>
      <c r="W353" s="36"/>
      <c r="X353" s="36"/>
      <c r="Y353" s="36"/>
      <c r="Z353" s="36"/>
      <c r="AA353" s="36"/>
      <c r="AB353" s="36"/>
      <c r="AC353" s="36"/>
      <c r="AD353" s="36"/>
      <c r="AE353" s="36"/>
      <c r="AR353" s="192" t="s">
        <v>281</v>
      </c>
      <c r="AT353" s="192" t="s">
        <v>382</v>
      </c>
      <c r="AU353" s="192" t="s">
        <v>82</v>
      </c>
      <c r="AY353" s="19" t="s">
        <v>380</v>
      </c>
      <c r="BE353" s="193">
        <f>IF(N353="základní",J353,0)</f>
        <v>0</v>
      </c>
      <c r="BF353" s="193">
        <f>IF(N353="snížená",J353,0)</f>
        <v>0</v>
      </c>
      <c r="BG353" s="193">
        <f>IF(N353="zákl. přenesená",J353,0)</f>
        <v>0</v>
      </c>
      <c r="BH353" s="193">
        <f>IF(N353="sníž. přenesená",J353,0)</f>
        <v>0</v>
      </c>
      <c r="BI353" s="193">
        <f>IF(N353="nulová",J353,0)</f>
        <v>0</v>
      </c>
      <c r="BJ353" s="19" t="s">
        <v>79</v>
      </c>
      <c r="BK353" s="193">
        <f>ROUND(I353*H353,2)</f>
        <v>0</v>
      </c>
      <c r="BL353" s="19" t="s">
        <v>281</v>
      </c>
      <c r="BM353" s="192" t="s">
        <v>1293</v>
      </c>
    </row>
    <row r="354" spans="1:65" s="2" customFormat="1" ht="19.5">
      <c r="A354" s="36"/>
      <c r="B354" s="37"/>
      <c r="C354" s="38"/>
      <c r="D354" s="196" t="s">
        <v>1226</v>
      </c>
      <c r="E354" s="38"/>
      <c r="F354" s="248" t="s">
        <v>3077</v>
      </c>
      <c r="G354" s="38"/>
      <c r="H354" s="38"/>
      <c r="I354" s="249"/>
      <c r="J354" s="38"/>
      <c r="K354" s="38"/>
      <c r="L354" s="41"/>
      <c r="M354" s="250"/>
      <c r="N354" s="251"/>
      <c r="O354" s="66"/>
      <c r="P354" s="66"/>
      <c r="Q354" s="66"/>
      <c r="R354" s="66"/>
      <c r="S354" s="66"/>
      <c r="T354" s="67"/>
      <c r="U354" s="36"/>
      <c r="V354" s="36"/>
      <c r="W354" s="36"/>
      <c r="X354" s="36"/>
      <c r="Y354" s="36"/>
      <c r="Z354" s="36"/>
      <c r="AA354" s="36"/>
      <c r="AB354" s="36"/>
      <c r="AC354" s="36"/>
      <c r="AD354" s="36"/>
      <c r="AE354" s="36"/>
      <c r="AT354" s="19" t="s">
        <v>1226</v>
      </c>
      <c r="AU354" s="19" t="s">
        <v>82</v>
      </c>
    </row>
    <row r="355" spans="1:65" s="13" customFormat="1" ht="11.25">
      <c r="B355" s="194"/>
      <c r="C355" s="195"/>
      <c r="D355" s="196" t="s">
        <v>388</v>
      </c>
      <c r="E355" s="197" t="s">
        <v>19</v>
      </c>
      <c r="F355" s="198" t="s">
        <v>3087</v>
      </c>
      <c r="G355" s="195"/>
      <c r="H355" s="197" t="s">
        <v>19</v>
      </c>
      <c r="I355" s="199"/>
      <c r="J355" s="195"/>
      <c r="K355" s="195"/>
      <c r="L355" s="200"/>
      <c r="M355" s="201"/>
      <c r="N355" s="202"/>
      <c r="O355" s="202"/>
      <c r="P355" s="202"/>
      <c r="Q355" s="202"/>
      <c r="R355" s="202"/>
      <c r="S355" s="202"/>
      <c r="T355" s="203"/>
      <c r="AT355" s="204" t="s">
        <v>388</v>
      </c>
      <c r="AU355" s="204" t="s">
        <v>82</v>
      </c>
      <c r="AV355" s="13" t="s">
        <v>79</v>
      </c>
      <c r="AW355" s="13" t="s">
        <v>33</v>
      </c>
      <c r="AX355" s="13" t="s">
        <v>72</v>
      </c>
      <c r="AY355" s="204" t="s">
        <v>380</v>
      </c>
    </row>
    <row r="356" spans="1:65" s="14" customFormat="1" ht="11.25">
      <c r="B356" s="205"/>
      <c r="C356" s="206"/>
      <c r="D356" s="196" t="s">
        <v>388</v>
      </c>
      <c r="E356" s="207" t="s">
        <v>19</v>
      </c>
      <c r="F356" s="208" t="s">
        <v>3084</v>
      </c>
      <c r="G356" s="206"/>
      <c r="H356" s="209">
        <v>39.1</v>
      </c>
      <c r="I356" s="210"/>
      <c r="J356" s="206"/>
      <c r="K356" s="206"/>
      <c r="L356" s="211"/>
      <c r="M356" s="212"/>
      <c r="N356" s="213"/>
      <c r="O356" s="213"/>
      <c r="P356" s="213"/>
      <c r="Q356" s="213"/>
      <c r="R356" s="213"/>
      <c r="S356" s="213"/>
      <c r="T356" s="214"/>
      <c r="AT356" s="215" t="s">
        <v>388</v>
      </c>
      <c r="AU356" s="215" t="s">
        <v>82</v>
      </c>
      <c r="AV356" s="14" t="s">
        <v>82</v>
      </c>
      <c r="AW356" s="14" t="s">
        <v>33</v>
      </c>
      <c r="AX356" s="14" t="s">
        <v>72</v>
      </c>
      <c r="AY356" s="215" t="s">
        <v>380</v>
      </c>
    </row>
    <row r="357" spans="1:65" s="15" customFormat="1" ht="11.25">
      <c r="B357" s="216"/>
      <c r="C357" s="217"/>
      <c r="D357" s="196" t="s">
        <v>388</v>
      </c>
      <c r="E357" s="218" t="s">
        <v>19</v>
      </c>
      <c r="F357" s="219" t="s">
        <v>419</v>
      </c>
      <c r="G357" s="217"/>
      <c r="H357" s="220">
        <v>39.1</v>
      </c>
      <c r="I357" s="221"/>
      <c r="J357" s="217"/>
      <c r="K357" s="217"/>
      <c r="L357" s="222"/>
      <c r="M357" s="223"/>
      <c r="N357" s="224"/>
      <c r="O357" s="224"/>
      <c r="P357" s="224"/>
      <c r="Q357" s="224"/>
      <c r="R357" s="224"/>
      <c r="S357" s="224"/>
      <c r="T357" s="225"/>
      <c r="AT357" s="226" t="s">
        <v>388</v>
      </c>
      <c r="AU357" s="226" t="s">
        <v>82</v>
      </c>
      <c r="AV357" s="15" t="s">
        <v>386</v>
      </c>
      <c r="AW357" s="15" t="s">
        <v>33</v>
      </c>
      <c r="AX357" s="15" t="s">
        <v>79</v>
      </c>
      <c r="AY357" s="226" t="s">
        <v>380</v>
      </c>
    </row>
    <row r="358" spans="1:65" s="2" customFormat="1" ht="33" customHeight="1">
      <c r="A358" s="36"/>
      <c r="B358" s="37"/>
      <c r="C358" s="181" t="s">
        <v>863</v>
      </c>
      <c r="D358" s="181" t="s">
        <v>382</v>
      </c>
      <c r="E358" s="182" t="s">
        <v>3088</v>
      </c>
      <c r="F358" s="183" t="s">
        <v>3089</v>
      </c>
      <c r="G358" s="184" t="s">
        <v>452</v>
      </c>
      <c r="H358" s="185">
        <v>36.799999999999997</v>
      </c>
      <c r="I358" s="186"/>
      <c r="J358" s="187">
        <f>ROUND(I358*H358,2)</f>
        <v>0</v>
      </c>
      <c r="K358" s="183" t="s">
        <v>19</v>
      </c>
      <c r="L358" s="41"/>
      <c r="M358" s="188" t="s">
        <v>19</v>
      </c>
      <c r="N358" s="189"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281</v>
      </c>
      <c r="AT358" s="192" t="s">
        <v>382</v>
      </c>
      <c r="AU358" s="192" t="s">
        <v>82</v>
      </c>
      <c r="AY358" s="19" t="s">
        <v>380</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281</v>
      </c>
      <c r="BM358" s="192" t="s">
        <v>1301</v>
      </c>
    </row>
    <row r="359" spans="1:65" s="2" customFormat="1" ht="19.5">
      <c r="A359" s="36"/>
      <c r="B359" s="37"/>
      <c r="C359" s="38"/>
      <c r="D359" s="196" t="s">
        <v>1226</v>
      </c>
      <c r="E359" s="38"/>
      <c r="F359" s="248" t="s">
        <v>3077</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1226</v>
      </c>
      <c r="AU359" s="19" t="s">
        <v>82</v>
      </c>
    </row>
    <row r="360" spans="1:65" s="13" customFormat="1" ht="11.25">
      <c r="B360" s="194"/>
      <c r="C360" s="195"/>
      <c r="D360" s="196" t="s">
        <v>388</v>
      </c>
      <c r="E360" s="197" t="s">
        <v>19</v>
      </c>
      <c r="F360" s="198" t="s">
        <v>3090</v>
      </c>
      <c r="G360" s="195"/>
      <c r="H360" s="197" t="s">
        <v>19</v>
      </c>
      <c r="I360" s="199"/>
      <c r="J360" s="195"/>
      <c r="K360" s="195"/>
      <c r="L360" s="200"/>
      <c r="M360" s="201"/>
      <c r="N360" s="202"/>
      <c r="O360" s="202"/>
      <c r="P360" s="202"/>
      <c r="Q360" s="202"/>
      <c r="R360" s="202"/>
      <c r="S360" s="202"/>
      <c r="T360" s="203"/>
      <c r="AT360" s="204" t="s">
        <v>388</v>
      </c>
      <c r="AU360" s="204" t="s">
        <v>82</v>
      </c>
      <c r="AV360" s="13" t="s">
        <v>79</v>
      </c>
      <c r="AW360" s="13" t="s">
        <v>33</v>
      </c>
      <c r="AX360" s="13" t="s">
        <v>72</v>
      </c>
      <c r="AY360" s="204" t="s">
        <v>380</v>
      </c>
    </row>
    <row r="361" spans="1:65" s="14" customFormat="1" ht="11.25">
      <c r="B361" s="205"/>
      <c r="C361" s="206"/>
      <c r="D361" s="196" t="s">
        <v>388</v>
      </c>
      <c r="E361" s="207" t="s">
        <v>19</v>
      </c>
      <c r="F361" s="208" t="s">
        <v>3091</v>
      </c>
      <c r="G361" s="206"/>
      <c r="H361" s="209">
        <v>36.799999999999997</v>
      </c>
      <c r="I361" s="210"/>
      <c r="J361" s="206"/>
      <c r="K361" s="206"/>
      <c r="L361" s="211"/>
      <c r="M361" s="212"/>
      <c r="N361" s="213"/>
      <c r="O361" s="213"/>
      <c r="P361" s="213"/>
      <c r="Q361" s="213"/>
      <c r="R361" s="213"/>
      <c r="S361" s="213"/>
      <c r="T361" s="214"/>
      <c r="AT361" s="215" t="s">
        <v>388</v>
      </c>
      <c r="AU361" s="215" t="s">
        <v>82</v>
      </c>
      <c r="AV361" s="14" t="s">
        <v>82</v>
      </c>
      <c r="AW361" s="14" t="s">
        <v>33</v>
      </c>
      <c r="AX361" s="14" t="s">
        <v>72</v>
      </c>
      <c r="AY361" s="215" t="s">
        <v>380</v>
      </c>
    </row>
    <row r="362" spans="1:65" s="15" customFormat="1" ht="11.25">
      <c r="B362" s="216"/>
      <c r="C362" s="217"/>
      <c r="D362" s="196" t="s">
        <v>388</v>
      </c>
      <c r="E362" s="218" t="s">
        <v>19</v>
      </c>
      <c r="F362" s="219" t="s">
        <v>419</v>
      </c>
      <c r="G362" s="217"/>
      <c r="H362" s="220">
        <v>36.799999999999997</v>
      </c>
      <c r="I362" s="221"/>
      <c r="J362" s="217"/>
      <c r="K362" s="217"/>
      <c r="L362" s="222"/>
      <c r="M362" s="223"/>
      <c r="N362" s="224"/>
      <c r="O362" s="224"/>
      <c r="P362" s="224"/>
      <c r="Q362" s="224"/>
      <c r="R362" s="224"/>
      <c r="S362" s="224"/>
      <c r="T362" s="225"/>
      <c r="AT362" s="226" t="s">
        <v>388</v>
      </c>
      <c r="AU362" s="226" t="s">
        <v>82</v>
      </c>
      <c r="AV362" s="15" t="s">
        <v>386</v>
      </c>
      <c r="AW362" s="15" t="s">
        <v>33</v>
      </c>
      <c r="AX362" s="15" t="s">
        <v>79</v>
      </c>
      <c r="AY362" s="226" t="s">
        <v>380</v>
      </c>
    </row>
    <row r="363" spans="1:65" s="2" customFormat="1" ht="16.5" customHeight="1">
      <c r="A363" s="36"/>
      <c r="B363" s="37"/>
      <c r="C363" s="181" t="s">
        <v>867</v>
      </c>
      <c r="D363" s="181" t="s">
        <v>382</v>
      </c>
      <c r="E363" s="182" t="s">
        <v>3092</v>
      </c>
      <c r="F363" s="183" t="s">
        <v>3093</v>
      </c>
      <c r="G363" s="184" t="s">
        <v>641</v>
      </c>
      <c r="H363" s="185">
        <v>50</v>
      </c>
      <c r="I363" s="186"/>
      <c r="J363" s="187">
        <f>ROUND(I363*H363,2)</f>
        <v>0</v>
      </c>
      <c r="K363" s="183" t="s">
        <v>19</v>
      </c>
      <c r="L363" s="41"/>
      <c r="M363" s="188" t="s">
        <v>19</v>
      </c>
      <c r="N363" s="189" t="s">
        <v>43</v>
      </c>
      <c r="O363" s="66"/>
      <c r="P363" s="190">
        <f>O363*H363</f>
        <v>0</v>
      </c>
      <c r="Q363" s="190">
        <v>0</v>
      </c>
      <c r="R363" s="190">
        <f>Q363*H363</f>
        <v>0</v>
      </c>
      <c r="S363" s="190">
        <v>0</v>
      </c>
      <c r="T363" s="191">
        <f>S363*H363</f>
        <v>0</v>
      </c>
      <c r="U363" s="36"/>
      <c r="V363" s="36"/>
      <c r="W363" s="36"/>
      <c r="X363" s="36"/>
      <c r="Y363" s="36"/>
      <c r="Z363" s="36"/>
      <c r="AA363" s="36"/>
      <c r="AB363" s="36"/>
      <c r="AC363" s="36"/>
      <c r="AD363" s="36"/>
      <c r="AE363" s="36"/>
      <c r="AR363" s="192" t="s">
        <v>281</v>
      </c>
      <c r="AT363" s="192" t="s">
        <v>382</v>
      </c>
      <c r="AU363" s="192" t="s">
        <v>82</v>
      </c>
      <c r="AY363" s="19" t="s">
        <v>380</v>
      </c>
      <c r="BE363" s="193">
        <f>IF(N363="základní",J363,0)</f>
        <v>0</v>
      </c>
      <c r="BF363" s="193">
        <f>IF(N363="snížená",J363,0)</f>
        <v>0</v>
      </c>
      <c r="BG363" s="193">
        <f>IF(N363="zákl. přenesená",J363,0)</f>
        <v>0</v>
      </c>
      <c r="BH363" s="193">
        <f>IF(N363="sníž. přenesená",J363,0)</f>
        <v>0</v>
      </c>
      <c r="BI363" s="193">
        <f>IF(N363="nulová",J363,0)</f>
        <v>0</v>
      </c>
      <c r="BJ363" s="19" t="s">
        <v>79</v>
      </c>
      <c r="BK363" s="193">
        <f>ROUND(I363*H363,2)</f>
        <v>0</v>
      </c>
      <c r="BL363" s="19" t="s">
        <v>281</v>
      </c>
      <c r="BM363" s="192" t="s">
        <v>1309</v>
      </c>
    </row>
    <row r="364" spans="1:65" s="2" customFormat="1" ht="16.5" customHeight="1">
      <c r="A364" s="36"/>
      <c r="B364" s="37"/>
      <c r="C364" s="181" t="s">
        <v>873</v>
      </c>
      <c r="D364" s="181" t="s">
        <v>382</v>
      </c>
      <c r="E364" s="182" t="s">
        <v>3094</v>
      </c>
      <c r="F364" s="183" t="s">
        <v>3095</v>
      </c>
      <c r="G364" s="184" t="s">
        <v>641</v>
      </c>
      <c r="H364" s="185">
        <v>28</v>
      </c>
      <c r="I364" s="186"/>
      <c r="J364" s="187">
        <f>ROUND(I364*H364,2)</f>
        <v>0</v>
      </c>
      <c r="K364" s="183" t="s">
        <v>19</v>
      </c>
      <c r="L364" s="41"/>
      <c r="M364" s="188" t="s">
        <v>19</v>
      </c>
      <c r="N364" s="189" t="s">
        <v>43</v>
      </c>
      <c r="O364" s="66"/>
      <c r="P364" s="190">
        <f>O364*H364</f>
        <v>0</v>
      </c>
      <c r="Q364" s="190">
        <v>0</v>
      </c>
      <c r="R364" s="190">
        <f>Q364*H364</f>
        <v>0</v>
      </c>
      <c r="S364" s="190">
        <v>0</v>
      </c>
      <c r="T364" s="191">
        <f>S364*H364</f>
        <v>0</v>
      </c>
      <c r="U364" s="36"/>
      <c r="V364" s="36"/>
      <c r="W364" s="36"/>
      <c r="X364" s="36"/>
      <c r="Y364" s="36"/>
      <c r="Z364" s="36"/>
      <c r="AA364" s="36"/>
      <c r="AB364" s="36"/>
      <c r="AC364" s="36"/>
      <c r="AD364" s="36"/>
      <c r="AE364" s="36"/>
      <c r="AR364" s="192" t="s">
        <v>281</v>
      </c>
      <c r="AT364" s="192" t="s">
        <v>382</v>
      </c>
      <c r="AU364" s="192" t="s">
        <v>82</v>
      </c>
      <c r="AY364" s="19" t="s">
        <v>380</v>
      </c>
      <c r="BE364" s="193">
        <f>IF(N364="základní",J364,0)</f>
        <v>0</v>
      </c>
      <c r="BF364" s="193">
        <f>IF(N364="snížená",J364,0)</f>
        <v>0</v>
      </c>
      <c r="BG364" s="193">
        <f>IF(N364="zákl. přenesená",J364,0)</f>
        <v>0</v>
      </c>
      <c r="BH364" s="193">
        <f>IF(N364="sníž. přenesená",J364,0)</f>
        <v>0</v>
      </c>
      <c r="BI364" s="193">
        <f>IF(N364="nulová",J364,0)</f>
        <v>0</v>
      </c>
      <c r="BJ364" s="19" t="s">
        <v>79</v>
      </c>
      <c r="BK364" s="193">
        <f>ROUND(I364*H364,2)</f>
        <v>0</v>
      </c>
      <c r="BL364" s="19" t="s">
        <v>281</v>
      </c>
      <c r="BM364" s="192" t="s">
        <v>1322</v>
      </c>
    </row>
    <row r="365" spans="1:65" s="2" customFormat="1" ht="16.5" customHeight="1">
      <c r="A365" s="36"/>
      <c r="B365" s="37"/>
      <c r="C365" s="181" t="s">
        <v>884</v>
      </c>
      <c r="D365" s="181" t="s">
        <v>382</v>
      </c>
      <c r="E365" s="182" t="s">
        <v>3096</v>
      </c>
      <c r="F365" s="183" t="s">
        <v>3097</v>
      </c>
      <c r="G365" s="184" t="s">
        <v>641</v>
      </c>
      <c r="H365" s="185">
        <v>2</v>
      </c>
      <c r="I365" s="186"/>
      <c r="J365" s="187">
        <f>ROUND(I365*H365,2)</f>
        <v>0</v>
      </c>
      <c r="K365" s="183" t="s">
        <v>19</v>
      </c>
      <c r="L365" s="41"/>
      <c r="M365" s="188" t="s">
        <v>19</v>
      </c>
      <c r="N365" s="189" t="s">
        <v>43</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281</v>
      </c>
      <c r="AT365" s="192" t="s">
        <v>382</v>
      </c>
      <c r="AU365" s="192" t="s">
        <v>82</v>
      </c>
      <c r="AY365" s="19" t="s">
        <v>380</v>
      </c>
      <c r="BE365" s="193">
        <f>IF(N365="základní",J365,0)</f>
        <v>0</v>
      </c>
      <c r="BF365" s="193">
        <f>IF(N365="snížená",J365,0)</f>
        <v>0</v>
      </c>
      <c r="BG365" s="193">
        <f>IF(N365="zákl. přenesená",J365,0)</f>
        <v>0</v>
      </c>
      <c r="BH365" s="193">
        <f>IF(N365="sníž. přenesená",J365,0)</f>
        <v>0</v>
      </c>
      <c r="BI365" s="193">
        <f>IF(N365="nulová",J365,0)</f>
        <v>0</v>
      </c>
      <c r="BJ365" s="19" t="s">
        <v>79</v>
      </c>
      <c r="BK365" s="193">
        <f>ROUND(I365*H365,2)</f>
        <v>0</v>
      </c>
      <c r="BL365" s="19" t="s">
        <v>281</v>
      </c>
      <c r="BM365" s="192" t="s">
        <v>1340</v>
      </c>
    </row>
    <row r="366" spans="1:65" s="13" customFormat="1" ht="11.25">
      <c r="B366" s="194"/>
      <c r="C366" s="195"/>
      <c r="D366" s="196" t="s">
        <v>388</v>
      </c>
      <c r="E366" s="197" t="s">
        <v>19</v>
      </c>
      <c r="F366" s="198" t="s">
        <v>3098</v>
      </c>
      <c r="G366" s="195"/>
      <c r="H366" s="197" t="s">
        <v>19</v>
      </c>
      <c r="I366" s="199"/>
      <c r="J366" s="195"/>
      <c r="K366" s="195"/>
      <c r="L366" s="200"/>
      <c r="M366" s="201"/>
      <c r="N366" s="202"/>
      <c r="O366" s="202"/>
      <c r="P366" s="202"/>
      <c r="Q366" s="202"/>
      <c r="R366" s="202"/>
      <c r="S366" s="202"/>
      <c r="T366" s="203"/>
      <c r="AT366" s="204" t="s">
        <v>388</v>
      </c>
      <c r="AU366" s="204" t="s">
        <v>82</v>
      </c>
      <c r="AV366" s="13" t="s">
        <v>79</v>
      </c>
      <c r="AW366" s="13" t="s">
        <v>33</v>
      </c>
      <c r="AX366" s="13" t="s">
        <v>72</v>
      </c>
      <c r="AY366" s="204" t="s">
        <v>380</v>
      </c>
    </row>
    <row r="367" spans="1:65" s="14" customFormat="1" ht="11.25">
      <c r="B367" s="205"/>
      <c r="C367" s="206"/>
      <c r="D367" s="196" t="s">
        <v>388</v>
      </c>
      <c r="E367" s="207" t="s">
        <v>19</v>
      </c>
      <c r="F367" s="208" t="s">
        <v>2998</v>
      </c>
      <c r="G367" s="206"/>
      <c r="H367" s="209">
        <v>2</v>
      </c>
      <c r="I367" s="210"/>
      <c r="J367" s="206"/>
      <c r="K367" s="206"/>
      <c r="L367" s="211"/>
      <c r="M367" s="212"/>
      <c r="N367" s="213"/>
      <c r="O367" s="213"/>
      <c r="P367" s="213"/>
      <c r="Q367" s="213"/>
      <c r="R367" s="213"/>
      <c r="S367" s="213"/>
      <c r="T367" s="214"/>
      <c r="AT367" s="215" t="s">
        <v>388</v>
      </c>
      <c r="AU367" s="215" t="s">
        <v>82</v>
      </c>
      <c r="AV367" s="14" t="s">
        <v>82</v>
      </c>
      <c r="AW367" s="14" t="s">
        <v>33</v>
      </c>
      <c r="AX367" s="14" t="s">
        <v>72</v>
      </c>
      <c r="AY367" s="215" t="s">
        <v>380</v>
      </c>
    </row>
    <row r="368" spans="1:65" s="15" customFormat="1" ht="11.25">
      <c r="B368" s="216"/>
      <c r="C368" s="217"/>
      <c r="D368" s="196" t="s">
        <v>388</v>
      </c>
      <c r="E368" s="218" t="s">
        <v>19</v>
      </c>
      <c r="F368" s="219" t="s">
        <v>419</v>
      </c>
      <c r="G368" s="217"/>
      <c r="H368" s="220">
        <v>2</v>
      </c>
      <c r="I368" s="221"/>
      <c r="J368" s="217"/>
      <c r="K368" s="217"/>
      <c r="L368" s="222"/>
      <c r="M368" s="223"/>
      <c r="N368" s="224"/>
      <c r="O368" s="224"/>
      <c r="P368" s="224"/>
      <c r="Q368" s="224"/>
      <c r="R368" s="224"/>
      <c r="S368" s="224"/>
      <c r="T368" s="225"/>
      <c r="AT368" s="226" t="s">
        <v>388</v>
      </c>
      <c r="AU368" s="226" t="s">
        <v>82</v>
      </c>
      <c r="AV368" s="15" t="s">
        <v>386</v>
      </c>
      <c r="AW368" s="15" t="s">
        <v>33</v>
      </c>
      <c r="AX368" s="15" t="s">
        <v>79</v>
      </c>
      <c r="AY368" s="226" t="s">
        <v>380</v>
      </c>
    </row>
    <row r="369" spans="1:65" s="2" customFormat="1" ht="16.5" customHeight="1">
      <c r="A369" s="36"/>
      <c r="B369" s="37"/>
      <c r="C369" s="181" t="s">
        <v>897</v>
      </c>
      <c r="D369" s="181" t="s">
        <v>382</v>
      </c>
      <c r="E369" s="182" t="s">
        <v>3099</v>
      </c>
      <c r="F369" s="183" t="s">
        <v>3100</v>
      </c>
      <c r="G369" s="184" t="s">
        <v>641</v>
      </c>
      <c r="H369" s="185">
        <v>1</v>
      </c>
      <c r="I369" s="186"/>
      <c r="J369" s="187">
        <f>ROUND(I369*H369,2)</f>
        <v>0</v>
      </c>
      <c r="K369" s="183" t="s">
        <v>19</v>
      </c>
      <c r="L369" s="41"/>
      <c r="M369" s="188" t="s">
        <v>19</v>
      </c>
      <c r="N369" s="189" t="s">
        <v>43</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281</v>
      </c>
      <c r="AT369" s="192" t="s">
        <v>382</v>
      </c>
      <c r="AU369" s="192" t="s">
        <v>82</v>
      </c>
      <c r="AY369" s="19" t="s">
        <v>380</v>
      </c>
      <c r="BE369" s="193">
        <f>IF(N369="základní",J369,0)</f>
        <v>0</v>
      </c>
      <c r="BF369" s="193">
        <f>IF(N369="snížená",J369,0)</f>
        <v>0</v>
      </c>
      <c r="BG369" s="193">
        <f>IF(N369="zákl. přenesená",J369,0)</f>
        <v>0</v>
      </c>
      <c r="BH369" s="193">
        <f>IF(N369="sníž. přenesená",J369,0)</f>
        <v>0</v>
      </c>
      <c r="BI369" s="193">
        <f>IF(N369="nulová",J369,0)</f>
        <v>0</v>
      </c>
      <c r="BJ369" s="19" t="s">
        <v>79</v>
      </c>
      <c r="BK369" s="193">
        <f>ROUND(I369*H369,2)</f>
        <v>0</v>
      </c>
      <c r="BL369" s="19" t="s">
        <v>281</v>
      </c>
      <c r="BM369" s="192" t="s">
        <v>1353</v>
      </c>
    </row>
    <row r="370" spans="1:65" s="13" customFormat="1" ht="11.25">
      <c r="B370" s="194"/>
      <c r="C370" s="195"/>
      <c r="D370" s="196" t="s">
        <v>388</v>
      </c>
      <c r="E370" s="197" t="s">
        <v>19</v>
      </c>
      <c r="F370" s="198" t="s">
        <v>3101</v>
      </c>
      <c r="G370" s="195"/>
      <c r="H370" s="197" t="s">
        <v>19</v>
      </c>
      <c r="I370" s="199"/>
      <c r="J370" s="195"/>
      <c r="K370" s="195"/>
      <c r="L370" s="200"/>
      <c r="M370" s="201"/>
      <c r="N370" s="202"/>
      <c r="O370" s="202"/>
      <c r="P370" s="202"/>
      <c r="Q370" s="202"/>
      <c r="R370" s="202"/>
      <c r="S370" s="202"/>
      <c r="T370" s="203"/>
      <c r="AT370" s="204" t="s">
        <v>388</v>
      </c>
      <c r="AU370" s="204" t="s">
        <v>82</v>
      </c>
      <c r="AV370" s="13" t="s">
        <v>79</v>
      </c>
      <c r="AW370" s="13" t="s">
        <v>33</v>
      </c>
      <c r="AX370" s="13" t="s">
        <v>72</v>
      </c>
      <c r="AY370" s="204" t="s">
        <v>380</v>
      </c>
    </row>
    <row r="371" spans="1:65" s="14" customFormat="1" ht="11.25">
      <c r="B371" s="205"/>
      <c r="C371" s="206"/>
      <c r="D371" s="196" t="s">
        <v>388</v>
      </c>
      <c r="E371" s="207" t="s">
        <v>19</v>
      </c>
      <c r="F371" s="208" t="s">
        <v>2542</v>
      </c>
      <c r="G371" s="206"/>
      <c r="H371" s="209">
        <v>1</v>
      </c>
      <c r="I371" s="210"/>
      <c r="J371" s="206"/>
      <c r="K371" s="206"/>
      <c r="L371" s="211"/>
      <c r="M371" s="212"/>
      <c r="N371" s="213"/>
      <c r="O371" s="213"/>
      <c r="P371" s="213"/>
      <c r="Q371" s="213"/>
      <c r="R371" s="213"/>
      <c r="S371" s="213"/>
      <c r="T371" s="214"/>
      <c r="AT371" s="215" t="s">
        <v>388</v>
      </c>
      <c r="AU371" s="215" t="s">
        <v>82</v>
      </c>
      <c r="AV371" s="14" t="s">
        <v>82</v>
      </c>
      <c r="AW371" s="14" t="s">
        <v>33</v>
      </c>
      <c r="AX371" s="14" t="s">
        <v>72</v>
      </c>
      <c r="AY371" s="215" t="s">
        <v>380</v>
      </c>
    </row>
    <row r="372" spans="1:65" s="15" customFormat="1" ht="11.25">
      <c r="B372" s="216"/>
      <c r="C372" s="217"/>
      <c r="D372" s="196" t="s">
        <v>388</v>
      </c>
      <c r="E372" s="218" t="s">
        <v>19</v>
      </c>
      <c r="F372" s="219" t="s">
        <v>419</v>
      </c>
      <c r="G372" s="217"/>
      <c r="H372" s="220">
        <v>1</v>
      </c>
      <c r="I372" s="221"/>
      <c r="J372" s="217"/>
      <c r="K372" s="217"/>
      <c r="L372" s="222"/>
      <c r="M372" s="223"/>
      <c r="N372" s="224"/>
      <c r="O372" s="224"/>
      <c r="P372" s="224"/>
      <c r="Q372" s="224"/>
      <c r="R372" s="224"/>
      <c r="S372" s="224"/>
      <c r="T372" s="225"/>
      <c r="AT372" s="226" t="s">
        <v>388</v>
      </c>
      <c r="AU372" s="226" t="s">
        <v>82</v>
      </c>
      <c r="AV372" s="15" t="s">
        <v>386</v>
      </c>
      <c r="AW372" s="15" t="s">
        <v>33</v>
      </c>
      <c r="AX372" s="15" t="s">
        <v>79</v>
      </c>
      <c r="AY372" s="226" t="s">
        <v>380</v>
      </c>
    </row>
    <row r="373" spans="1:65" s="2" customFormat="1" ht="16.5" customHeight="1">
      <c r="A373" s="36"/>
      <c r="B373" s="37"/>
      <c r="C373" s="181" t="s">
        <v>910</v>
      </c>
      <c r="D373" s="181" t="s">
        <v>382</v>
      </c>
      <c r="E373" s="182" t="s">
        <v>3102</v>
      </c>
      <c r="F373" s="183" t="s">
        <v>3103</v>
      </c>
      <c r="G373" s="184" t="s">
        <v>641</v>
      </c>
      <c r="H373" s="185">
        <v>4</v>
      </c>
      <c r="I373" s="186"/>
      <c r="J373" s="187">
        <f>ROUND(I373*H373,2)</f>
        <v>0</v>
      </c>
      <c r="K373" s="183" t="s">
        <v>19</v>
      </c>
      <c r="L373" s="41"/>
      <c r="M373" s="188" t="s">
        <v>19</v>
      </c>
      <c r="N373" s="189" t="s">
        <v>43</v>
      </c>
      <c r="O373" s="66"/>
      <c r="P373" s="190">
        <f>O373*H373</f>
        <v>0</v>
      </c>
      <c r="Q373" s="190">
        <v>0</v>
      </c>
      <c r="R373" s="190">
        <f>Q373*H373</f>
        <v>0</v>
      </c>
      <c r="S373" s="190">
        <v>0</v>
      </c>
      <c r="T373" s="191">
        <f>S373*H373</f>
        <v>0</v>
      </c>
      <c r="U373" s="36"/>
      <c r="V373" s="36"/>
      <c r="W373" s="36"/>
      <c r="X373" s="36"/>
      <c r="Y373" s="36"/>
      <c r="Z373" s="36"/>
      <c r="AA373" s="36"/>
      <c r="AB373" s="36"/>
      <c r="AC373" s="36"/>
      <c r="AD373" s="36"/>
      <c r="AE373" s="36"/>
      <c r="AR373" s="192" t="s">
        <v>281</v>
      </c>
      <c r="AT373" s="192" t="s">
        <v>382</v>
      </c>
      <c r="AU373" s="192" t="s">
        <v>82</v>
      </c>
      <c r="AY373" s="19" t="s">
        <v>380</v>
      </c>
      <c r="BE373" s="193">
        <f>IF(N373="základní",J373,0)</f>
        <v>0</v>
      </c>
      <c r="BF373" s="193">
        <f>IF(N373="snížená",J373,0)</f>
        <v>0</v>
      </c>
      <c r="BG373" s="193">
        <f>IF(N373="zákl. přenesená",J373,0)</f>
        <v>0</v>
      </c>
      <c r="BH373" s="193">
        <f>IF(N373="sníž. přenesená",J373,0)</f>
        <v>0</v>
      </c>
      <c r="BI373" s="193">
        <f>IF(N373="nulová",J373,0)</f>
        <v>0</v>
      </c>
      <c r="BJ373" s="19" t="s">
        <v>79</v>
      </c>
      <c r="BK373" s="193">
        <f>ROUND(I373*H373,2)</f>
        <v>0</v>
      </c>
      <c r="BL373" s="19" t="s">
        <v>281</v>
      </c>
      <c r="BM373" s="192" t="s">
        <v>1363</v>
      </c>
    </row>
    <row r="374" spans="1:65" s="2" customFormat="1" ht="16.5" customHeight="1">
      <c r="A374" s="36"/>
      <c r="B374" s="37"/>
      <c r="C374" s="181" t="s">
        <v>914</v>
      </c>
      <c r="D374" s="181" t="s">
        <v>382</v>
      </c>
      <c r="E374" s="182" t="s">
        <v>3104</v>
      </c>
      <c r="F374" s="183" t="s">
        <v>3105</v>
      </c>
      <c r="G374" s="184" t="s">
        <v>641</v>
      </c>
      <c r="H374" s="185">
        <v>7</v>
      </c>
      <c r="I374" s="186"/>
      <c r="J374" s="187">
        <f>ROUND(I374*H374,2)</f>
        <v>0</v>
      </c>
      <c r="K374" s="183" t="s">
        <v>19</v>
      </c>
      <c r="L374" s="41"/>
      <c r="M374" s="188" t="s">
        <v>19</v>
      </c>
      <c r="N374" s="189" t="s">
        <v>43</v>
      </c>
      <c r="O374" s="66"/>
      <c r="P374" s="190">
        <f>O374*H374</f>
        <v>0</v>
      </c>
      <c r="Q374" s="190">
        <v>0</v>
      </c>
      <c r="R374" s="190">
        <f>Q374*H374</f>
        <v>0</v>
      </c>
      <c r="S374" s="190">
        <v>0</v>
      </c>
      <c r="T374" s="191">
        <f>S374*H374</f>
        <v>0</v>
      </c>
      <c r="U374" s="36"/>
      <c r="V374" s="36"/>
      <c r="W374" s="36"/>
      <c r="X374" s="36"/>
      <c r="Y374" s="36"/>
      <c r="Z374" s="36"/>
      <c r="AA374" s="36"/>
      <c r="AB374" s="36"/>
      <c r="AC374" s="36"/>
      <c r="AD374" s="36"/>
      <c r="AE374" s="36"/>
      <c r="AR374" s="192" t="s">
        <v>281</v>
      </c>
      <c r="AT374" s="192" t="s">
        <v>382</v>
      </c>
      <c r="AU374" s="192" t="s">
        <v>82</v>
      </c>
      <c r="AY374" s="19" t="s">
        <v>380</v>
      </c>
      <c r="BE374" s="193">
        <f>IF(N374="základní",J374,0)</f>
        <v>0</v>
      </c>
      <c r="BF374" s="193">
        <f>IF(N374="snížená",J374,0)</f>
        <v>0</v>
      </c>
      <c r="BG374" s="193">
        <f>IF(N374="zákl. přenesená",J374,0)</f>
        <v>0</v>
      </c>
      <c r="BH374" s="193">
        <f>IF(N374="sníž. přenesená",J374,0)</f>
        <v>0</v>
      </c>
      <c r="BI374" s="193">
        <f>IF(N374="nulová",J374,0)</f>
        <v>0</v>
      </c>
      <c r="BJ374" s="19" t="s">
        <v>79</v>
      </c>
      <c r="BK374" s="193">
        <f>ROUND(I374*H374,2)</f>
        <v>0</v>
      </c>
      <c r="BL374" s="19" t="s">
        <v>281</v>
      </c>
      <c r="BM374" s="192" t="s">
        <v>1373</v>
      </c>
    </row>
    <row r="375" spans="1:65" s="13" customFormat="1" ht="11.25">
      <c r="B375" s="194"/>
      <c r="C375" s="195"/>
      <c r="D375" s="196" t="s">
        <v>388</v>
      </c>
      <c r="E375" s="197" t="s">
        <v>19</v>
      </c>
      <c r="F375" s="198" t="s">
        <v>3106</v>
      </c>
      <c r="G375" s="195"/>
      <c r="H375" s="197" t="s">
        <v>19</v>
      </c>
      <c r="I375" s="199"/>
      <c r="J375" s="195"/>
      <c r="K375" s="195"/>
      <c r="L375" s="200"/>
      <c r="M375" s="201"/>
      <c r="N375" s="202"/>
      <c r="O375" s="202"/>
      <c r="P375" s="202"/>
      <c r="Q375" s="202"/>
      <c r="R375" s="202"/>
      <c r="S375" s="202"/>
      <c r="T375" s="203"/>
      <c r="AT375" s="204" t="s">
        <v>388</v>
      </c>
      <c r="AU375" s="204" t="s">
        <v>82</v>
      </c>
      <c r="AV375" s="13" t="s">
        <v>79</v>
      </c>
      <c r="AW375" s="13" t="s">
        <v>33</v>
      </c>
      <c r="AX375" s="13" t="s">
        <v>72</v>
      </c>
      <c r="AY375" s="204" t="s">
        <v>380</v>
      </c>
    </row>
    <row r="376" spans="1:65" s="14" customFormat="1" ht="11.25">
      <c r="B376" s="205"/>
      <c r="C376" s="206"/>
      <c r="D376" s="196" t="s">
        <v>388</v>
      </c>
      <c r="E376" s="207" t="s">
        <v>19</v>
      </c>
      <c r="F376" s="208" t="s">
        <v>3107</v>
      </c>
      <c r="G376" s="206"/>
      <c r="H376" s="209">
        <v>7</v>
      </c>
      <c r="I376" s="210"/>
      <c r="J376" s="206"/>
      <c r="K376" s="206"/>
      <c r="L376" s="211"/>
      <c r="M376" s="212"/>
      <c r="N376" s="213"/>
      <c r="O376" s="213"/>
      <c r="P376" s="213"/>
      <c r="Q376" s="213"/>
      <c r="R376" s="213"/>
      <c r="S376" s="213"/>
      <c r="T376" s="214"/>
      <c r="AT376" s="215" t="s">
        <v>388</v>
      </c>
      <c r="AU376" s="215" t="s">
        <v>82</v>
      </c>
      <c r="AV376" s="14" t="s">
        <v>82</v>
      </c>
      <c r="AW376" s="14" t="s">
        <v>33</v>
      </c>
      <c r="AX376" s="14" t="s">
        <v>72</v>
      </c>
      <c r="AY376" s="215" t="s">
        <v>380</v>
      </c>
    </row>
    <row r="377" spans="1:65" s="15" customFormat="1" ht="11.25">
      <c r="B377" s="216"/>
      <c r="C377" s="217"/>
      <c r="D377" s="196" t="s">
        <v>388</v>
      </c>
      <c r="E377" s="218" t="s">
        <v>19</v>
      </c>
      <c r="F377" s="219" t="s">
        <v>419</v>
      </c>
      <c r="G377" s="217"/>
      <c r="H377" s="220">
        <v>7</v>
      </c>
      <c r="I377" s="221"/>
      <c r="J377" s="217"/>
      <c r="K377" s="217"/>
      <c r="L377" s="222"/>
      <c r="M377" s="223"/>
      <c r="N377" s="224"/>
      <c r="O377" s="224"/>
      <c r="P377" s="224"/>
      <c r="Q377" s="224"/>
      <c r="R377" s="224"/>
      <c r="S377" s="224"/>
      <c r="T377" s="225"/>
      <c r="AT377" s="226" t="s">
        <v>388</v>
      </c>
      <c r="AU377" s="226" t="s">
        <v>82</v>
      </c>
      <c r="AV377" s="15" t="s">
        <v>386</v>
      </c>
      <c r="AW377" s="15" t="s">
        <v>33</v>
      </c>
      <c r="AX377" s="15" t="s">
        <v>79</v>
      </c>
      <c r="AY377" s="226" t="s">
        <v>380</v>
      </c>
    </row>
    <row r="378" spans="1:65" s="2" customFormat="1" ht="16.5" customHeight="1">
      <c r="A378" s="36"/>
      <c r="B378" s="37"/>
      <c r="C378" s="181" t="s">
        <v>927</v>
      </c>
      <c r="D378" s="181" t="s">
        <v>382</v>
      </c>
      <c r="E378" s="182" t="s">
        <v>3108</v>
      </c>
      <c r="F378" s="183" t="s">
        <v>3109</v>
      </c>
      <c r="G378" s="184" t="s">
        <v>641</v>
      </c>
      <c r="H378" s="185">
        <v>5</v>
      </c>
      <c r="I378" s="186"/>
      <c r="J378" s="187">
        <f>ROUND(I378*H378,2)</f>
        <v>0</v>
      </c>
      <c r="K378" s="183" t="s">
        <v>19</v>
      </c>
      <c r="L378" s="41"/>
      <c r="M378" s="188" t="s">
        <v>19</v>
      </c>
      <c r="N378" s="189" t="s">
        <v>43</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281</v>
      </c>
      <c r="AT378" s="192" t="s">
        <v>382</v>
      </c>
      <c r="AU378" s="192" t="s">
        <v>82</v>
      </c>
      <c r="AY378" s="19" t="s">
        <v>380</v>
      </c>
      <c r="BE378" s="193">
        <f>IF(N378="základní",J378,0)</f>
        <v>0</v>
      </c>
      <c r="BF378" s="193">
        <f>IF(N378="snížená",J378,0)</f>
        <v>0</v>
      </c>
      <c r="BG378" s="193">
        <f>IF(N378="zákl. přenesená",J378,0)</f>
        <v>0</v>
      </c>
      <c r="BH378" s="193">
        <f>IF(N378="sníž. přenesená",J378,0)</f>
        <v>0</v>
      </c>
      <c r="BI378" s="193">
        <f>IF(N378="nulová",J378,0)</f>
        <v>0</v>
      </c>
      <c r="BJ378" s="19" t="s">
        <v>79</v>
      </c>
      <c r="BK378" s="193">
        <f>ROUND(I378*H378,2)</f>
        <v>0</v>
      </c>
      <c r="BL378" s="19" t="s">
        <v>281</v>
      </c>
      <c r="BM378" s="192" t="s">
        <v>1386</v>
      </c>
    </row>
    <row r="379" spans="1:65" s="13" customFormat="1" ht="11.25">
      <c r="B379" s="194"/>
      <c r="C379" s="195"/>
      <c r="D379" s="196" t="s">
        <v>388</v>
      </c>
      <c r="E379" s="197" t="s">
        <v>19</v>
      </c>
      <c r="F379" s="198" t="s">
        <v>3106</v>
      </c>
      <c r="G379" s="195"/>
      <c r="H379" s="197" t="s">
        <v>19</v>
      </c>
      <c r="I379" s="199"/>
      <c r="J379" s="195"/>
      <c r="K379" s="195"/>
      <c r="L379" s="200"/>
      <c r="M379" s="201"/>
      <c r="N379" s="202"/>
      <c r="O379" s="202"/>
      <c r="P379" s="202"/>
      <c r="Q379" s="202"/>
      <c r="R379" s="202"/>
      <c r="S379" s="202"/>
      <c r="T379" s="203"/>
      <c r="AT379" s="204" t="s">
        <v>388</v>
      </c>
      <c r="AU379" s="204" t="s">
        <v>82</v>
      </c>
      <c r="AV379" s="13" t="s">
        <v>79</v>
      </c>
      <c r="AW379" s="13" t="s">
        <v>33</v>
      </c>
      <c r="AX379" s="13" t="s">
        <v>72</v>
      </c>
      <c r="AY379" s="204" t="s">
        <v>380</v>
      </c>
    </row>
    <row r="380" spans="1:65" s="14" customFormat="1" ht="11.25">
      <c r="B380" s="205"/>
      <c r="C380" s="206"/>
      <c r="D380" s="196" t="s">
        <v>388</v>
      </c>
      <c r="E380" s="207" t="s">
        <v>19</v>
      </c>
      <c r="F380" s="208" t="s">
        <v>2994</v>
      </c>
      <c r="G380" s="206"/>
      <c r="H380" s="209">
        <v>4</v>
      </c>
      <c r="I380" s="210"/>
      <c r="J380" s="206"/>
      <c r="K380" s="206"/>
      <c r="L380" s="211"/>
      <c r="M380" s="212"/>
      <c r="N380" s="213"/>
      <c r="O380" s="213"/>
      <c r="P380" s="213"/>
      <c r="Q380" s="213"/>
      <c r="R380" s="213"/>
      <c r="S380" s="213"/>
      <c r="T380" s="214"/>
      <c r="AT380" s="215" t="s">
        <v>388</v>
      </c>
      <c r="AU380" s="215" t="s">
        <v>82</v>
      </c>
      <c r="AV380" s="14" t="s">
        <v>82</v>
      </c>
      <c r="AW380" s="14" t="s">
        <v>33</v>
      </c>
      <c r="AX380" s="14" t="s">
        <v>72</v>
      </c>
      <c r="AY380" s="215" t="s">
        <v>380</v>
      </c>
    </row>
    <row r="381" spans="1:65" s="13" customFormat="1" ht="11.25">
      <c r="B381" s="194"/>
      <c r="C381" s="195"/>
      <c r="D381" s="196" t="s">
        <v>388</v>
      </c>
      <c r="E381" s="197" t="s">
        <v>19</v>
      </c>
      <c r="F381" s="198" t="s">
        <v>3110</v>
      </c>
      <c r="G381" s="195"/>
      <c r="H381" s="197" t="s">
        <v>19</v>
      </c>
      <c r="I381" s="199"/>
      <c r="J381" s="195"/>
      <c r="K381" s="195"/>
      <c r="L381" s="200"/>
      <c r="M381" s="201"/>
      <c r="N381" s="202"/>
      <c r="O381" s="202"/>
      <c r="P381" s="202"/>
      <c r="Q381" s="202"/>
      <c r="R381" s="202"/>
      <c r="S381" s="202"/>
      <c r="T381" s="203"/>
      <c r="AT381" s="204" t="s">
        <v>388</v>
      </c>
      <c r="AU381" s="204" t="s">
        <v>82</v>
      </c>
      <c r="AV381" s="13" t="s">
        <v>79</v>
      </c>
      <c r="AW381" s="13" t="s">
        <v>33</v>
      </c>
      <c r="AX381" s="13" t="s">
        <v>72</v>
      </c>
      <c r="AY381" s="204" t="s">
        <v>380</v>
      </c>
    </row>
    <row r="382" spans="1:65" s="14" customFormat="1" ht="11.25">
      <c r="B382" s="205"/>
      <c r="C382" s="206"/>
      <c r="D382" s="196" t="s">
        <v>388</v>
      </c>
      <c r="E382" s="207" t="s">
        <v>19</v>
      </c>
      <c r="F382" s="208" t="s">
        <v>2542</v>
      </c>
      <c r="G382" s="206"/>
      <c r="H382" s="209">
        <v>1</v>
      </c>
      <c r="I382" s="210"/>
      <c r="J382" s="206"/>
      <c r="K382" s="206"/>
      <c r="L382" s="211"/>
      <c r="M382" s="212"/>
      <c r="N382" s="213"/>
      <c r="O382" s="213"/>
      <c r="P382" s="213"/>
      <c r="Q382" s="213"/>
      <c r="R382" s="213"/>
      <c r="S382" s="213"/>
      <c r="T382" s="214"/>
      <c r="AT382" s="215" t="s">
        <v>388</v>
      </c>
      <c r="AU382" s="215" t="s">
        <v>82</v>
      </c>
      <c r="AV382" s="14" t="s">
        <v>82</v>
      </c>
      <c r="AW382" s="14" t="s">
        <v>33</v>
      </c>
      <c r="AX382" s="14" t="s">
        <v>72</v>
      </c>
      <c r="AY382" s="215" t="s">
        <v>380</v>
      </c>
    </row>
    <row r="383" spans="1:65" s="15" customFormat="1" ht="11.25">
      <c r="B383" s="216"/>
      <c r="C383" s="217"/>
      <c r="D383" s="196" t="s">
        <v>388</v>
      </c>
      <c r="E383" s="218" t="s">
        <v>19</v>
      </c>
      <c r="F383" s="219" t="s">
        <v>2544</v>
      </c>
      <c r="G383" s="217"/>
      <c r="H383" s="220">
        <v>5</v>
      </c>
      <c r="I383" s="221"/>
      <c r="J383" s="217"/>
      <c r="K383" s="217"/>
      <c r="L383" s="222"/>
      <c r="M383" s="223"/>
      <c r="N383" s="224"/>
      <c r="O383" s="224"/>
      <c r="P383" s="224"/>
      <c r="Q383" s="224"/>
      <c r="R383" s="224"/>
      <c r="S383" s="224"/>
      <c r="T383" s="225"/>
      <c r="AT383" s="226" t="s">
        <v>388</v>
      </c>
      <c r="AU383" s="226" t="s">
        <v>82</v>
      </c>
      <c r="AV383" s="15" t="s">
        <v>386</v>
      </c>
      <c r="AW383" s="15" t="s">
        <v>33</v>
      </c>
      <c r="AX383" s="15" t="s">
        <v>79</v>
      </c>
      <c r="AY383" s="226" t="s">
        <v>380</v>
      </c>
    </row>
    <row r="384" spans="1:65" s="2" customFormat="1" ht="16.5" customHeight="1">
      <c r="A384" s="36"/>
      <c r="B384" s="37"/>
      <c r="C384" s="181" t="s">
        <v>931</v>
      </c>
      <c r="D384" s="181" t="s">
        <v>382</v>
      </c>
      <c r="E384" s="182" t="s">
        <v>3111</v>
      </c>
      <c r="F384" s="183" t="s">
        <v>3112</v>
      </c>
      <c r="G384" s="184" t="s">
        <v>641</v>
      </c>
      <c r="H384" s="185">
        <v>1</v>
      </c>
      <c r="I384" s="186"/>
      <c r="J384" s="187">
        <f>ROUND(I384*H384,2)</f>
        <v>0</v>
      </c>
      <c r="K384" s="183" t="s">
        <v>19</v>
      </c>
      <c r="L384" s="41"/>
      <c r="M384" s="188" t="s">
        <v>19</v>
      </c>
      <c r="N384" s="189" t="s">
        <v>43</v>
      </c>
      <c r="O384" s="66"/>
      <c r="P384" s="190">
        <f>O384*H384</f>
        <v>0</v>
      </c>
      <c r="Q384" s="190">
        <v>0</v>
      </c>
      <c r="R384" s="190">
        <f>Q384*H384</f>
        <v>0</v>
      </c>
      <c r="S384" s="190">
        <v>0</v>
      </c>
      <c r="T384" s="191">
        <f>S384*H384</f>
        <v>0</v>
      </c>
      <c r="U384" s="36"/>
      <c r="V384" s="36"/>
      <c r="W384" s="36"/>
      <c r="X384" s="36"/>
      <c r="Y384" s="36"/>
      <c r="Z384" s="36"/>
      <c r="AA384" s="36"/>
      <c r="AB384" s="36"/>
      <c r="AC384" s="36"/>
      <c r="AD384" s="36"/>
      <c r="AE384" s="36"/>
      <c r="AR384" s="192" t="s">
        <v>281</v>
      </c>
      <c r="AT384" s="192" t="s">
        <v>382</v>
      </c>
      <c r="AU384" s="192" t="s">
        <v>82</v>
      </c>
      <c r="AY384" s="19" t="s">
        <v>380</v>
      </c>
      <c r="BE384" s="193">
        <f>IF(N384="základní",J384,0)</f>
        <v>0</v>
      </c>
      <c r="BF384" s="193">
        <f>IF(N384="snížená",J384,0)</f>
        <v>0</v>
      </c>
      <c r="BG384" s="193">
        <f>IF(N384="zákl. přenesená",J384,0)</f>
        <v>0</v>
      </c>
      <c r="BH384" s="193">
        <f>IF(N384="sníž. přenesená",J384,0)</f>
        <v>0</v>
      </c>
      <c r="BI384" s="193">
        <f>IF(N384="nulová",J384,0)</f>
        <v>0</v>
      </c>
      <c r="BJ384" s="19" t="s">
        <v>79</v>
      </c>
      <c r="BK384" s="193">
        <f>ROUND(I384*H384,2)</f>
        <v>0</v>
      </c>
      <c r="BL384" s="19" t="s">
        <v>281</v>
      </c>
      <c r="BM384" s="192" t="s">
        <v>1394</v>
      </c>
    </row>
    <row r="385" spans="1:65" s="13" customFormat="1" ht="11.25">
      <c r="B385" s="194"/>
      <c r="C385" s="195"/>
      <c r="D385" s="196" t="s">
        <v>388</v>
      </c>
      <c r="E385" s="197" t="s">
        <v>19</v>
      </c>
      <c r="F385" s="198" t="s">
        <v>3106</v>
      </c>
      <c r="G385" s="195"/>
      <c r="H385" s="197" t="s">
        <v>19</v>
      </c>
      <c r="I385" s="199"/>
      <c r="J385" s="195"/>
      <c r="K385" s="195"/>
      <c r="L385" s="200"/>
      <c r="M385" s="201"/>
      <c r="N385" s="202"/>
      <c r="O385" s="202"/>
      <c r="P385" s="202"/>
      <c r="Q385" s="202"/>
      <c r="R385" s="202"/>
      <c r="S385" s="202"/>
      <c r="T385" s="203"/>
      <c r="AT385" s="204" t="s">
        <v>388</v>
      </c>
      <c r="AU385" s="204" t="s">
        <v>82</v>
      </c>
      <c r="AV385" s="13" t="s">
        <v>79</v>
      </c>
      <c r="AW385" s="13" t="s">
        <v>33</v>
      </c>
      <c r="AX385" s="13" t="s">
        <v>72</v>
      </c>
      <c r="AY385" s="204" t="s">
        <v>380</v>
      </c>
    </row>
    <row r="386" spans="1:65" s="14" customFormat="1" ht="11.25">
      <c r="B386" s="205"/>
      <c r="C386" s="206"/>
      <c r="D386" s="196" t="s">
        <v>388</v>
      </c>
      <c r="E386" s="207" t="s">
        <v>19</v>
      </c>
      <c r="F386" s="208" t="s">
        <v>2542</v>
      </c>
      <c r="G386" s="206"/>
      <c r="H386" s="209">
        <v>1</v>
      </c>
      <c r="I386" s="210"/>
      <c r="J386" s="206"/>
      <c r="K386" s="206"/>
      <c r="L386" s="211"/>
      <c r="M386" s="212"/>
      <c r="N386" s="213"/>
      <c r="O386" s="213"/>
      <c r="P386" s="213"/>
      <c r="Q386" s="213"/>
      <c r="R386" s="213"/>
      <c r="S386" s="213"/>
      <c r="T386" s="214"/>
      <c r="AT386" s="215" t="s">
        <v>388</v>
      </c>
      <c r="AU386" s="215" t="s">
        <v>82</v>
      </c>
      <c r="AV386" s="14" t="s">
        <v>82</v>
      </c>
      <c r="AW386" s="14" t="s">
        <v>33</v>
      </c>
      <c r="AX386" s="14" t="s">
        <v>72</v>
      </c>
      <c r="AY386" s="215" t="s">
        <v>380</v>
      </c>
    </row>
    <row r="387" spans="1:65" s="15" customFormat="1" ht="11.25">
      <c r="B387" s="216"/>
      <c r="C387" s="217"/>
      <c r="D387" s="196" t="s">
        <v>388</v>
      </c>
      <c r="E387" s="218" t="s">
        <v>19</v>
      </c>
      <c r="F387" s="219" t="s">
        <v>419</v>
      </c>
      <c r="G387" s="217"/>
      <c r="H387" s="220">
        <v>1</v>
      </c>
      <c r="I387" s="221"/>
      <c r="J387" s="217"/>
      <c r="K387" s="217"/>
      <c r="L387" s="222"/>
      <c r="M387" s="223"/>
      <c r="N387" s="224"/>
      <c r="O387" s="224"/>
      <c r="P387" s="224"/>
      <c r="Q387" s="224"/>
      <c r="R387" s="224"/>
      <c r="S387" s="224"/>
      <c r="T387" s="225"/>
      <c r="AT387" s="226" t="s">
        <v>388</v>
      </c>
      <c r="AU387" s="226" t="s">
        <v>82</v>
      </c>
      <c r="AV387" s="15" t="s">
        <v>386</v>
      </c>
      <c r="AW387" s="15" t="s">
        <v>33</v>
      </c>
      <c r="AX387" s="15" t="s">
        <v>79</v>
      </c>
      <c r="AY387" s="226" t="s">
        <v>380</v>
      </c>
    </row>
    <row r="388" spans="1:65" s="2" customFormat="1" ht="16.5" customHeight="1">
      <c r="A388" s="36"/>
      <c r="B388" s="37"/>
      <c r="C388" s="181" t="s">
        <v>936</v>
      </c>
      <c r="D388" s="181" t="s">
        <v>382</v>
      </c>
      <c r="E388" s="182" t="s">
        <v>3113</v>
      </c>
      <c r="F388" s="183" t="s">
        <v>3114</v>
      </c>
      <c r="G388" s="184" t="s">
        <v>641</v>
      </c>
      <c r="H388" s="185">
        <v>1</v>
      </c>
      <c r="I388" s="186"/>
      <c r="J388" s="187">
        <f>ROUND(I388*H388,2)</f>
        <v>0</v>
      </c>
      <c r="K388" s="183" t="s">
        <v>19</v>
      </c>
      <c r="L388" s="41"/>
      <c r="M388" s="188" t="s">
        <v>19</v>
      </c>
      <c r="N388" s="189" t="s">
        <v>43</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281</v>
      </c>
      <c r="AT388" s="192" t="s">
        <v>382</v>
      </c>
      <c r="AU388" s="192" t="s">
        <v>82</v>
      </c>
      <c r="AY388" s="19" t="s">
        <v>380</v>
      </c>
      <c r="BE388" s="193">
        <f>IF(N388="základní",J388,0)</f>
        <v>0</v>
      </c>
      <c r="BF388" s="193">
        <f>IF(N388="snížená",J388,0)</f>
        <v>0</v>
      </c>
      <c r="BG388" s="193">
        <f>IF(N388="zákl. přenesená",J388,0)</f>
        <v>0</v>
      </c>
      <c r="BH388" s="193">
        <f>IF(N388="sníž. přenesená",J388,0)</f>
        <v>0</v>
      </c>
      <c r="BI388" s="193">
        <f>IF(N388="nulová",J388,0)</f>
        <v>0</v>
      </c>
      <c r="BJ388" s="19" t="s">
        <v>79</v>
      </c>
      <c r="BK388" s="193">
        <f>ROUND(I388*H388,2)</f>
        <v>0</v>
      </c>
      <c r="BL388" s="19" t="s">
        <v>281</v>
      </c>
      <c r="BM388" s="192" t="s">
        <v>1410</v>
      </c>
    </row>
    <row r="389" spans="1:65" s="13" customFormat="1" ht="11.25">
      <c r="B389" s="194"/>
      <c r="C389" s="195"/>
      <c r="D389" s="196" t="s">
        <v>388</v>
      </c>
      <c r="E389" s="197" t="s">
        <v>19</v>
      </c>
      <c r="F389" s="198" t="s">
        <v>3106</v>
      </c>
      <c r="G389" s="195"/>
      <c r="H389" s="197" t="s">
        <v>19</v>
      </c>
      <c r="I389" s="199"/>
      <c r="J389" s="195"/>
      <c r="K389" s="195"/>
      <c r="L389" s="200"/>
      <c r="M389" s="201"/>
      <c r="N389" s="202"/>
      <c r="O389" s="202"/>
      <c r="P389" s="202"/>
      <c r="Q389" s="202"/>
      <c r="R389" s="202"/>
      <c r="S389" s="202"/>
      <c r="T389" s="203"/>
      <c r="AT389" s="204" t="s">
        <v>388</v>
      </c>
      <c r="AU389" s="204" t="s">
        <v>82</v>
      </c>
      <c r="AV389" s="13" t="s">
        <v>79</v>
      </c>
      <c r="AW389" s="13" t="s">
        <v>33</v>
      </c>
      <c r="AX389" s="13" t="s">
        <v>72</v>
      </c>
      <c r="AY389" s="204" t="s">
        <v>380</v>
      </c>
    </row>
    <row r="390" spans="1:65" s="14" customFormat="1" ht="11.25">
      <c r="B390" s="205"/>
      <c r="C390" s="206"/>
      <c r="D390" s="196" t="s">
        <v>388</v>
      </c>
      <c r="E390" s="207" t="s">
        <v>19</v>
      </c>
      <c r="F390" s="208" t="s">
        <v>2542</v>
      </c>
      <c r="G390" s="206"/>
      <c r="H390" s="209">
        <v>1</v>
      </c>
      <c r="I390" s="210"/>
      <c r="J390" s="206"/>
      <c r="K390" s="206"/>
      <c r="L390" s="211"/>
      <c r="M390" s="212"/>
      <c r="N390" s="213"/>
      <c r="O390" s="213"/>
      <c r="P390" s="213"/>
      <c r="Q390" s="213"/>
      <c r="R390" s="213"/>
      <c r="S390" s="213"/>
      <c r="T390" s="214"/>
      <c r="AT390" s="215" t="s">
        <v>388</v>
      </c>
      <c r="AU390" s="215" t="s">
        <v>82</v>
      </c>
      <c r="AV390" s="14" t="s">
        <v>82</v>
      </c>
      <c r="AW390" s="14" t="s">
        <v>33</v>
      </c>
      <c r="AX390" s="14" t="s">
        <v>72</v>
      </c>
      <c r="AY390" s="215" t="s">
        <v>380</v>
      </c>
    </row>
    <row r="391" spans="1:65" s="15" customFormat="1" ht="11.25">
      <c r="B391" s="216"/>
      <c r="C391" s="217"/>
      <c r="D391" s="196" t="s">
        <v>388</v>
      </c>
      <c r="E391" s="218" t="s">
        <v>19</v>
      </c>
      <c r="F391" s="219" t="s">
        <v>419</v>
      </c>
      <c r="G391" s="217"/>
      <c r="H391" s="220">
        <v>1</v>
      </c>
      <c r="I391" s="221"/>
      <c r="J391" s="217"/>
      <c r="K391" s="217"/>
      <c r="L391" s="222"/>
      <c r="M391" s="223"/>
      <c r="N391" s="224"/>
      <c r="O391" s="224"/>
      <c r="P391" s="224"/>
      <c r="Q391" s="224"/>
      <c r="R391" s="224"/>
      <c r="S391" s="224"/>
      <c r="T391" s="225"/>
      <c r="AT391" s="226" t="s">
        <v>388</v>
      </c>
      <c r="AU391" s="226" t="s">
        <v>82</v>
      </c>
      <c r="AV391" s="15" t="s">
        <v>386</v>
      </c>
      <c r="AW391" s="15" t="s">
        <v>33</v>
      </c>
      <c r="AX391" s="15" t="s">
        <v>79</v>
      </c>
      <c r="AY391" s="226" t="s">
        <v>380</v>
      </c>
    </row>
    <row r="392" spans="1:65" s="2" customFormat="1" ht="16.5" customHeight="1">
      <c r="A392" s="36"/>
      <c r="B392" s="37"/>
      <c r="C392" s="181" t="s">
        <v>941</v>
      </c>
      <c r="D392" s="181" t="s">
        <v>382</v>
      </c>
      <c r="E392" s="182" t="s">
        <v>3115</v>
      </c>
      <c r="F392" s="183" t="s">
        <v>3116</v>
      </c>
      <c r="G392" s="184" t="s">
        <v>641</v>
      </c>
      <c r="H392" s="185">
        <v>1</v>
      </c>
      <c r="I392" s="186"/>
      <c r="J392" s="187">
        <f>ROUND(I392*H392,2)</f>
        <v>0</v>
      </c>
      <c r="K392" s="183" t="s">
        <v>19</v>
      </c>
      <c r="L392" s="41"/>
      <c r="M392" s="188" t="s">
        <v>19</v>
      </c>
      <c r="N392" s="189" t="s">
        <v>43</v>
      </c>
      <c r="O392" s="66"/>
      <c r="P392" s="190">
        <f>O392*H392</f>
        <v>0</v>
      </c>
      <c r="Q392" s="190">
        <v>0</v>
      </c>
      <c r="R392" s="190">
        <f>Q392*H392</f>
        <v>0</v>
      </c>
      <c r="S392" s="190">
        <v>0</v>
      </c>
      <c r="T392" s="191">
        <f>S392*H392</f>
        <v>0</v>
      </c>
      <c r="U392" s="36"/>
      <c r="V392" s="36"/>
      <c r="W392" s="36"/>
      <c r="X392" s="36"/>
      <c r="Y392" s="36"/>
      <c r="Z392" s="36"/>
      <c r="AA392" s="36"/>
      <c r="AB392" s="36"/>
      <c r="AC392" s="36"/>
      <c r="AD392" s="36"/>
      <c r="AE392" s="36"/>
      <c r="AR392" s="192" t="s">
        <v>281</v>
      </c>
      <c r="AT392" s="192" t="s">
        <v>382</v>
      </c>
      <c r="AU392" s="192" t="s">
        <v>82</v>
      </c>
      <c r="AY392" s="19" t="s">
        <v>380</v>
      </c>
      <c r="BE392" s="193">
        <f>IF(N392="základní",J392,0)</f>
        <v>0</v>
      </c>
      <c r="BF392" s="193">
        <f>IF(N392="snížená",J392,0)</f>
        <v>0</v>
      </c>
      <c r="BG392" s="193">
        <f>IF(N392="zákl. přenesená",J392,0)</f>
        <v>0</v>
      </c>
      <c r="BH392" s="193">
        <f>IF(N392="sníž. přenesená",J392,0)</f>
        <v>0</v>
      </c>
      <c r="BI392" s="193">
        <f>IF(N392="nulová",J392,0)</f>
        <v>0</v>
      </c>
      <c r="BJ392" s="19" t="s">
        <v>79</v>
      </c>
      <c r="BK392" s="193">
        <f>ROUND(I392*H392,2)</f>
        <v>0</v>
      </c>
      <c r="BL392" s="19" t="s">
        <v>281</v>
      </c>
      <c r="BM392" s="192" t="s">
        <v>1432</v>
      </c>
    </row>
    <row r="393" spans="1:65" s="13" customFormat="1" ht="11.25">
      <c r="B393" s="194"/>
      <c r="C393" s="195"/>
      <c r="D393" s="196" t="s">
        <v>388</v>
      </c>
      <c r="E393" s="197" t="s">
        <v>19</v>
      </c>
      <c r="F393" s="198" t="s">
        <v>3106</v>
      </c>
      <c r="G393" s="195"/>
      <c r="H393" s="197" t="s">
        <v>19</v>
      </c>
      <c r="I393" s="199"/>
      <c r="J393" s="195"/>
      <c r="K393" s="195"/>
      <c r="L393" s="200"/>
      <c r="M393" s="201"/>
      <c r="N393" s="202"/>
      <c r="O393" s="202"/>
      <c r="P393" s="202"/>
      <c r="Q393" s="202"/>
      <c r="R393" s="202"/>
      <c r="S393" s="202"/>
      <c r="T393" s="203"/>
      <c r="AT393" s="204" t="s">
        <v>388</v>
      </c>
      <c r="AU393" s="204" t="s">
        <v>82</v>
      </c>
      <c r="AV393" s="13" t="s">
        <v>79</v>
      </c>
      <c r="AW393" s="13" t="s">
        <v>33</v>
      </c>
      <c r="AX393" s="13" t="s">
        <v>72</v>
      </c>
      <c r="AY393" s="204" t="s">
        <v>380</v>
      </c>
    </row>
    <row r="394" spans="1:65" s="14" customFormat="1" ht="11.25">
      <c r="B394" s="205"/>
      <c r="C394" s="206"/>
      <c r="D394" s="196" t="s">
        <v>388</v>
      </c>
      <c r="E394" s="207" t="s">
        <v>19</v>
      </c>
      <c r="F394" s="208" t="s">
        <v>2542</v>
      </c>
      <c r="G394" s="206"/>
      <c r="H394" s="209">
        <v>1</v>
      </c>
      <c r="I394" s="210"/>
      <c r="J394" s="206"/>
      <c r="K394" s="206"/>
      <c r="L394" s="211"/>
      <c r="M394" s="212"/>
      <c r="N394" s="213"/>
      <c r="O394" s="213"/>
      <c r="P394" s="213"/>
      <c r="Q394" s="213"/>
      <c r="R394" s="213"/>
      <c r="S394" s="213"/>
      <c r="T394" s="214"/>
      <c r="AT394" s="215" t="s">
        <v>388</v>
      </c>
      <c r="AU394" s="215" t="s">
        <v>82</v>
      </c>
      <c r="AV394" s="14" t="s">
        <v>82</v>
      </c>
      <c r="AW394" s="14" t="s">
        <v>33</v>
      </c>
      <c r="AX394" s="14" t="s">
        <v>72</v>
      </c>
      <c r="AY394" s="215" t="s">
        <v>380</v>
      </c>
    </row>
    <row r="395" spans="1:65" s="15" customFormat="1" ht="11.25">
      <c r="B395" s="216"/>
      <c r="C395" s="217"/>
      <c r="D395" s="196" t="s">
        <v>388</v>
      </c>
      <c r="E395" s="218" t="s">
        <v>19</v>
      </c>
      <c r="F395" s="219" t="s">
        <v>419</v>
      </c>
      <c r="G395" s="217"/>
      <c r="H395" s="220">
        <v>1</v>
      </c>
      <c r="I395" s="221"/>
      <c r="J395" s="217"/>
      <c r="K395" s="217"/>
      <c r="L395" s="222"/>
      <c r="M395" s="223"/>
      <c r="N395" s="224"/>
      <c r="O395" s="224"/>
      <c r="P395" s="224"/>
      <c r="Q395" s="224"/>
      <c r="R395" s="224"/>
      <c r="S395" s="224"/>
      <c r="T395" s="225"/>
      <c r="AT395" s="226" t="s">
        <v>388</v>
      </c>
      <c r="AU395" s="226" t="s">
        <v>82</v>
      </c>
      <c r="AV395" s="15" t="s">
        <v>386</v>
      </c>
      <c r="AW395" s="15" t="s">
        <v>33</v>
      </c>
      <c r="AX395" s="15" t="s">
        <v>79</v>
      </c>
      <c r="AY395" s="226" t="s">
        <v>380</v>
      </c>
    </row>
    <row r="396" spans="1:65" s="2" customFormat="1" ht="16.5" customHeight="1">
      <c r="A396" s="36"/>
      <c r="B396" s="37"/>
      <c r="C396" s="181" t="s">
        <v>946</v>
      </c>
      <c r="D396" s="181" t="s">
        <v>382</v>
      </c>
      <c r="E396" s="182" t="s">
        <v>3117</v>
      </c>
      <c r="F396" s="183" t="s">
        <v>3118</v>
      </c>
      <c r="G396" s="184" t="s">
        <v>641</v>
      </c>
      <c r="H396" s="185">
        <v>2</v>
      </c>
      <c r="I396" s="186"/>
      <c r="J396" s="187">
        <f>ROUND(I396*H396,2)</f>
        <v>0</v>
      </c>
      <c r="K396" s="183" t="s">
        <v>19</v>
      </c>
      <c r="L396" s="41"/>
      <c r="M396" s="188" t="s">
        <v>19</v>
      </c>
      <c r="N396" s="189" t="s">
        <v>43</v>
      </c>
      <c r="O396" s="66"/>
      <c r="P396" s="190">
        <f>O396*H396</f>
        <v>0</v>
      </c>
      <c r="Q396" s="190">
        <v>0</v>
      </c>
      <c r="R396" s="190">
        <f>Q396*H396</f>
        <v>0</v>
      </c>
      <c r="S396" s="190">
        <v>0</v>
      </c>
      <c r="T396" s="191">
        <f>S396*H396</f>
        <v>0</v>
      </c>
      <c r="U396" s="36"/>
      <c r="V396" s="36"/>
      <c r="W396" s="36"/>
      <c r="X396" s="36"/>
      <c r="Y396" s="36"/>
      <c r="Z396" s="36"/>
      <c r="AA396" s="36"/>
      <c r="AB396" s="36"/>
      <c r="AC396" s="36"/>
      <c r="AD396" s="36"/>
      <c r="AE396" s="36"/>
      <c r="AR396" s="192" t="s">
        <v>281</v>
      </c>
      <c r="AT396" s="192" t="s">
        <v>382</v>
      </c>
      <c r="AU396" s="192" t="s">
        <v>82</v>
      </c>
      <c r="AY396" s="19" t="s">
        <v>380</v>
      </c>
      <c r="BE396" s="193">
        <f>IF(N396="základní",J396,0)</f>
        <v>0</v>
      </c>
      <c r="BF396" s="193">
        <f>IF(N396="snížená",J396,0)</f>
        <v>0</v>
      </c>
      <c r="BG396" s="193">
        <f>IF(N396="zákl. přenesená",J396,0)</f>
        <v>0</v>
      </c>
      <c r="BH396" s="193">
        <f>IF(N396="sníž. přenesená",J396,0)</f>
        <v>0</v>
      </c>
      <c r="BI396" s="193">
        <f>IF(N396="nulová",J396,0)</f>
        <v>0</v>
      </c>
      <c r="BJ396" s="19" t="s">
        <v>79</v>
      </c>
      <c r="BK396" s="193">
        <f>ROUND(I396*H396,2)</f>
        <v>0</v>
      </c>
      <c r="BL396" s="19" t="s">
        <v>281</v>
      </c>
      <c r="BM396" s="192" t="s">
        <v>1459</v>
      </c>
    </row>
    <row r="397" spans="1:65" s="13" customFormat="1" ht="11.25">
      <c r="B397" s="194"/>
      <c r="C397" s="195"/>
      <c r="D397" s="196" t="s">
        <v>388</v>
      </c>
      <c r="E397" s="197" t="s">
        <v>19</v>
      </c>
      <c r="F397" s="198" t="s">
        <v>3106</v>
      </c>
      <c r="G397" s="195"/>
      <c r="H397" s="197" t="s">
        <v>19</v>
      </c>
      <c r="I397" s="199"/>
      <c r="J397" s="195"/>
      <c r="K397" s="195"/>
      <c r="L397" s="200"/>
      <c r="M397" s="201"/>
      <c r="N397" s="202"/>
      <c r="O397" s="202"/>
      <c r="P397" s="202"/>
      <c r="Q397" s="202"/>
      <c r="R397" s="202"/>
      <c r="S397" s="202"/>
      <c r="T397" s="203"/>
      <c r="AT397" s="204" t="s">
        <v>388</v>
      </c>
      <c r="AU397" s="204" t="s">
        <v>82</v>
      </c>
      <c r="AV397" s="13" t="s">
        <v>79</v>
      </c>
      <c r="AW397" s="13" t="s">
        <v>33</v>
      </c>
      <c r="AX397" s="13" t="s">
        <v>72</v>
      </c>
      <c r="AY397" s="204" t="s">
        <v>380</v>
      </c>
    </row>
    <row r="398" spans="1:65" s="14" customFormat="1" ht="11.25">
      <c r="B398" s="205"/>
      <c r="C398" s="206"/>
      <c r="D398" s="196" t="s">
        <v>388</v>
      </c>
      <c r="E398" s="207" t="s">
        <v>19</v>
      </c>
      <c r="F398" s="208" t="s">
        <v>2998</v>
      </c>
      <c r="G398" s="206"/>
      <c r="H398" s="209">
        <v>2</v>
      </c>
      <c r="I398" s="210"/>
      <c r="J398" s="206"/>
      <c r="K398" s="206"/>
      <c r="L398" s="211"/>
      <c r="M398" s="212"/>
      <c r="N398" s="213"/>
      <c r="O398" s="213"/>
      <c r="P398" s="213"/>
      <c r="Q398" s="213"/>
      <c r="R398" s="213"/>
      <c r="S398" s="213"/>
      <c r="T398" s="214"/>
      <c r="AT398" s="215" t="s">
        <v>388</v>
      </c>
      <c r="AU398" s="215" t="s">
        <v>82</v>
      </c>
      <c r="AV398" s="14" t="s">
        <v>82</v>
      </c>
      <c r="AW398" s="14" t="s">
        <v>33</v>
      </c>
      <c r="AX398" s="14" t="s">
        <v>72</v>
      </c>
      <c r="AY398" s="215" t="s">
        <v>380</v>
      </c>
    </row>
    <row r="399" spans="1:65" s="15" customFormat="1" ht="11.25">
      <c r="B399" s="216"/>
      <c r="C399" s="217"/>
      <c r="D399" s="196" t="s">
        <v>388</v>
      </c>
      <c r="E399" s="218" t="s">
        <v>19</v>
      </c>
      <c r="F399" s="219" t="s">
        <v>419</v>
      </c>
      <c r="G399" s="217"/>
      <c r="H399" s="220">
        <v>2</v>
      </c>
      <c r="I399" s="221"/>
      <c r="J399" s="217"/>
      <c r="K399" s="217"/>
      <c r="L399" s="222"/>
      <c r="M399" s="223"/>
      <c r="N399" s="224"/>
      <c r="O399" s="224"/>
      <c r="P399" s="224"/>
      <c r="Q399" s="224"/>
      <c r="R399" s="224"/>
      <c r="S399" s="224"/>
      <c r="T399" s="225"/>
      <c r="AT399" s="226" t="s">
        <v>388</v>
      </c>
      <c r="AU399" s="226" t="s">
        <v>82</v>
      </c>
      <c r="AV399" s="15" t="s">
        <v>386</v>
      </c>
      <c r="AW399" s="15" t="s">
        <v>33</v>
      </c>
      <c r="AX399" s="15" t="s">
        <v>79</v>
      </c>
      <c r="AY399" s="226" t="s">
        <v>380</v>
      </c>
    </row>
    <row r="400" spans="1:65" s="2" customFormat="1" ht="21.75" customHeight="1">
      <c r="A400" s="36"/>
      <c r="B400" s="37"/>
      <c r="C400" s="181" t="s">
        <v>950</v>
      </c>
      <c r="D400" s="181" t="s">
        <v>382</v>
      </c>
      <c r="E400" s="182" t="s">
        <v>3119</v>
      </c>
      <c r="F400" s="183" t="s">
        <v>3120</v>
      </c>
      <c r="G400" s="184" t="s">
        <v>641</v>
      </c>
      <c r="H400" s="185">
        <v>2</v>
      </c>
      <c r="I400" s="186"/>
      <c r="J400" s="187">
        <f>ROUND(I400*H400,2)</f>
        <v>0</v>
      </c>
      <c r="K400" s="183" t="s">
        <v>19</v>
      </c>
      <c r="L400" s="41"/>
      <c r="M400" s="188" t="s">
        <v>19</v>
      </c>
      <c r="N400" s="189" t="s">
        <v>43</v>
      </c>
      <c r="O400" s="66"/>
      <c r="P400" s="190">
        <f>O400*H400</f>
        <v>0</v>
      </c>
      <c r="Q400" s="190">
        <v>0</v>
      </c>
      <c r="R400" s="190">
        <f>Q400*H400</f>
        <v>0</v>
      </c>
      <c r="S400" s="190">
        <v>0</v>
      </c>
      <c r="T400" s="191">
        <f>S400*H400</f>
        <v>0</v>
      </c>
      <c r="U400" s="36"/>
      <c r="V400" s="36"/>
      <c r="W400" s="36"/>
      <c r="X400" s="36"/>
      <c r="Y400" s="36"/>
      <c r="Z400" s="36"/>
      <c r="AA400" s="36"/>
      <c r="AB400" s="36"/>
      <c r="AC400" s="36"/>
      <c r="AD400" s="36"/>
      <c r="AE400" s="36"/>
      <c r="AR400" s="192" t="s">
        <v>281</v>
      </c>
      <c r="AT400" s="192" t="s">
        <v>382</v>
      </c>
      <c r="AU400" s="192" t="s">
        <v>82</v>
      </c>
      <c r="AY400" s="19" t="s">
        <v>380</v>
      </c>
      <c r="BE400" s="193">
        <f>IF(N400="základní",J400,0)</f>
        <v>0</v>
      </c>
      <c r="BF400" s="193">
        <f>IF(N400="snížená",J400,0)</f>
        <v>0</v>
      </c>
      <c r="BG400" s="193">
        <f>IF(N400="zákl. přenesená",J400,0)</f>
        <v>0</v>
      </c>
      <c r="BH400" s="193">
        <f>IF(N400="sníž. přenesená",J400,0)</f>
        <v>0</v>
      </c>
      <c r="BI400" s="193">
        <f>IF(N400="nulová",J400,0)</f>
        <v>0</v>
      </c>
      <c r="BJ400" s="19" t="s">
        <v>79</v>
      </c>
      <c r="BK400" s="193">
        <f>ROUND(I400*H400,2)</f>
        <v>0</v>
      </c>
      <c r="BL400" s="19" t="s">
        <v>281</v>
      </c>
      <c r="BM400" s="192" t="s">
        <v>1472</v>
      </c>
    </row>
    <row r="401" spans="1:65" s="13" customFormat="1" ht="11.25">
      <c r="B401" s="194"/>
      <c r="C401" s="195"/>
      <c r="D401" s="196" t="s">
        <v>388</v>
      </c>
      <c r="E401" s="197" t="s">
        <v>19</v>
      </c>
      <c r="F401" s="198" t="s">
        <v>3121</v>
      </c>
      <c r="G401" s="195"/>
      <c r="H401" s="197" t="s">
        <v>19</v>
      </c>
      <c r="I401" s="199"/>
      <c r="J401" s="195"/>
      <c r="K401" s="195"/>
      <c r="L401" s="200"/>
      <c r="M401" s="201"/>
      <c r="N401" s="202"/>
      <c r="O401" s="202"/>
      <c r="P401" s="202"/>
      <c r="Q401" s="202"/>
      <c r="R401" s="202"/>
      <c r="S401" s="202"/>
      <c r="T401" s="203"/>
      <c r="AT401" s="204" t="s">
        <v>388</v>
      </c>
      <c r="AU401" s="204" t="s">
        <v>82</v>
      </c>
      <c r="AV401" s="13" t="s">
        <v>79</v>
      </c>
      <c r="AW401" s="13" t="s">
        <v>33</v>
      </c>
      <c r="AX401" s="13" t="s">
        <v>72</v>
      </c>
      <c r="AY401" s="204" t="s">
        <v>380</v>
      </c>
    </row>
    <row r="402" spans="1:65" s="14" customFormat="1" ht="11.25">
      <c r="B402" s="205"/>
      <c r="C402" s="206"/>
      <c r="D402" s="196" t="s">
        <v>388</v>
      </c>
      <c r="E402" s="207" t="s">
        <v>19</v>
      </c>
      <c r="F402" s="208" t="s">
        <v>2998</v>
      </c>
      <c r="G402" s="206"/>
      <c r="H402" s="209">
        <v>2</v>
      </c>
      <c r="I402" s="210"/>
      <c r="J402" s="206"/>
      <c r="K402" s="206"/>
      <c r="L402" s="211"/>
      <c r="M402" s="212"/>
      <c r="N402" s="213"/>
      <c r="O402" s="213"/>
      <c r="P402" s="213"/>
      <c r="Q402" s="213"/>
      <c r="R402" s="213"/>
      <c r="S402" s="213"/>
      <c r="T402" s="214"/>
      <c r="AT402" s="215" t="s">
        <v>388</v>
      </c>
      <c r="AU402" s="215" t="s">
        <v>82</v>
      </c>
      <c r="AV402" s="14" t="s">
        <v>82</v>
      </c>
      <c r="AW402" s="14" t="s">
        <v>33</v>
      </c>
      <c r="AX402" s="14" t="s">
        <v>72</v>
      </c>
      <c r="AY402" s="215" t="s">
        <v>380</v>
      </c>
    </row>
    <row r="403" spans="1:65" s="15" customFormat="1" ht="11.25">
      <c r="B403" s="216"/>
      <c r="C403" s="217"/>
      <c r="D403" s="196" t="s">
        <v>388</v>
      </c>
      <c r="E403" s="218" t="s">
        <v>19</v>
      </c>
      <c r="F403" s="219" t="s">
        <v>419</v>
      </c>
      <c r="G403" s="217"/>
      <c r="H403" s="220">
        <v>2</v>
      </c>
      <c r="I403" s="221"/>
      <c r="J403" s="217"/>
      <c r="K403" s="217"/>
      <c r="L403" s="222"/>
      <c r="M403" s="223"/>
      <c r="N403" s="224"/>
      <c r="O403" s="224"/>
      <c r="P403" s="224"/>
      <c r="Q403" s="224"/>
      <c r="R403" s="224"/>
      <c r="S403" s="224"/>
      <c r="T403" s="225"/>
      <c r="AT403" s="226" t="s">
        <v>388</v>
      </c>
      <c r="AU403" s="226" t="s">
        <v>82</v>
      </c>
      <c r="AV403" s="15" t="s">
        <v>386</v>
      </c>
      <c r="AW403" s="15" t="s">
        <v>33</v>
      </c>
      <c r="AX403" s="15" t="s">
        <v>79</v>
      </c>
      <c r="AY403" s="226" t="s">
        <v>380</v>
      </c>
    </row>
    <row r="404" spans="1:65" s="2" customFormat="1" ht="21.75" customHeight="1">
      <c r="A404" s="36"/>
      <c r="B404" s="37"/>
      <c r="C404" s="181" t="s">
        <v>955</v>
      </c>
      <c r="D404" s="181" t="s">
        <v>382</v>
      </c>
      <c r="E404" s="182" t="s">
        <v>3122</v>
      </c>
      <c r="F404" s="183" t="s">
        <v>3123</v>
      </c>
      <c r="G404" s="184" t="s">
        <v>641</v>
      </c>
      <c r="H404" s="185">
        <v>2</v>
      </c>
      <c r="I404" s="186"/>
      <c r="J404" s="187">
        <f>ROUND(I404*H404,2)</f>
        <v>0</v>
      </c>
      <c r="K404" s="183" t="s">
        <v>19</v>
      </c>
      <c r="L404" s="41"/>
      <c r="M404" s="188" t="s">
        <v>19</v>
      </c>
      <c r="N404" s="189" t="s">
        <v>43</v>
      </c>
      <c r="O404" s="66"/>
      <c r="P404" s="190">
        <f>O404*H404</f>
        <v>0</v>
      </c>
      <c r="Q404" s="190">
        <v>0</v>
      </c>
      <c r="R404" s="190">
        <f>Q404*H404</f>
        <v>0</v>
      </c>
      <c r="S404" s="190">
        <v>0</v>
      </c>
      <c r="T404" s="191">
        <f>S404*H404</f>
        <v>0</v>
      </c>
      <c r="U404" s="36"/>
      <c r="V404" s="36"/>
      <c r="W404" s="36"/>
      <c r="X404" s="36"/>
      <c r="Y404" s="36"/>
      <c r="Z404" s="36"/>
      <c r="AA404" s="36"/>
      <c r="AB404" s="36"/>
      <c r="AC404" s="36"/>
      <c r="AD404" s="36"/>
      <c r="AE404" s="36"/>
      <c r="AR404" s="192" t="s">
        <v>281</v>
      </c>
      <c r="AT404" s="192" t="s">
        <v>382</v>
      </c>
      <c r="AU404" s="192" t="s">
        <v>82</v>
      </c>
      <c r="AY404" s="19" t="s">
        <v>380</v>
      </c>
      <c r="BE404" s="193">
        <f>IF(N404="základní",J404,0)</f>
        <v>0</v>
      </c>
      <c r="BF404" s="193">
        <f>IF(N404="snížená",J404,0)</f>
        <v>0</v>
      </c>
      <c r="BG404" s="193">
        <f>IF(N404="zákl. přenesená",J404,0)</f>
        <v>0</v>
      </c>
      <c r="BH404" s="193">
        <f>IF(N404="sníž. přenesená",J404,0)</f>
        <v>0</v>
      </c>
      <c r="BI404" s="193">
        <f>IF(N404="nulová",J404,0)</f>
        <v>0</v>
      </c>
      <c r="BJ404" s="19" t="s">
        <v>79</v>
      </c>
      <c r="BK404" s="193">
        <f>ROUND(I404*H404,2)</f>
        <v>0</v>
      </c>
      <c r="BL404" s="19" t="s">
        <v>281</v>
      </c>
      <c r="BM404" s="192" t="s">
        <v>1480</v>
      </c>
    </row>
    <row r="405" spans="1:65" s="13" customFormat="1" ht="11.25">
      <c r="B405" s="194"/>
      <c r="C405" s="195"/>
      <c r="D405" s="196" t="s">
        <v>388</v>
      </c>
      <c r="E405" s="197" t="s">
        <v>19</v>
      </c>
      <c r="F405" s="198" t="s">
        <v>3121</v>
      </c>
      <c r="G405" s="195"/>
      <c r="H405" s="197" t="s">
        <v>19</v>
      </c>
      <c r="I405" s="199"/>
      <c r="J405" s="195"/>
      <c r="K405" s="195"/>
      <c r="L405" s="200"/>
      <c r="M405" s="201"/>
      <c r="N405" s="202"/>
      <c r="O405" s="202"/>
      <c r="P405" s="202"/>
      <c r="Q405" s="202"/>
      <c r="R405" s="202"/>
      <c r="S405" s="202"/>
      <c r="T405" s="203"/>
      <c r="AT405" s="204" t="s">
        <v>388</v>
      </c>
      <c r="AU405" s="204" t="s">
        <v>82</v>
      </c>
      <c r="AV405" s="13" t="s">
        <v>79</v>
      </c>
      <c r="AW405" s="13" t="s">
        <v>33</v>
      </c>
      <c r="AX405" s="13" t="s">
        <v>72</v>
      </c>
      <c r="AY405" s="204" t="s">
        <v>380</v>
      </c>
    </row>
    <row r="406" spans="1:65" s="14" customFormat="1" ht="11.25">
      <c r="B406" s="205"/>
      <c r="C406" s="206"/>
      <c r="D406" s="196" t="s">
        <v>388</v>
      </c>
      <c r="E406" s="207" t="s">
        <v>19</v>
      </c>
      <c r="F406" s="208" t="s">
        <v>2998</v>
      </c>
      <c r="G406" s="206"/>
      <c r="H406" s="209">
        <v>2</v>
      </c>
      <c r="I406" s="210"/>
      <c r="J406" s="206"/>
      <c r="K406" s="206"/>
      <c r="L406" s="211"/>
      <c r="M406" s="212"/>
      <c r="N406" s="213"/>
      <c r="O406" s="213"/>
      <c r="P406" s="213"/>
      <c r="Q406" s="213"/>
      <c r="R406" s="213"/>
      <c r="S406" s="213"/>
      <c r="T406" s="214"/>
      <c r="AT406" s="215" t="s">
        <v>388</v>
      </c>
      <c r="AU406" s="215" t="s">
        <v>82</v>
      </c>
      <c r="AV406" s="14" t="s">
        <v>82</v>
      </c>
      <c r="AW406" s="14" t="s">
        <v>33</v>
      </c>
      <c r="AX406" s="14" t="s">
        <v>72</v>
      </c>
      <c r="AY406" s="215" t="s">
        <v>380</v>
      </c>
    </row>
    <row r="407" spans="1:65" s="15" customFormat="1" ht="11.25">
      <c r="B407" s="216"/>
      <c r="C407" s="217"/>
      <c r="D407" s="196" t="s">
        <v>388</v>
      </c>
      <c r="E407" s="218" t="s">
        <v>19</v>
      </c>
      <c r="F407" s="219" t="s">
        <v>419</v>
      </c>
      <c r="G407" s="217"/>
      <c r="H407" s="220">
        <v>2</v>
      </c>
      <c r="I407" s="221"/>
      <c r="J407" s="217"/>
      <c r="K407" s="217"/>
      <c r="L407" s="222"/>
      <c r="M407" s="223"/>
      <c r="N407" s="224"/>
      <c r="O407" s="224"/>
      <c r="P407" s="224"/>
      <c r="Q407" s="224"/>
      <c r="R407" s="224"/>
      <c r="S407" s="224"/>
      <c r="T407" s="225"/>
      <c r="AT407" s="226" t="s">
        <v>388</v>
      </c>
      <c r="AU407" s="226" t="s">
        <v>82</v>
      </c>
      <c r="AV407" s="15" t="s">
        <v>386</v>
      </c>
      <c r="AW407" s="15" t="s">
        <v>33</v>
      </c>
      <c r="AX407" s="15" t="s">
        <v>79</v>
      </c>
      <c r="AY407" s="226" t="s">
        <v>380</v>
      </c>
    </row>
    <row r="408" spans="1:65" s="2" customFormat="1" ht="21.75" customHeight="1">
      <c r="A408" s="36"/>
      <c r="B408" s="37"/>
      <c r="C408" s="181" t="s">
        <v>959</v>
      </c>
      <c r="D408" s="181" t="s">
        <v>382</v>
      </c>
      <c r="E408" s="182" t="s">
        <v>3124</v>
      </c>
      <c r="F408" s="183" t="s">
        <v>3125</v>
      </c>
      <c r="G408" s="184" t="s">
        <v>641</v>
      </c>
      <c r="H408" s="185">
        <v>1</v>
      </c>
      <c r="I408" s="186"/>
      <c r="J408" s="187">
        <f>ROUND(I408*H408,2)</f>
        <v>0</v>
      </c>
      <c r="K408" s="183" t="s">
        <v>19</v>
      </c>
      <c r="L408" s="41"/>
      <c r="M408" s="188" t="s">
        <v>19</v>
      </c>
      <c r="N408" s="189" t="s">
        <v>43</v>
      </c>
      <c r="O408" s="66"/>
      <c r="P408" s="190">
        <f>O408*H408</f>
        <v>0</v>
      </c>
      <c r="Q408" s="190">
        <v>0</v>
      </c>
      <c r="R408" s="190">
        <f>Q408*H408</f>
        <v>0</v>
      </c>
      <c r="S408" s="190">
        <v>0</v>
      </c>
      <c r="T408" s="191">
        <f>S408*H408</f>
        <v>0</v>
      </c>
      <c r="U408" s="36"/>
      <c r="V408" s="36"/>
      <c r="W408" s="36"/>
      <c r="X408" s="36"/>
      <c r="Y408" s="36"/>
      <c r="Z408" s="36"/>
      <c r="AA408" s="36"/>
      <c r="AB408" s="36"/>
      <c r="AC408" s="36"/>
      <c r="AD408" s="36"/>
      <c r="AE408" s="36"/>
      <c r="AR408" s="192" t="s">
        <v>281</v>
      </c>
      <c r="AT408" s="192" t="s">
        <v>382</v>
      </c>
      <c r="AU408" s="192" t="s">
        <v>82</v>
      </c>
      <c r="AY408" s="19" t="s">
        <v>380</v>
      </c>
      <c r="BE408" s="193">
        <f>IF(N408="základní",J408,0)</f>
        <v>0</v>
      </c>
      <c r="BF408" s="193">
        <f>IF(N408="snížená",J408,0)</f>
        <v>0</v>
      </c>
      <c r="BG408" s="193">
        <f>IF(N408="zákl. přenesená",J408,0)</f>
        <v>0</v>
      </c>
      <c r="BH408" s="193">
        <f>IF(N408="sníž. přenesená",J408,0)</f>
        <v>0</v>
      </c>
      <c r="BI408" s="193">
        <f>IF(N408="nulová",J408,0)</f>
        <v>0</v>
      </c>
      <c r="BJ408" s="19" t="s">
        <v>79</v>
      </c>
      <c r="BK408" s="193">
        <f>ROUND(I408*H408,2)</f>
        <v>0</v>
      </c>
      <c r="BL408" s="19" t="s">
        <v>281</v>
      </c>
      <c r="BM408" s="192" t="s">
        <v>1494</v>
      </c>
    </row>
    <row r="409" spans="1:65" s="13" customFormat="1" ht="11.25">
      <c r="B409" s="194"/>
      <c r="C409" s="195"/>
      <c r="D409" s="196" t="s">
        <v>388</v>
      </c>
      <c r="E409" s="197" t="s">
        <v>19</v>
      </c>
      <c r="F409" s="198" t="s">
        <v>3106</v>
      </c>
      <c r="G409" s="195"/>
      <c r="H409" s="197" t="s">
        <v>19</v>
      </c>
      <c r="I409" s="199"/>
      <c r="J409" s="195"/>
      <c r="K409" s="195"/>
      <c r="L409" s="200"/>
      <c r="M409" s="201"/>
      <c r="N409" s="202"/>
      <c r="O409" s="202"/>
      <c r="P409" s="202"/>
      <c r="Q409" s="202"/>
      <c r="R409" s="202"/>
      <c r="S409" s="202"/>
      <c r="T409" s="203"/>
      <c r="AT409" s="204" t="s">
        <v>388</v>
      </c>
      <c r="AU409" s="204" t="s">
        <v>82</v>
      </c>
      <c r="AV409" s="13" t="s">
        <v>79</v>
      </c>
      <c r="AW409" s="13" t="s">
        <v>33</v>
      </c>
      <c r="AX409" s="13" t="s">
        <v>72</v>
      </c>
      <c r="AY409" s="204" t="s">
        <v>380</v>
      </c>
    </row>
    <row r="410" spans="1:65" s="14" customFormat="1" ht="11.25">
      <c r="B410" s="205"/>
      <c r="C410" s="206"/>
      <c r="D410" s="196" t="s">
        <v>388</v>
      </c>
      <c r="E410" s="207" t="s">
        <v>19</v>
      </c>
      <c r="F410" s="208" t="s">
        <v>2542</v>
      </c>
      <c r="G410" s="206"/>
      <c r="H410" s="209">
        <v>1</v>
      </c>
      <c r="I410" s="210"/>
      <c r="J410" s="206"/>
      <c r="K410" s="206"/>
      <c r="L410" s="211"/>
      <c r="M410" s="212"/>
      <c r="N410" s="213"/>
      <c r="O410" s="213"/>
      <c r="P410" s="213"/>
      <c r="Q410" s="213"/>
      <c r="R410" s="213"/>
      <c r="S410" s="213"/>
      <c r="T410" s="214"/>
      <c r="AT410" s="215" t="s">
        <v>388</v>
      </c>
      <c r="AU410" s="215" t="s">
        <v>82</v>
      </c>
      <c r="AV410" s="14" t="s">
        <v>82</v>
      </c>
      <c r="AW410" s="14" t="s">
        <v>33</v>
      </c>
      <c r="AX410" s="14" t="s">
        <v>72</v>
      </c>
      <c r="AY410" s="215" t="s">
        <v>380</v>
      </c>
    </row>
    <row r="411" spans="1:65" s="15" customFormat="1" ht="11.25">
      <c r="B411" s="216"/>
      <c r="C411" s="217"/>
      <c r="D411" s="196" t="s">
        <v>388</v>
      </c>
      <c r="E411" s="218" t="s">
        <v>19</v>
      </c>
      <c r="F411" s="219" t="s">
        <v>419</v>
      </c>
      <c r="G411" s="217"/>
      <c r="H411" s="220">
        <v>1</v>
      </c>
      <c r="I411" s="221"/>
      <c r="J411" s="217"/>
      <c r="K411" s="217"/>
      <c r="L411" s="222"/>
      <c r="M411" s="223"/>
      <c r="N411" s="224"/>
      <c r="O411" s="224"/>
      <c r="P411" s="224"/>
      <c r="Q411" s="224"/>
      <c r="R411" s="224"/>
      <c r="S411" s="224"/>
      <c r="T411" s="225"/>
      <c r="AT411" s="226" t="s">
        <v>388</v>
      </c>
      <c r="AU411" s="226" t="s">
        <v>82</v>
      </c>
      <c r="AV411" s="15" t="s">
        <v>386</v>
      </c>
      <c r="AW411" s="15" t="s">
        <v>33</v>
      </c>
      <c r="AX411" s="15" t="s">
        <v>79</v>
      </c>
      <c r="AY411" s="226" t="s">
        <v>380</v>
      </c>
    </row>
    <row r="412" spans="1:65" s="2" customFormat="1" ht="16.5" customHeight="1">
      <c r="A412" s="36"/>
      <c r="B412" s="37"/>
      <c r="C412" s="181" t="s">
        <v>963</v>
      </c>
      <c r="D412" s="181" t="s">
        <v>382</v>
      </c>
      <c r="E412" s="182" t="s">
        <v>3126</v>
      </c>
      <c r="F412" s="183" t="s">
        <v>3127</v>
      </c>
      <c r="G412" s="184" t="s">
        <v>641</v>
      </c>
      <c r="H412" s="185">
        <v>1</v>
      </c>
      <c r="I412" s="186"/>
      <c r="J412" s="187">
        <f>ROUND(I412*H412,2)</f>
        <v>0</v>
      </c>
      <c r="K412" s="183" t="s">
        <v>19</v>
      </c>
      <c r="L412" s="41"/>
      <c r="M412" s="188" t="s">
        <v>19</v>
      </c>
      <c r="N412" s="189" t="s">
        <v>43</v>
      </c>
      <c r="O412" s="66"/>
      <c r="P412" s="190">
        <f>O412*H412</f>
        <v>0</v>
      </c>
      <c r="Q412" s="190">
        <v>0</v>
      </c>
      <c r="R412" s="190">
        <f>Q412*H412</f>
        <v>0</v>
      </c>
      <c r="S412" s="190">
        <v>0</v>
      </c>
      <c r="T412" s="191">
        <f>S412*H412</f>
        <v>0</v>
      </c>
      <c r="U412" s="36"/>
      <c r="V412" s="36"/>
      <c r="W412" s="36"/>
      <c r="X412" s="36"/>
      <c r="Y412" s="36"/>
      <c r="Z412" s="36"/>
      <c r="AA412" s="36"/>
      <c r="AB412" s="36"/>
      <c r="AC412" s="36"/>
      <c r="AD412" s="36"/>
      <c r="AE412" s="36"/>
      <c r="AR412" s="192" t="s">
        <v>281</v>
      </c>
      <c r="AT412" s="192" t="s">
        <v>382</v>
      </c>
      <c r="AU412" s="192" t="s">
        <v>82</v>
      </c>
      <c r="AY412" s="19" t="s">
        <v>380</v>
      </c>
      <c r="BE412" s="193">
        <f>IF(N412="základní",J412,0)</f>
        <v>0</v>
      </c>
      <c r="BF412" s="193">
        <f>IF(N412="snížená",J412,0)</f>
        <v>0</v>
      </c>
      <c r="BG412" s="193">
        <f>IF(N412="zákl. přenesená",J412,0)</f>
        <v>0</v>
      </c>
      <c r="BH412" s="193">
        <f>IF(N412="sníž. přenesená",J412,0)</f>
        <v>0</v>
      </c>
      <c r="BI412" s="193">
        <f>IF(N412="nulová",J412,0)</f>
        <v>0</v>
      </c>
      <c r="BJ412" s="19" t="s">
        <v>79</v>
      </c>
      <c r="BK412" s="193">
        <f>ROUND(I412*H412,2)</f>
        <v>0</v>
      </c>
      <c r="BL412" s="19" t="s">
        <v>281</v>
      </c>
      <c r="BM412" s="192" t="s">
        <v>1502</v>
      </c>
    </row>
    <row r="413" spans="1:65" s="13" customFormat="1" ht="11.25">
      <c r="B413" s="194"/>
      <c r="C413" s="195"/>
      <c r="D413" s="196" t="s">
        <v>388</v>
      </c>
      <c r="E413" s="197" t="s">
        <v>19</v>
      </c>
      <c r="F413" s="198" t="s">
        <v>3128</v>
      </c>
      <c r="G413" s="195"/>
      <c r="H413" s="197" t="s">
        <v>19</v>
      </c>
      <c r="I413" s="199"/>
      <c r="J413" s="195"/>
      <c r="K413" s="195"/>
      <c r="L413" s="200"/>
      <c r="M413" s="201"/>
      <c r="N413" s="202"/>
      <c r="O413" s="202"/>
      <c r="P413" s="202"/>
      <c r="Q413" s="202"/>
      <c r="R413" s="202"/>
      <c r="S413" s="202"/>
      <c r="T413" s="203"/>
      <c r="AT413" s="204" t="s">
        <v>388</v>
      </c>
      <c r="AU413" s="204" t="s">
        <v>82</v>
      </c>
      <c r="AV413" s="13" t="s">
        <v>79</v>
      </c>
      <c r="AW413" s="13" t="s">
        <v>33</v>
      </c>
      <c r="AX413" s="13" t="s">
        <v>72</v>
      </c>
      <c r="AY413" s="204" t="s">
        <v>380</v>
      </c>
    </row>
    <row r="414" spans="1:65" s="14" customFormat="1" ht="11.25">
      <c r="B414" s="205"/>
      <c r="C414" s="206"/>
      <c r="D414" s="196" t="s">
        <v>388</v>
      </c>
      <c r="E414" s="207" t="s">
        <v>19</v>
      </c>
      <c r="F414" s="208" t="s">
        <v>2542</v>
      </c>
      <c r="G414" s="206"/>
      <c r="H414" s="209">
        <v>1</v>
      </c>
      <c r="I414" s="210"/>
      <c r="J414" s="206"/>
      <c r="K414" s="206"/>
      <c r="L414" s="211"/>
      <c r="M414" s="212"/>
      <c r="N414" s="213"/>
      <c r="O414" s="213"/>
      <c r="P414" s="213"/>
      <c r="Q414" s="213"/>
      <c r="R414" s="213"/>
      <c r="S414" s="213"/>
      <c r="T414" s="214"/>
      <c r="AT414" s="215" t="s">
        <v>388</v>
      </c>
      <c r="AU414" s="215" t="s">
        <v>82</v>
      </c>
      <c r="AV414" s="14" t="s">
        <v>82</v>
      </c>
      <c r="AW414" s="14" t="s">
        <v>33</v>
      </c>
      <c r="AX414" s="14" t="s">
        <v>72</v>
      </c>
      <c r="AY414" s="215" t="s">
        <v>380</v>
      </c>
    </row>
    <row r="415" spans="1:65" s="15" customFormat="1" ht="11.25">
      <c r="B415" s="216"/>
      <c r="C415" s="217"/>
      <c r="D415" s="196" t="s">
        <v>388</v>
      </c>
      <c r="E415" s="218" t="s">
        <v>19</v>
      </c>
      <c r="F415" s="219" t="s">
        <v>419</v>
      </c>
      <c r="G415" s="217"/>
      <c r="H415" s="220">
        <v>1</v>
      </c>
      <c r="I415" s="221"/>
      <c r="J415" s="217"/>
      <c r="K415" s="217"/>
      <c r="L415" s="222"/>
      <c r="M415" s="223"/>
      <c r="N415" s="224"/>
      <c r="O415" s="224"/>
      <c r="P415" s="224"/>
      <c r="Q415" s="224"/>
      <c r="R415" s="224"/>
      <c r="S415" s="224"/>
      <c r="T415" s="225"/>
      <c r="AT415" s="226" t="s">
        <v>388</v>
      </c>
      <c r="AU415" s="226" t="s">
        <v>82</v>
      </c>
      <c r="AV415" s="15" t="s">
        <v>386</v>
      </c>
      <c r="AW415" s="15" t="s">
        <v>33</v>
      </c>
      <c r="AX415" s="15" t="s">
        <v>79</v>
      </c>
      <c r="AY415" s="226" t="s">
        <v>380</v>
      </c>
    </row>
    <row r="416" spans="1:65" s="2" customFormat="1" ht="21.75" customHeight="1">
      <c r="A416" s="36"/>
      <c r="B416" s="37"/>
      <c r="C416" s="181" t="s">
        <v>967</v>
      </c>
      <c r="D416" s="181" t="s">
        <v>382</v>
      </c>
      <c r="E416" s="182" t="s">
        <v>3129</v>
      </c>
      <c r="F416" s="183" t="s">
        <v>3130</v>
      </c>
      <c r="G416" s="184" t="s">
        <v>2006</v>
      </c>
      <c r="H416" s="185">
        <v>4</v>
      </c>
      <c r="I416" s="186"/>
      <c r="J416" s="187">
        <f>ROUND(I416*H416,2)</f>
        <v>0</v>
      </c>
      <c r="K416" s="183" t="s">
        <v>19</v>
      </c>
      <c r="L416" s="41"/>
      <c r="M416" s="188" t="s">
        <v>19</v>
      </c>
      <c r="N416" s="189"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281</v>
      </c>
      <c r="AT416" s="192" t="s">
        <v>382</v>
      </c>
      <c r="AU416" s="192" t="s">
        <v>82</v>
      </c>
      <c r="AY416" s="19" t="s">
        <v>380</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281</v>
      </c>
      <c r="BM416" s="192" t="s">
        <v>1510</v>
      </c>
    </row>
    <row r="417" spans="1:65" s="2" customFormat="1" ht="16.5" customHeight="1">
      <c r="A417" s="36"/>
      <c r="B417" s="37"/>
      <c r="C417" s="181" t="s">
        <v>971</v>
      </c>
      <c r="D417" s="181" t="s">
        <v>382</v>
      </c>
      <c r="E417" s="182" t="s">
        <v>3131</v>
      </c>
      <c r="F417" s="183" t="s">
        <v>3132</v>
      </c>
      <c r="G417" s="184" t="s">
        <v>641</v>
      </c>
      <c r="H417" s="185">
        <v>1</v>
      </c>
      <c r="I417" s="186"/>
      <c r="J417" s="187">
        <f>ROUND(I417*H417,2)</f>
        <v>0</v>
      </c>
      <c r="K417" s="183" t="s">
        <v>19</v>
      </c>
      <c r="L417" s="41"/>
      <c r="M417" s="188" t="s">
        <v>19</v>
      </c>
      <c r="N417" s="189" t="s">
        <v>43</v>
      </c>
      <c r="O417" s="66"/>
      <c r="P417" s="190">
        <f>O417*H417</f>
        <v>0</v>
      </c>
      <c r="Q417" s="190">
        <v>0</v>
      </c>
      <c r="R417" s="190">
        <f>Q417*H417</f>
        <v>0</v>
      </c>
      <c r="S417" s="190">
        <v>0</v>
      </c>
      <c r="T417" s="191">
        <f>S417*H417</f>
        <v>0</v>
      </c>
      <c r="U417" s="36"/>
      <c r="V417" s="36"/>
      <c r="W417" s="36"/>
      <c r="X417" s="36"/>
      <c r="Y417" s="36"/>
      <c r="Z417" s="36"/>
      <c r="AA417" s="36"/>
      <c r="AB417" s="36"/>
      <c r="AC417" s="36"/>
      <c r="AD417" s="36"/>
      <c r="AE417" s="36"/>
      <c r="AR417" s="192" t="s">
        <v>281</v>
      </c>
      <c r="AT417" s="192" t="s">
        <v>382</v>
      </c>
      <c r="AU417" s="192" t="s">
        <v>82</v>
      </c>
      <c r="AY417" s="19" t="s">
        <v>380</v>
      </c>
      <c r="BE417" s="193">
        <f>IF(N417="základní",J417,0)</f>
        <v>0</v>
      </c>
      <c r="BF417" s="193">
        <f>IF(N417="snížená",J417,0)</f>
        <v>0</v>
      </c>
      <c r="BG417" s="193">
        <f>IF(N417="zákl. přenesená",J417,0)</f>
        <v>0</v>
      </c>
      <c r="BH417" s="193">
        <f>IF(N417="sníž. přenesená",J417,0)</f>
        <v>0</v>
      </c>
      <c r="BI417" s="193">
        <f>IF(N417="nulová",J417,0)</f>
        <v>0</v>
      </c>
      <c r="BJ417" s="19" t="s">
        <v>79</v>
      </c>
      <c r="BK417" s="193">
        <f>ROUND(I417*H417,2)</f>
        <v>0</v>
      </c>
      <c r="BL417" s="19" t="s">
        <v>281</v>
      </c>
      <c r="BM417" s="192" t="s">
        <v>1519</v>
      </c>
    </row>
    <row r="418" spans="1:65" s="2" customFormat="1" ht="16.5" customHeight="1">
      <c r="A418" s="36"/>
      <c r="B418" s="37"/>
      <c r="C418" s="181" t="s">
        <v>975</v>
      </c>
      <c r="D418" s="181" t="s">
        <v>382</v>
      </c>
      <c r="E418" s="182" t="s">
        <v>3133</v>
      </c>
      <c r="F418" s="183" t="s">
        <v>3134</v>
      </c>
      <c r="G418" s="184" t="s">
        <v>2006</v>
      </c>
      <c r="H418" s="185">
        <v>1</v>
      </c>
      <c r="I418" s="186"/>
      <c r="J418" s="187">
        <f>ROUND(I418*H418,2)</f>
        <v>0</v>
      </c>
      <c r="K418" s="183" t="s">
        <v>19</v>
      </c>
      <c r="L418" s="41"/>
      <c r="M418" s="188" t="s">
        <v>19</v>
      </c>
      <c r="N418" s="189"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281</v>
      </c>
      <c r="AT418" s="192" t="s">
        <v>382</v>
      </c>
      <c r="AU418" s="192" t="s">
        <v>82</v>
      </c>
      <c r="AY418" s="19" t="s">
        <v>380</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281</v>
      </c>
      <c r="BM418" s="192" t="s">
        <v>1538</v>
      </c>
    </row>
    <row r="419" spans="1:65" s="2" customFormat="1" ht="24.2" customHeight="1">
      <c r="A419" s="36"/>
      <c r="B419" s="37"/>
      <c r="C419" s="181" t="s">
        <v>979</v>
      </c>
      <c r="D419" s="181" t="s">
        <v>382</v>
      </c>
      <c r="E419" s="182" t="s">
        <v>3135</v>
      </c>
      <c r="F419" s="183" t="s">
        <v>3136</v>
      </c>
      <c r="G419" s="184" t="s">
        <v>452</v>
      </c>
      <c r="H419" s="185">
        <v>363.28500000000003</v>
      </c>
      <c r="I419" s="186"/>
      <c r="J419" s="187">
        <f>ROUND(I419*H419,2)</f>
        <v>0</v>
      </c>
      <c r="K419" s="183" t="s">
        <v>19</v>
      </c>
      <c r="L419" s="41"/>
      <c r="M419" s="188" t="s">
        <v>19</v>
      </c>
      <c r="N419" s="189" t="s">
        <v>43</v>
      </c>
      <c r="O419" s="66"/>
      <c r="P419" s="190">
        <f>O419*H419</f>
        <v>0</v>
      </c>
      <c r="Q419" s="190">
        <v>0</v>
      </c>
      <c r="R419" s="190">
        <f>Q419*H419</f>
        <v>0</v>
      </c>
      <c r="S419" s="190">
        <v>0</v>
      </c>
      <c r="T419" s="191">
        <f>S419*H419</f>
        <v>0</v>
      </c>
      <c r="U419" s="36"/>
      <c r="V419" s="36"/>
      <c r="W419" s="36"/>
      <c r="X419" s="36"/>
      <c r="Y419" s="36"/>
      <c r="Z419" s="36"/>
      <c r="AA419" s="36"/>
      <c r="AB419" s="36"/>
      <c r="AC419" s="36"/>
      <c r="AD419" s="36"/>
      <c r="AE419" s="36"/>
      <c r="AR419" s="192" t="s">
        <v>281</v>
      </c>
      <c r="AT419" s="192" t="s">
        <v>382</v>
      </c>
      <c r="AU419" s="192" t="s">
        <v>82</v>
      </c>
      <c r="AY419" s="19" t="s">
        <v>380</v>
      </c>
      <c r="BE419" s="193">
        <f>IF(N419="základní",J419,0)</f>
        <v>0</v>
      </c>
      <c r="BF419" s="193">
        <f>IF(N419="snížená",J419,0)</f>
        <v>0</v>
      </c>
      <c r="BG419" s="193">
        <f>IF(N419="zákl. přenesená",J419,0)</f>
        <v>0</v>
      </c>
      <c r="BH419" s="193">
        <f>IF(N419="sníž. přenesená",J419,0)</f>
        <v>0</v>
      </c>
      <c r="BI419" s="193">
        <f>IF(N419="nulová",J419,0)</f>
        <v>0</v>
      </c>
      <c r="BJ419" s="19" t="s">
        <v>79</v>
      </c>
      <c r="BK419" s="193">
        <f>ROUND(I419*H419,2)</f>
        <v>0</v>
      </c>
      <c r="BL419" s="19" t="s">
        <v>281</v>
      </c>
      <c r="BM419" s="192" t="s">
        <v>1548</v>
      </c>
    </row>
    <row r="420" spans="1:65" s="14" customFormat="1" ht="11.25">
      <c r="B420" s="205"/>
      <c r="C420" s="206"/>
      <c r="D420" s="196" t="s">
        <v>388</v>
      </c>
      <c r="E420" s="207" t="s">
        <v>19</v>
      </c>
      <c r="F420" s="208" t="s">
        <v>3137</v>
      </c>
      <c r="G420" s="206"/>
      <c r="H420" s="209">
        <v>363.28500000000003</v>
      </c>
      <c r="I420" s="210"/>
      <c r="J420" s="206"/>
      <c r="K420" s="206"/>
      <c r="L420" s="211"/>
      <c r="M420" s="212"/>
      <c r="N420" s="213"/>
      <c r="O420" s="213"/>
      <c r="P420" s="213"/>
      <c r="Q420" s="213"/>
      <c r="R420" s="213"/>
      <c r="S420" s="213"/>
      <c r="T420" s="214"/>
      <c r="AT420" s="215" t="s">
        <v>388</v>
      </c>
      <c r="AU420" s="215" t="s">
        <v>82</v>
      </c>
      <c r="AV420" s="14" t="s">
        <v>82</v>
      </c>
      <c r="AW420" s="14" t="s">
        <v>33</v>
      </c>
      <c r="AX420" s="14" t="s">
        <v>72</v>
      </c>
      <c r="AY420" s="215" t="s">
        <v>380</v>
      </c>
    </row>
    <row r="421" spans="1:65" s="15" customFormat="1" ht="11.25">
      <c r="B421" s="216"/>
      <c r="C421" s="217"/>
      <c r="D421" s="196" t="s">
        <v>388</v>
      </c>
      <c r="E421" s="218" t="s">
        <v>19</v>
      </c>
      <c r="F421" s="219" t="s">
        <v>419</v>
      </c>
      <c r="G421" s="217"/>
      <c r="H421" s="220">
        <v>363.28500000000003</v>
      </c>
      <c r="I421" s="221"/>
      <c r="J421" s="217"/>
      <c r="K421" s="217"/>
      <c r="L421" s="222"/>
      <c r="M421" s="223"/>
      <c r="N421" s="224"/>
      <c r="O421" s="224"/>
      <c r="P421" s="224"/>
      <c r="Q421" s="224"/>
      <c r="R421" s="224"/>
      <c r="S421" s="224"/>
      <c r="T421" s="225"/>
      <c r="AT421" s="226" t="s">
        <v>388</v>
      </c>
      <c r="AU421" s="226" t="s">
        <v>82</v>
      </c>
      <c r="AV421" s="15" t="s">
        <v>386</v>
      </c>
      <c r="AW421" s="15" t="s">
        <v>33</v>
      </c>
      <c r="AX421" s="15" t="s">
        <v>79</v>
      </c>
      <c r="AY421" s="226" t="s">
        <v>380</v>
      </c>
    </row>
    <row r="422" spans="1:65" s="2" customFormat="1" ht="21.75" customHeight="1">
      <c r="A422" s="36"/>
      <c r="B422" s="37"/>
      <c r="C422" s="181" t="s">
        <v>983</v>
      </c>
      <c r="D422" s="181" t="s">
        <v>382</v>
      </c>
      <c r="E422" s="182" t="s">
        <v>3138</v>
      </c>
      <c r="F422" s="183" t="s">
        <v>3139</v>
      </c>
      <c r="G422" s="184" t="s">
        <v>452</v>
      </c>
      <c r="H422" s="185">
        <v>292.10000000000002</v>
      </c>
      <c r="I422" s="186"/>
      <c r="J422" s="187">
        <f>ROUND(I422*H422,2)</f>
        <v>0</v>
      </c>
      <c r="K422" s="183" t="s">
        <v>19</v>
      </c>
      <c r="L422" s="41"/>
      <c r="M422" s="188" t="s">
        <v>19</v>
      </c>
      <c r="N422" s="189"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281</v>
      </c>
      <c r="AT422" s="192" t="s">
        <v>382</v>
      </c>
      <c r="AU422" s="192" t="s">
        <v>82</v>
      </c>
      <c r="AY422" s="19" t="s">
        <v>380</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281</v>
      </c>
      <c r="BM422" s="192" t="s">
        <v>1558</v>
      </c>
    </row>
    <row r="423" spans="1:65" s="14" customFormat="1" ht="11.25">
      <c r="B423" s="205"/>
      <c r="C423" s="206"/>
      <c r="D423" s="196" t="s">
        <v>388</v>
      </c>
      <c r="E423" s="207" t="s">
        <v>19</v>
      </c>
      <c r="F423" s="208" t="s">
        <v>3140</v>
      </c>
      <c r="G423" s="206"/>
      <c r="H423" s="209">
        <v>292.10000000000002</v>
      </c>
      <c r="I423" s="210"/>
      <c r="J423" s="206"/>
      <c r="K423" s="206"/>
      <c r="L423" s="211"/>
      <c r="M423" s="212"/>
      <c r="N423" s="213"/>
      <c r="O423" s="213"/>
      <c r="P423" s="213"/>
      <c r="Q423" s="213"/>
      <c r="R423" s="213"/>
      <c r="S423" s="213"/>
      <c r="T423" s="214"/>
      <c r="AT423" s="215" t="s">
        <v>388</v>
      </c>
      <c r="AU423" s="215" t="s">
        <v>82</v>
      </c>
      <c r="AV423" s="14" t="s">
        <v>82</v>
      </c>
      <c r="AW423" s="14" t="s">
        <v>33</v>
      </c>
      <c r="AX423" s="14" t="s">
        <v>72</v>
      </c>
      <c r="AY423" s="215" t="s">
        <v>380</v>
      </c>
    </row>
    <row r="424" spans="1:65" s="15" customFormat="1" ht="11.25">
      <c r="B424" s="216"/>
      <c r="C424" s="217"/>
      <c r="D424" s="196" t="s">
        <v>388</v>
      </c>
      <c r="E424" s="218" t="s">
        <v>19</v>
      </c>
      <c r="F424" s="219" t="s">
        <v>419</v>
      </c>
      <c r="G424" s="217"/>
      <c r="H424" s="220">
        <v>292.10000000000002</v>
      </c>
      <c r="I424" s="221"/>
      <c r="J424" s="217"/>
      <c r="K424" s="217"/>
      <c r="L424" s="222"/>
      <c r="M424" s="223"/>
      <c r="N424" s="224"/>
      <c r="O424" s="224"/>
      <c r="P424" s="224"/>
      <c r="Q424" s="224"/>
      <c r="R424" s="224"/>
      <c r="S424" s="224"/>
      <c r="T424" s="225"/>
      <c r="AT424" s="226" t="s">
        <v>388</v>
      </c>
      <c r="AU424" s="226" t="s">
        <v>82</v>
      </c>
      <c r="AV424" s="15" t="s">
        <v>386</v>
      </c>
      <c r="AW424" s="15" t="s">
        <v>33</v>
      </c>
      <c r="AX424" s="15" t="s">
        <v>79</v>
      </c>
      <c r="AY424" s="226" t="s">
        <v>380</v>
      </c>
    </row>
    <row r="425" spans="1:65" s="2" customFormat="1" ht="24.2" customHeight="1">
      <c r="A425" s="36"/>
      <c r="B425" s="37"/>
      <c r="C425" s="181" t="s">
        <v>987</v>
      </c>
      <c r="D425" s="181" t="s">
        <v>382</v>
      </c>
      <c r="E425" s="182" t="s">
        <v>3141</v>
      </c>
      <c r="F425" s="183" t="s">
        <v>3142</v>
      </c>
      <c r="G425" s="184" t="s">
        <v>3014</v>
      </c>
      <c r="H425" s="257"/>
      <c r="I425" s="186"/>
      <c r="J425" s="187">
        <f>ROUND(I425*H425,2)</f>
        <v>0</v>
      </c>
      <c r="K425" s="183" t="s">
        <v>19</v>
      </c>
      <c r="L425" s="41"/>
      <c r="M425" s="188" t="s">
        <v>19</v>
      </c>
      <c r="N425" s="189" t="s">
        <v>43</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281</v>
      </c>
      <c r="AT425" s="192" t="s">
        <v>382</v>
      </c>
      <c r="AU425" s="192" t="s">
        <v>82</v>
      </c>
      <c r="AY425" s="19" t="s">
        <v>380</v>
      </c>
      <c r="BE425" s="193">
        <f>IF(N425="základní",J425,0)</f>
        <v>0</v>
      </c>
      <c r="BF425" s="193">
        <f>IF(N425="snížená",J425,0)</f>
        <v>0</v>
      </c>
      <c r="BG425" s="193">
        <f>IF(N425="zákl. přenesená",J425,0)</f>
        <v>0</v>
      </c>
      <c r="BH425" s="193">
        <f>IF(N425="sníž. přenesená",J425,0)</f>
        <v>0</v>
      </c>
      <c r="BI425" s="193">
        <f>IF(N425="nulová",J425,0)</f>
        <v>0</v>
      </c>
      <c r="BJ425" s="19" t="s">
        <v>79</v>
      </c>
      <c r="BK425" s="193">
        <f>ROUND(I425*H425,2)</f>
        <v>0</v>
      </c>
      <c r="BL425" s="19" t="s">
        <v>281</v>
      </c>
      <c r="BM425" s="192" t="s">
        <v>1576</v>
      </c>
    </row>
    <row r="426" spans="1:65" s="12" customFormat="1" ht="22.9" customHeight="1">
      <c r="B426" s="165"/>
      <c r="C426" s="166"/>
      <c r="D426" s="167" t="s">
        <v>71</v>
      </c>
      <c r="E426" s="179" t="s">
        <v>3143</v>
      </c>
      <c r="F426" s="179" t="s">
        <v>3144</v>
      </c>
      <c r="G426" s="166"/>
      <c r="H426" s="166"/>
      <c r="I426" s="169"/>
      <c r="J426" s="180">
        <f>BK426</f>
        <v>0</v>
      </c>
      <c r="K426" s="166"/>
      <c r="L426" s="171"/>
      <c r="M426" s="172"/>
      <c r="N426" s="173"/>
      <c r="O426" s="173"/>
      <c r="P426" s="174">
        <f>SUM(P427:P435)</f>
        <v>0</v>
      </c>
      <c r="Q426" s="173"/>
      <c r="R426" s="174">
        <f>SUM(R427:R435)</f>
        <v>0</v>
      </c>
      <c r="S426" s="173"/>
      <c r="T426" s="175">
        <f>SUM(T427:T435)</f>
        <v>0</v>
      </c>
      <c r="AR426" s="176" t="s">
        <v>82</v>
      </c>
      <c r="AT426" s="177" t="s">
        <v>71</v>
      </c>
      <c r="AU426" s="177" t="s">
        <v>79</v>
      </c>
      <c r="AY426" s="176" t="s">
        <v>380</v>
      </c>
      <c r="BK426" s="178">
        <f>SUM(BK427:BK435)</f>
        <v>0</v>
      </c>
    </row>
    <row r="427" spans="1:65" s="2" customFormat="1" ht="16.5" customHeight="1">
      <c r="A427" s="36"/>
      <c r="B427" s="37"/>
      <c r="C427" s="181" t="s">
        <v>271</v>
      </c>
      <c r="D427" s="181" t="s">
        <v>382</v>
      </c>
      <c r="E427" s="182" t="s">
        <v>3145</v>
      </c>
      <c r="F427" s="183" t="s">
        <v>3146</v>
      </c>
      <c r="G427" s="184" t="s">
        <v>641</v>
      </c>
      <c r="H427" s="185">
        <v>1</v>
      </c>
      <c r="I427" s="186"/>
      <c r="J427" s="187">
        <f>ROUND(I427*H427,2)</f>
        <v>0</v>
      </c>
      <c r="K427" s="183" t="s">
        <v>19</v>
      </c>
      <c r="L427" s="41"/>
      <c r="M427" s="188" t="s">
        <v>19</v>
      </c>
      <c r="N427" s="189" t="s">
        <v>43</v>
      </c>
      <c r="O427" s="66"/>
      <c r="P427" s="190">
        <f>O427*H427</f>
        <v>0</v>
      </c>
      <c r="Q427" s="190">
        <v>0</v>
      </c>
      <c r="R427" s="190">
        <f>Q427*H427</f>
        <v>0</v>
      </c>
      <c r="S427" s="190">
        <v>0</v>
      </c>
      <c r="T427" s="191">
        <f>S427*H427</f>
        <v>0</v>
      </c>
      <c r="U427" s="36"/>
      <c r="V427" s="36"/>
      <c r="W427" s="36"/>
      <c r="X427" s="36"/>
      <c r="Y427" s="36"/>
      <c r="Z427" s="36"/>
      <c r="AA427" s="36"/>
      <c r="AB427" s="36"/>
      <c r="AC427" s="36"/>
      <c r="AD427" s="36"/>
      <c r="AE427" s="36"/>
      <c r="AR427" s="192" t="s">
        <v>281</v>
      </c>
      <c r="AT427" s="192" t="s">
        <v>382</v>
      </c>
      <c r="AU427" s="192" t="s">
        <v>82</v>
      </c>
      <c r="AY427" s="19" t="s">
        <v>380</v>
      </c>
      <c r="BE427" s="193">
        <f>IF(N427="základní",J427,0)</f>
        <v>0</v>
      </c>
      <c r="BF427" s="193">
        <f>IF(N427="snížená",J427,0)</f>
        <v>0</v>
      </c>
      <c r="BG427" s="193">
        <f>IF(N427="zákl. přenesená",J427,0)</f>
        <v>0</v>
      </c>
      <c r="BH427" s="193">
        <f>IF(N427="sníž. přenesená",J427,0)</f>
        <v>0</v>
      </c>
      <c r="BI427" s="193">
        <f>IF(N427="nulová",J427,0)</f>
        <v>0</v>
      </c>
      <c r="BJ427" s="19" t="s">
        <v>79</v>
      </c>
      <c r="BK427" s="193">
        <f>ROUND(I427*H427,2)</f>
        <v>0</v>
      </c>
      <c r="BL427" s="19" t="s">
        <v>281</v>
      </c>
      <c r="BM427" s="192" t="s">
        <v>1587</v>
      </c>
    </row>
    <row r="428" spans="1:65" s="2" customFormat="1" ht="19.5">
      <c r="A428" s="36"/>
      <c r="B428" s="37"/>
      <c r="C428" s="38"/>
      <c r="D428" s="196" t="s">
        <v>1226</v>
      </c>
      <c r="E428" s="38"/>
      <c r="F428" s="248" t="s">
        <v>3147</v>
      </c>
      <c r="G428" s="38"/>
      <c r="H428" s="38"/>
      <c r="I428" s="249"/>
      <c r="J428" s="38"/>
      <c r="K428" s="38"/>
      <c r="L428" s="41"/>
      <c r="M428" s="250"/>
      <c r="N428" s="251"/>
      <c r="O428" s="66"/>
      <c r="P428" s="66"/>
      <c r="Q428" s="66"/>
      <c r="R428" s="66"/>
      <c r="S428" s="66"/>
      <c r="T428" s="67"/>
      <c r="U428" s="36"/>
      <c r="V428" s="36"/>
      <c r="W428" s="36"/>
      <c r="X428" s="36"/>
      <c r="Y428" s="36"/>
      <c r="Z428" s="36"/>
      <c r="AA428" s="36"/>
      <c r="AB428" s="36"/>
      <c r="AC428" s="36"/>
      <c r="AD428" s="36"/>
      <c r="AE428" s="36"/>
      <c r="AT428" s="19" t="s">
        <v>1226</v>
      </c>
      <c r="AU428" s="19" t="s">
        <v>82</v>
      </c>
    </row>
    <row r="429" spans="1:65" s="2" customFormat="1" ht="16.5" customHeight="1">
      <c r="A429" s="36"/>
      <c r="B429" s="37"/>
      <c r="C429" s="181" t="s">
        <v>995</v>
      </c>
      <c r="D429" s="181" t="s">
        <v>382</v>
      </c>
      <c r="E429" s="182" t="s">
        <v>3148</v>
      </c>
      <c r="F429" s="183" t="s">
        <v>3149</v>
      </c>
      <c r="G429" s="184" t="s">
        <v>2006</v>
      </c>
      <c r="H429" s="185">
        <v>1</v>
      </c>
      <c r="I429" s="186"/>
      <c r="J429" s="187">
        <f>ROUND(I429*H429,2)</f>
        <v>0</v>
      </c>
      <c r="K429" s="183" t="s">
        <v>19</v>
      </c>
      <c r="L429" s="41"/>
      <c r="M429" s="188" t="s">
        <v>19</v>
      </c>
      <c r="N429" s="189" t="s">
        <v>43</v>
      </c>
      <c r="O429" s="66"/>
      <c r="P429" s="190">
        <f>O429*H429</f>
        <v>0</v>
      </c>
      <c r="Q429" s="190">
        <v>0</v>
      </c>
      <c r="R429" s="190">
        <f>Q429*H429</f>
        <v>0</v>
      </c>
      <c r="S429" s="190">
        <v>0</v>
      </c>
      <c r="T429" s="191">
        <f>S429*H429</f>
        <v>0</v>
      </c>
      <c r="U429" s="36"/>
      <c r="V429" s="36"/>
      <c r="W429" s="36"/>
      <c r="X429" s="36"/>
      <c r="Y429" s="36"/>
      <c r="Z429" s="36"/>
      <c r="AA429" s="36"/>
      <c r="AB429" s="36"/>
      <c r="AC429" s="36"/>
      <c r="AD429" s="36"/>
      <c r="AE429" s="36"/>
      <c r="AR429" s="192" t="s">
        <v>281</v>
      </c>
      <c r="AT429" s="192" t="s">
        <v>382</v>
      </c>
      <c r="AU429" s="192" t="s">
        <v>82</v>
      </c>
      <c r="AY429" s="19" t="s">
        <v>380</v>
      </c>
      <c r="BE429" s="193">
        <f>IF(N429="základní",J429,0)</f>
        <v>0</v>
      </c>
      <c r="BF429" s="193">
        <f>IF(N429="snížená",J429,0)</f>
        <v>0</v>
      </c>
      <c r="BG429" s="193">
        <f>IF(N429="zákl. přenesená",J429,0)</f>
        <v>0</v>
      </c>
      <c r="BH429" s="193">
        <f>IF(N429="sníž. přenesená",J429,0)</f>
        <v>0</v>
      </c>
      <c r="BI429" s="193">
        <f>IF(N429="nulová",J429,0)</f>
        <v>0</v>
      </c>
      <c r="BJ429" s="19" t="s">
        <v>79</v>
      </c>
      <c r="BK429" s="193">
        <f>ROUND(I429*H429,2)</f>
        <v>0</v>
      </c>
      <c r="BL429" s="19" t="s">
        <v>281</v>
      </c>
      <c r="BM429" s="192" t="s">
        <v>1598</v>
      </c>
    </row>
    <row r="430" spans="1:65" s="2" customFormat="1" ht="16.5" customHeight="1">
      <c r="A430" s="36"/>
      <c r="B430" s="37"/>
      <c r="C430" s="181" t="s">
        <v>151</v>
      </c>
      <c r="D430" s="181" t="s">
        <v>382</v>
      </c>
      <c r="E430" s="182" t="s">
        <v>3150</v>
      </c>
      <c r="F430" s="183" t="s">
        <v>3151</v>
      </c>
      <c r="G430" s="184" t="s">
        <v>1334</v>
      </c>
      <c r="H430" s="185">
        <v>2</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281</v>
      </c>
      <c r="AT430" s="192" t="s">
        <v>382</v>
      </c>
      <c r="AU430" s="192" t="s">
        <v>82</v>
      </c>
      <c r="AY430" s="19" t="s">
        <v>380</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281</v>
      </c>
      <c r="BM430" s="192" t="s">
        <v>1610</v>
      </c>
    </row>
    <row r="431" spans="1:65" s="14" customFormat="1" ht="11.25">
      <c r="B431" s="205"/>
      <c r="C431" s="206"/>
      <c r="D431" s="196" t="s">
        <v>388</v>
      </c>
      <c r="E431" s="207" t="s">
        <v>19</v>
      </c>
      <c r="F431" s="208" t="s">
        <v>3152</v>
      </c>
      <c r="G431" s="206"/>
      <c r="H431" s="209">
        <v>2</v>
      </c>
      <c r="I431" s="210"/>
      <c r="J431" s="206"/>
      <c r="K431" s="206"/>
      <c r="L431" s="211"/>
      <c r="M431" s="212"/>
      <c r="N431" s="213"/>
      <c r="O431" s="213"/>
      <c r="P431" s="213"/>
      <c r="Q431" s="213"/>
      <c r="R431" s="213"/>
      <c r="S431" s="213"/>
      <c r="T431" s="214"/>
      <c r="AT431" s="215" t="s">
        <v>388</v>
      </c>
      <c r="AU431" s="215" t="s">
        <v>82</v>
      </c>
      <c r="AV431" s="14" t="s">
        <v>82</v>
      </c>
      <c r="AW431" s="14" t="s">
        <v>33</v>
      </c>
      <c r="AX431" s="14" t="s">
        <v>72</v>
      </c>
      <c r="AY431" s="215" t="s">
        <v>380</v>
      </c>
    </row>
    <row r="432" spans="1:65" s="15" customFormat="1" ht="11.25">
      <c r="B432" s="216"/>
      <c r="C432" s="217"/>
      <c r="D432" s="196" t="s">
        <v>388</v>
      </c>
      <c r="E432" s="218" t="s">
        <v>19</v>
      </c>
      <c r="F432" s="219" t="s">
        <v>419</v>
      </c>
      <c r="G432" s="217"/>
      <c r="H432" s="220">
        <v>2</v>
      </c>
      <c r="I432" s="221"/>
      <c r="J432" s="217"/>
      <c r="K432" s="217"/>
      <c r="L432" s="222"/>
      <c r="M432" s="223"/>
      <c r="N432" s="224"/>
      <c r="O432" s="224"/>
      <c r="P432" s="224"/>
      <c r="Q432" s="224"/>
      <c r="R432" s="224"/>
      <c r="S432" s="224"/>
      <c r="T432" s="225"/>
      <c r="AT432" s="226" t="s">
        <v>388</v>
      </c>
      <c r="AU432" s="226" t="s">
        <v>82</v>
      </c>
      <c r="AV432" s="15" t="s">
        <v>386</v>
      </c>
      <c r="AW432" s="15" t="s">
        <v>33</v>
      </c>
      <c r="AX432" s="15" t="s">
        <v>79</v>
      </c>
      <c r="AY432" s="226" t="s">
        <v>380</v>
      </c>
    </row>
    <row r="433" spans="1:65" s="2" customFormat="1" ht="16.5" customHeight="1">
      <c r="A433" s="36"/>
      <c r="B433" s="37"/>
      <c r="C433" s="227" t="s">
        <v>154</v>
      </c>
      <c r="D433" s="227" t="s">
        <v>465</v>
      </c>
      <c r="E433" s="228" t="s">
        <v>3153</v>
      </c>
      <c r="F433" s="229" t="s">
        <v>3154</v>
      </c>
      <c r="G433" s="230" t="s">
        <v>641</v>
      </c>
      <c r="H433" s="231">
        <v>4</v>
      </c>
      <c r="I433" s="232"/>
      <c r="J433" s="233">
        <f>ROUND(I433*H433,2)</f>
        <v>0</v>
      </c>
      <c r="K433" s="229" t="s">
        <v>19</v>
      </c>
      <c r="L433" s="234"/>
      <c r="M433" s="235" t="s">
        <v>19</v>
      </c>
      <c r="N433" s="236" t="s">
        <v>43</v>
      </c>
      <c r="O433" s="66"/>
      <c r="P433" s="190">
        <f>O433*H433</f>
        <v>0</v>
      </c>
      <c r="Q433" s="190">
        <v>0</v>
      </c>
      <c r="R433" s="190">
        <f>Q433*H433</f>
        <v>0</v>
      </c>
      <c r="S433" s="190">
        <v>0</v>
      </c>
      <c r="T433" s="191">
        <f>S433*H433</f>
        <v>0</v>
      </c>
      <c r="U433" s="36"/>
      <c r="V433" s="36"/>
      <c r="W433" s="36"/>
      <c r="X433" s="36"/>
      <c r="Y433" s="36"/>
      <c r="Z433" s="36"/>
      <c r="AA433" s="36"/>
      <c r="AB433" s="36"/>
      <c r="AC433" s="36"/>
      <c r="AD433" s="36"/>
      <c r="AE433" s="36"/>
      <c r="AR433" s="192" t="s">
        <v>546</v>
      </c>
      <c r="AT433" s="192" t="s">
        <v>465</v>
      </c>
      <c r="AU433" s="192" t="s">
        <v>82</v>
      </c>
      <c r="AY433" s="19" t="s">
        <v>380</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281</v>
      </c>
      <c r="BM433" s="192" t="s">
        <v>1639</v>
      </c>
    </row>
    <row r="434" spans="1:65" s="2" customFormat="1" ht="19.5">
      <c r="A434" s="36"/>
      <c r="B434" s="37"/>
      <c r="C434" s="38"/>
      <c r="D434" s="196" t="s">
        <v>1226</v>
      </c>
      <c r="E434" s="38"/>
      <c r="F434" s="248" t="s">
        <v>3155</v>
      </c>
      <c r="G434" s="38"/>
      <c r="H434" s="38"/>
      <c r="I434" s="249"/>
      <c r="J434" s="38"/>
      <c r="K434" s="38"/>
      <c r="L434" s="41"/>
      <c r="M434" s="250"/>
      <c r="N434" s="251"/>
      <c r="O434" s="66"/>
      <c r="P434" s="66"/>
      <c r="Q434" s="66"/>
      <c r="R434" s="66"/>
      <c r="S434" s="66"/>
      <c r="T434" s="67"/>
      <c r="U434" s="36"/>
      <c r="V434" s="36"/>
      <c r="W434" s="36"/>
      <c r="X434" s="36"/>
      <c r="Y434" s="36"/>
      <c r="Z434" s="36"/>
      <c r="AA434" s="36"/>
      <c r="AB434" s="36"/>
      <c r="AC434" s="36"/>
      <c r="AD434" s="36"/>
      <c r="AE434" s="36"/>
      <c r="AT434" s="19" t="s">
        <v>1226</v>
      </c>
      <c r="AU434" s="19" t="s">
        <v>82</v>
      </c>
    </row>
    <row r="435" spans="1:65" s="2" customFormat="1" ht="24.2" customHeight="1">
      <c r="A435" s="36"/>
      <c r="B435" s="37"/>
      <c r="C435" s="181" t="s">
        <v>157</v>
      </c>
      <c r="D435" s="181" t="s">
        <v>382</v>
      </c>
      <c r="E435" s="182" t="s">
        <v>3156</v>
      </c>
      <c r="F435" s="183" t="s">
        <v>3157</v>
      </c>
      <c r="G435" s="184" t="s">
        <v>3014</v>
      </c>
      <c r="H435" s="257"/>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281</v>
      </c>
      <c r="AT435" s="192" t="s">
        <v>382</v>
      </c>
      <c r="AU435" s="192" t="s">
        <v>82</v>
      </c>
      <c r="AY435" s="19" t="s">
        <v>380</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281</v>
      </c>
      <c r="BM435" s="192" t="s">
        <v>1649</v>
      </c>
    </row>
    <row r="436" spans="1:65" s="12" customFormat="1" ht="22.9" customHeight="1">
      <c r="B436" s="165"/>
      <c r="C436" s="166"/>
      <c r="D436" s="167" t="s">
        <v>71</v>
      </c>
      <c r="E436" s="179" t="s">
        <v>3158</v>
      </c>
      <c r="F436" s="179" t="s">
        <v>3159</v>
      </c>
      <c r="G436" s="166"/>
      <c r="H436" s="166"/>
      <c r="I436" s="169"/>
      <c r="J436" s="180">
        <f>BK436</f>
        <v>0</v>
      </c>
      <c r="K436" s="166"/>
      <c r="L436" s="171"/>
      <c r="M436" s="172"/>
      <c r="N436" s="173"/>
      <c r="O436" s="173"/>
      <c r="P436" s="174">
        <f>SUM(P437:P458)</f>
        <v>0</v>
      </c>
      <c r="Q436" s="173"/>
      <c r="R436" s="174">
        <f>SUM(R437:R458)</f>
        <v>0</v>
      </c>
      <c r="S436" s="173"/>
      <c r="T436" s="175">
        <f>SUM(T437:T458)</f>
        <v>0</v>
      </c>
      <c r="AR436" s="176" t="s">
        <v>82</v>
      </c>
      <c r="AT436" s="177" t="s">
        <v>71</v>
      </c>
      <c r="AU436" s="177" t="s">
        <v>79</v>
      </c>
      <c r="AY436" s="176" t="s">
        <v>380</v>
      </c>
      <c r="BK436" s="178">
        <f>SUM(BK437:BK458)</f>
        <v>0</v>
      </c>
    </row>
    <row r="437" spans="1:65" s="2" customFormat="1" ht="21.75" customHeight="1">
      <c r="A437" s="36"/>
      <c r="B437" s="37"/>
      <c r="C437" s="181" t="s">
        <v>160</v>
      </c>
      <c r="D437" s="181" t="s">
        <v>382</v>
      </c>
      <c r="E437" s="182" t="s">
        <v>3160</v>
      </c>
      <c r="F437" s="183" t="s">
        <v>3161</v>
      </c>
      <c r="G437" s="184" t="s">
        <v>2006</v>
      </c>
      <c r="H437" s="185">
        <v>6</v>
      </c>
      <c r="I437" s="186"/>
      <c r="J437" s="187">
        <f t="shared" ref="J437:J447" si="10">ROUND(I437*H437,2)</f>
        <v>0</v>
      </c>
      <c r="K437" s="183" t="s">
        <v>19</v>
      </c>
      <c r="L437" s="41"/>
      <c r="M437" s="188" t="s">
        <v>19</v>
      </c>
      <c r="N437" s="189" t="s">
        <v>43</v>
      </c>
      <c r="O437" s="66"/>
      <c r="P437" s="190">
        <f t="shared" ref="P437:P447" si="11">O437*H437</f>
        <v>0</v>
      </c>
      <c r="Q437" s="190">
        <v>0</v>
      </c>
      <c r="R437" s="190">
        <f t="shared" ref="R437:R447" si="12">Q437*H437</f>
        <v>0</v>
      </c>
      <c r="S437" s="190">
        <v>0</v>
      </c>
      <c r="T437" s="191">
        <f t="shared" ref="T437:T447" si="13">S437*H437</f>
        <v>0</v>
      </c>
      <c r="U437" s="36"/>
      <c r="V437" s="36"/>
      <c r="W437" s="36"/>
      <c r="X437" s="36"/>
      <c r="Y437" s="36"/>
      <c r="Z437" s="36"/>
      <c r="AA437" s="36"/>
      <c r="AB437" s="36"/>
      <c r="AC437" s="36"/>
      <c r="AD437" s="36"/>
      <c r="AE437" s="36"/>
      <c r="AR437" s="192" t="s">
        <v>281</v>
      </c>
      <c r="AT437" s="192" t="s">
        <v>382</v>
      </c>
      <c r="AU437" s="192" t="s">
        <v>82</v>
      </c>
      <c r="AY437" s="19" t="s">
        <v>380</v>
      </c>
      <c r="BE437" s="193">
        <f t="shared" ref="BE437:BE447" si="14">IF(N437="základní",J437,0)</f>
        <v>0</v>
      </c>
      <c r="BF437" s="193">
        <f t="shared" ref="BF437:BF447" si="15">IF(N437="snížená",J437,0)</f>
        <v>0</v>
      </c>
      <c r="BG437" s="193">
        <f t="shared" ref="BG437:BG447" si="16">IF(N437="zákl. přenesená",J437,0)</f>
        <v>0</v>
      </c>
      <c r="BH437" s="193">
        <f t="shared" ref="BH437:BH447" si="17">IF(N437="sníž. přenesená",J437,0)</f>
        <v>0</v>
      </c>
      <c r="BI437" s="193">
        <f t="shared" ref="BI437:BI447" si="18">IF(N437="nulová",J437,0)</f>
        <v>0</v>
      </c>
      <c r="BJ437" s="19" t="s">
        <v>79</v>
      </c>
      <c r="BK437" s="193">
        <f t="shared" ref="BK437:BK447" si="19">ROUND(I437*H437,2)</f>
        <v>0</v>
      </c>
      <c r="BL437" s="19" t="s">
        <v>281</v>
      </c>
      <c r="BM437" s="192" t="s">
        <v>190</v>
      </c>
    </row>
    <row r="438" spans="1:65" s="2" customFormat="1" ht="16.5" customHeight="1">
      <c r="A438" s="36"/>
      <c r="B438" s="37"/>
      <c r="C438" s="181" t="s">
        <v>1016</v>
      </c>
      <c r="D438" s="181" t="s">
        <v>382</v>
      </c>
      <c r="E438" s="182" t="s">
        <v>3162</v>
      </c>
      <c r="F438" s="183" t="s">
        <v>3163</v>
      </c>
      <c r="G438" s="184" t="s">
        <v>2006</v>
      </c>
      <c r="H438" s="185">
        <v>1</v>
      </c>
      <c r="I438" s="186"/>
      <c r="J438" s="187">
        <f t="shared" si="10"/>
        <v>0</v>
      </c>
      <c r="K438" s="183" t="s">
        <v>19</v>
      </c>
      <c r="L438" s="41"/>
      <c r="M438" s="188" t="s">
        <v>19</v>
      </c>
      <c r="N438" s="189" t="s">
        <v>43</v>
      </c>
      <c r="O438" s="66"/>
      <c r="P438" s="190">
        <f t="shared" si="11"/>
        <v>0</v>
      </c>
      <c r="Q438" s="190">
        <v>0</v>
      </c>
      <c r="R438" s="190">
        <f t="shared" si="12"/>
        <v>0</v>
      </c>
      <c r="S438" s="190">
        <v>0</v>
      </c>
      <c r="T438" s="191">
        <f t="shared" si="13"/>
        <v>0</v>
      </c>
      <c r="U438" s="36"/>
      <c r="V438" s="36"/>
      <c r="W438" s="36"/>
      <c r="X438" s="36"/>
      <c r="Y438" s="36"/>
      <c r="Z438" s="36"/>
      <c r="AA438" s="36"/>
      <c r="AB438" s="36"/>
      <c r="AC438" s="36"/>
      <c r="AD438" s="36"/>
      <c r="AE438" s="36"/>
      <c r="AR438" s="192" t="s">
        <v>281</v>
      </c>
      <c r="AT438" s="192" t="s">
        <v>382</v>
      </c>
      <c r="AU438" s="192" t="s">
        <v>82</v>
      </c>
      <c r="AY438" s="19" t="s">
        <v>380</v>
      </c>
      <c r="BE438" s="193">
        <f t="shared" si="14"/>
        <v>0</v>
      </c>
      <c r="BF438" s="193">
        <f t="shared" si="15"/>
        <v>0</v>
      </c>
      <c r="BG438" s="193">
        <f t="shared" si="16"/>
        <v>0</v>
      </c>
      <c r="BH438" s="193">
        <f t="shared" si="17"/>
        <v>0</v>
      </c>
      <c r="BI438" s="193">
        <f t="shared" si="18"/>
        <v>0</v>
      </c>
      <c r="BJ438" s="19" t="s">
        <v>79</v>
      </c>
      <c r="BK438" s="193">
        <f t="shared" si="19"/>
        <v>0</v>
      </c>
      <c r="BL438" s="19" t="s">
        <v>281</v>
      </c>
      <c r="BM438" s="192" t="s">
        <v>1667</v>
      </c>
    </row>
    <row r="439" spans="1:65" s="2" customFormat="1" ht="24.2" customHeight="1">
      <c r="A439" s="36"/>
      <c r="B439" s="37"/>
      <c r="C439" s="181" t="s">
        <v>163</v>
      </c>
      <c r="D439" s="181" t="s">
        <v>382</v>
      </c>
      <c r="E439" s="182" t="s">
        <v>3164</v>
      </c>
      <c r="F439" s="183" t="s">
        <v>3165</v>
      </c>
      <c r="G439" s="184" t="s">
        <v>2006</v>
      </c>
      <c r="H439" s="185">
        <v>18</v>
      </c>
      <c r="I439" s="186"/>
      <c r="J439" s="187">
        <f t="shared" si="10"/>
        <v>0</v>
      </c>
      <c r="K439" s="183" t="s">
        <v>19</v>
      </c>
      <c r="L439" s="41"/>
      <c r="M439" s="188" t="s">
        <v>19</v>
      </c>
      <c r="N439" s="189" t="s">
        <v>43</v>
      </c>
      <c r="O439" s="66"/>
      <c r="P439" s="190">
        <f t="shared" si="11"/>
        <v>0</v>
      </c>
      <c r="Q439" s="190">
        <v>0</v>
      </c>
      <c r="R439" s="190">
        <f t="shared" si="12"/>
        <v>0</v>
      </c>
      <c r="S439" s="190">
        <v>0</v>
      </c>
      <c r="T439" s="191">
        <f t="shared" si="13"/>
        <v>0</v>
      </c>
      <c r="U439" s="36"/>
      <c r="V439" s="36"/>
      <c r="W439" s="36"/>
      <c r="X439" s="36"/>
      <c r="Y439" s="36"/>
      <c r="Z439" s="36"/>
      <c r="AA439" s="36"/>
      <c r="AB439" s="36"/>
      <c r="AC439" s="36"/>
      <c r="AD439" s="36"/>
      <c r="AE439" s="36"/>
      <c r="AR439" s="192" t="s">
        <v>281</v>
      </c>
      <c r="AT439" s="192" t="s">
        <v>382</v>
      </c>
      <c r="AU439" s="192" t="s">
        <v>82</v>
      </c>
      <c r="AY439" s="19" t="s">
        <v>380</v>
      </c>
      <c r="BE439" s="193">
        <f t="shared" si="14"/>
        <v>0</v>
      </c>
      <c r="BF439" s="193">
        <f t="shared" si="15"/>
        <v>0</v>
      </c>
      <c r="BG439" s="193">
        <f t="shared" si="16"/>
        <v>0</v>
      </c>
      <c r="BH439" s="193">
        <f t="shared" si="17"/>
        <v>0</v>
      </c>
      <c r="BI439" s="193">
        <f t="shared" si="18"/>
        <v>0</v>
      </c>
      <c r="BJ439" s="19" t="s">
        <v>79</v>
      </c>
      <c r="BK439" s="193">
        <f t="shared" si="19"/>
        <v>0</v>
      </c>
      <c r="BL439" s="19" t="s">
        <v>281</v>
      </c>
      <c r="BM439" s="192" t="s">
        <v>1675</v>
      </c>
    </row>
    <row r="440" spans="1:65" s="2" customFormat="1" ht="24.2" customHeight="1">
      <c r="A440" s="36"/>
      <c r="B440" s="37"/>
      <c r="C440" s="181" t="s">
        <v>1024</v>
      </c>
      <c r="D440" s="181" t="s">
        <v>382</v>
      </c>
      <c r="E440" s="182" t="s">
        <v>3166</v>
      </c>
      <c r="F440" s="183" t="s">
        <v>3167</v>
      </c>
      <c r="G440" s="184" t="s">
        <v>2006</v>
      </c>
      <c r="H440" s="185">
        <v>1</v>
      </c>
      <c r="I440" s="186"/>
      <c r="J440" s="187">
        <f t="shared" si="10"/>
        <v>0</v>
      </c>
      <c r="K440" s="183" t="s">
        <v>19</v>
      </c>
      <c r="L440" s="41"/>
      <c r="M440" s="188" t="s">
        <v>19</v>
      </c>
      <c r="N440" s="189" t="s">
        <v>43</v>
      </c>
      <c r="O440" s="66"/>
      <c r="P440" s="190">
        <f t="shared" si="11"/>
        <v>0</v>
      </c>
      <c r="Q440" s="190">
        <v>0</v>
      </c>
      <c r="R440" s="190">
        <f t="shared" si="12"/>
        <v>0</v>
      </c>
      <c r="S440" s="190">
        <v>0</v>
      </c>
      <c r="T440" s="191">
        <f t="shared" si="13"/>
        <v>0</v>
      </c>
      <c r="U440" s="36"/>
      <c r="V440" s="36"/>
      <c r="W440" s="36"/>
      <c r="X440" s="36"/>
      <c r="Y440" s="36"/>
      <c r="Z440" s="36"/>
      <c r="AA440" s="36"/>
      <c r="AB440" s="36"/>
      <c r="AC440" s="36"/>
      <c r="AD440" s="36"/>
      <c r="AE440" s="36"/>
      <c r="AR440" s="192" t="s">
        <v>281</v>
      </c>
      <c r="AT440" s="192" t="s">
        <v>382</v>
      </c>
      <c r="AU440" s="192" t="s">
        <v>82</v>
      </c>
      <c r="AY440" s="19" t="s">
        <v>380</v>
      </c>
      <c r="BE440" s="193">
        <f t="shared" si="14"/>
        <v>0</v>
      </c>
      <c r="BF440" s="193">
        <f t="shared" si="15"/>
        <v>0</v>
      </c>
      <c r="BG440" s="193">
        <f t="shared" si="16"/>
        <v>0</v>
      </c>
      <c r="BH440" s="193">
        <f t="shared" si="17"/>
        <v>0</v>
      </c>
      <c r="BI440" s="193">
        <f t="shared" si="18"/>
        <v>0</v>
      </c>
      <c r="BJ440" s="19" t="s">
        <v>79</v>
      </c>
      <c r="BK440" s="193">
        <f t="shared" si="19"/>
        <v>0</v>
      </c>
      <c r="BL440" s="19" t="s">
        <v>281</v>
      </c>
      <c r="BM440" s="192" t="s">
        <v>1693</v>
      </c>
    </row>
    <row r="441" spans="1:65" s="2" customFormat="1" ht="24.2" customHeight="1">
      <c r="A441" s="36"/>
      <c r="B441" s="37"/>
      <c r="C441" s="181" t="s">
        <v>1029</v>
      </c>
      <c r="D441" s="181" t="s">
        <v>382</v>
      </c>
      <c r="E441" s="182" t="s">
        <v>3168</v>
      </c>
      <c r="F441" s="183" t="s">
        <v>3169</v>
      </c>
      <c r="G441" s="184" t="s">
        <v>2006</v>
      </c>
      <c r="H441" s="185">
        <v>1</v>
      </c>
      <c r="I441" s="186"/>
      <c r="J441" s="187">
        <f t="shared" si="10"/>
        <v>0</v>
      </c>
      <c r="K441" s="183" t="s">
        <v>19</v>
      </c>
      <c r="L441" s="41"/>
      <c r="M441" s="188" t="s">
        <v>19</v>
      </c>
      <c r="N441" s="189" t="s">
        <v>43</v>
      </c>
      <c r="O441" s="66"/>
      <c r="P441" s="190">
        <f t="shared" si="11"/>
        <v>0</v>
      </c>
      <c r="Q441" s="190">
        <v>0</v>
      </c>
      <c r="R441" s="190">
        <f t="shared" si="12"/>
        <v>0</v>
      </c>
      <c r="S441" s="190">
        <v>0</v>
      </c>
      <c r="T441" s="191">
        <f t="shared" si="13"/>
        <v>0</v>
      </c>
      <c r="U441" s="36"/>
      <c r="V441" s="36"/>
      <c r="W441" s="36"/>
      <c r="X441" s="36"/>
      <c r="Y441" s="36"/>
      <c r="Z441" s="36"/>
      <c r="AA441" s="36"/>
      <c r="AB441" s="36"/>
      <c r="AC441" s="36"/>
      <c r="AD441" s="36"/>
      <c r="AE441" s="36"/>
      <c r="AR441" s="192" t="s">
        <v>281</v>
      </c>
      <c r="AT441" s="192" t="s">
        <v>382</v>
      </c>
      <c r="AU441" s="192" t="s">
        <v>82</v>
      </c>
      <c r="AY441" s="19" t="s">
        <v>380</v>
      </c>
      <c r="BE441" s="193">
        <f t="shared" si="14"/>
        <v>0</v>
      </c>
      <c r="BF441" s="193">
        <f t="shared" si="15"/>
        <v>0</v>
      </c>
      <c r="BG441" s="193">
        <f t="shared" si="16"/>
        <v>0</v>
      </c>
      <c r="BH441" s="193">
        <f t="shared" si="17"/>
        <v>0</v>
      </c>
      <c r="BI441" s="193">
        <f t="shared" si="18"/>
        <v>0</v>
      </c>
      <c r="BJ441" s="19" t="s">
        <v>79</v>
      </c>
      <c r="BK441" s="193">
        <f t="shared" si="19"/>
        <v>0</v>
      </c>
      <c r="BL441" s="19" t="s">
        <v>281</v>
      </c>
      <c r="BM441" s="192" t="s">
        <v>1705</v>
      </c>
    </row>
    <row r="442" spans="1:65" s="2" customFormat="1" ht="24.2" customHeight="1">
      <c r="A442" s="36"/>
      <c r="B442" s="37"/>
      <c r="C442" s="181" t="s">
        <v>1034</v>
      </c>
      <c r="D442" s="181" t="s">
        <v>382</v>
      </c>
      <c r="E442" s="182" t="s">
        <v>3170</v>
      </c>
      <c r="F442" s="183" t="s">
        <v>3171</v>
      </c>
      <c r="G442" s="184" t="s">
        <v>2006</v>
      </c>
      <c r="H442" s="185">
        <v>2</v>
      </c>
      <c r="I442" s="186"/>
      <c r="J442" s="187">
        <f t="shared" si="10"/>
        <v>0</v>
      </c>
      <c r="K442" s="183" t="s">
        <v>19</v>
      </c>
      <c r="L442" s="41"/>
      <c r="M442" s="188" t="s">
        <v>19</v>
      </c>
      <c r="N442" s="189" t="s">
        <v>43</v>
      </c>
      <c r="O442" s="66"/>
      <c r="P442" s="190">
        <f t="shared" si="11"/>
        <v>0</v>
      </c>
      <c r="Q442" s="190">
        <v>0</v>
      </c>
      <c r="R442" s="190">
        <f t="shared" si="12"/>
        <v>0</v>
      </c>
      <c r="S442" s="190">
        <v>0</v>
      </c>
      <c r="T442" s="191">
        <f t="shared" si="13"/>
        <v>0</v>
      </c>
      <c r="U442" s="36"/>
      <c r="V442" s="36"/>
      <c r="W442" s="36"/>
      <c r="X442" s="36"/>
      <c r="Y442" s="36"/>
      <c r="Z442" s="36"/>
      <c r="AA442" s="36"/>
      <c r="AB442" s="36"/>
      <c r="AC442" s="36"/>
      <c r="AD442" s="36"/>
      <c r="AE442" s="36"/>
      <c r="AR442" s="192" t="s">
        <v>281</v>
      </c>
      <c r="AT442" s="192" t="s">
        <v>382</v>
      </c>
      <c r="AU442" s="192" t="s">
        <v>82</v>
      </c>
      <c r="AY442" s="19" t="s">
        <v>380</v>
      </c>
      <c r="BE442" s="193">
        <f t="shared" si="14"/>
        <v>0</v>
      </c>
      <c r="BF442" s="193">
        <f t="shared" si="15"/>
        <v>0</v>
      </c>
      <c r="BG442" s="193">
        <f t="shared" si="16"/>
        <v>0</v>
      </c>
      <c r="BH442" s="193">
        <f t="shared" si="17"/>
        <v>0</v>
      </c>
      <c r="BI442" s="193">
        <f t="shared" si="18"/>
        <v>0</v>
      </c>
      <c r="BJ442" s="19" t="s">
        <v>79</v>
      </c>
      <c r="BK442" s="193">
        <f t="shared" si="19"/>
        <v>0</v>
      </c>
      <c r="BL442" s="19" t="s">
        <v>281</v>
      </c>
      <c r="BM442" s="192" t="s">
        <v>1715</v>
      </c>
    </row>
    <row r="443" spans="1:65" s="2" customFormat="1" ht="21.75" customHeight="1">
      <c r="A443" s="36"/>
      <c r="B443" s="37"/>
      <c r="C443" s="181" t="s">
        <v>1039</v>
      </c>
      <c r="D443" s="181" t="s">
        <v>382</v>
      </c>
      <c r="E443" s="182" t="s">
        <v>3172</v>
      </c>
      <c r="F443" s="183" t="s">
        <v>3173</v>
      </c>
      <c r="G443" s="184" t="s">
        <v>2006</v>
      </c>
      <c r="H443" s="185">
        <v>3</v>
      </c>
      <c r="I443" s="186"/>
      <c r="J443" s="187">
        <f t="shared" si="10"/>
        <v>0</v>
      </c>
      <c r="K443" s="183" t="s">
        <v>19</v>
      </c>
      <c r="L443" s="41"/>
      <c r="M443" s="188" t="s">
        <v>19</v>
      </c>
      <c r="N443" s="189" t="s">
        <v>43</v>
      </c>
      <c r="O443" s="66"/>
      <c r="P443" s="190">
        <f t="shared" si="11"/>
        <v>0</v>
      </c>
      <c r="Q443" s="190">
        <v>0</v>
      </c>
      <c r="R443" s="190">
        <f t="shared" si="12"/>
        <v>0</v>
      </c>
      <c r="S443" s="190">
        <v>0</v>
      </c>
      <c r="T443" s="191">
        <f t="shared" si="13"/>
        <v>0</v>
      </c>
      <c r="U443" s="36"/>
      <c r="V443" s="36"/>
      <c r="W443" s="36"/>
      <c r="X443" s="36"/>
      <c r="Y443" s="36"/>
      <c r="Z443" s="36"/>
      <c r="AA443" s="36"/>
      <c r="AB443" s="36"/>
      <c r="AC443" s="36"/>
      <c r="AD443" s="36"/>
      <c r="AE443" s="36"/>
      <c r="AR443" s="192" t="s">
        <v>281</v>
      </c>
      <c r="AT443" s="192" t="s">
        <v>382</v>
      </c>
      <c r="AU443" s="192" t="s">
        <v>82</v>
      </c>
      <c r="AY443" s="19" t="s">
        <v>380</v>
      </c>
      <c r="BE443" s="193">
        <f t="shared" si="14"/>
        <v>0</v>
      </c>
      <c r="BF443" s="193">
        <f t="shared" si="15"/>
        <v>0</v>
      </c>
      <c r="BG443" s="193">
        <f t="shared" si="16"/>
        <v>0</v>
      </c>
      <c r="BH443" s="193">
        <f t="shared" si="17"/>
        <v>0</v>
      </c>
      <c r="BI443" s="193">
        <f t="shared" si="18"/>
        <v>0</v>
      </c>
      <c r="BJ443" s="19" t="s">
        <v>79</v>
      </c>
      <c r="BK443" s="193">
        <f t="shared" si="19"/>
        <v>0</v>
      </c>
      <c r="BL443" s="19" t="s">
        <v>281</v>
      </c>
      <c r="BM443" s="192" t="s">
        <v>1726</v>
      </c>
    </row>
    <row r="444" spans="1:65" s="2" customFormat="1" ht="16.5" customHeight="1">
      <c r="A444" s="36"/>
      <c r="B444" s="37"/>
      <c r="C444" s="181" t="s">
        <v>1043</v>
      </c>
      <c r="D444" s="181" t="s">
        <v>382</v>
      </c>
      <c r="E444" s="182" t="s">
        <v>3174</v>
      </c>
      <c r="F444" s="183" t="s">
        <v>3175</v>
      </c>
      <c r="G444" s="184" t="s">
        <v>2006</v>
      </c>
      <c r="H444" s="185">
        <v>9</v>
      </c>
      <c r="I444" s="186"/>
      <c r="J444" s="187">
        <f t="shared" si="10"/>
        <v>0</v>
      </c>
      <c r="K444" s="183" t="s">
        <v>19</v>
      </c>
      <c r="L444" s="41"/>
      <c r="M444" s="188" t="s">
        <v>19</v>
      </c>
      <c r="N444" s="189" t="s">
        <v>43</v>
      </c>
      <c r="O444" s="66"/>
      <c r="P444" s="190">
        <f t="shared" si="11"/>
        <v>0</v>
      </c>
      <c r="Q444" s="190">
        <v>0</v>
      </c>
      <c r="R444" s="190">
        <f t="shared" si="12"/>
        <v>0</v>
      </c>
      <c r="S444" s="190">
        <v>0</v>
      </c>
      <c r="T444" s="191">
        <f t="shared" si="13"/>
        <v>0</v>
      </c>
      <c r="U444" s="36"/>
      <c r="V444" s="36"/>
      <c r="W444" s="36"/>
      <c r="X444" s="36"/>
      <c r="Y444" s="36"/>
      <c r="Z444" s="36"/>
      <c r="AA444" s="36"/>
      <c r="AB444" s="36"/>
      <c r="AC444" s="36"/>
      <c r="AD444" s="36"/>
      <c r="AE444" s="36"/>
      <c r="AR444" s="192" t="s">
        <v>281</v>
      </c>
      <c r="AT444" s="192" t="s">
        <v>382</v>
      </c>
      <c r="AU444" s="192" t="s">
        <v>82</v>
      </c>
      <c r="AY444" s="19" t="s">
        <v>380</v>
      </c>
      <c r="BE444" s="193">
        <f t="shared" si="14"/>
        <v>0</v>
      </c>
      <c r="BF444" s="193">
        <f t="shared" si="15"/>
        <v>0</v>
      </c>
      <c r="BG444" s="193">
        <f t="shared" si="16"/>
        <v>0</v>
      </c>
      <c r="BH444" s="193">
        <f t="shared" si="17"/>
        <v>0</v>
      </c>
      <c r="BI444" s="193">
        <f t="shared" si="18"/>
        <v>0</v>
      </c>
      <c r="BJ444" s="19" t="s">
        <v>79</v>
      </c>
      <c r="BK444" s="193">
        <f t="shared" si="19"/>
        <v>0</v>
      </c>
      <c r="BL444" s="19" t="s">
        <v>281</v>
      </c>
      <c r="BM444" s="192" t="s">
        <v>1736</v>
      </c>
    </row>
    <row r="445" spans="1:65" s="2" customFormat="1" ht="24.2" customHeight="1">
      <c r="A445" s="36"/>
      <c r="B445" s="37"/>
      <c r="C445" s="181" t="s">
        <v>1049</v>
      </c>
      <c r="D445" s="181" t="s">
        <v>382</v>
      </c>
      <c r="E445" s="182" t="s">
        <v>3176</v>
      </c>
      <c r="F445" s="183" t="s">
        <v>3177</v>
      </c>
      <c r="G445" s="184" t="s">
        <v>2006</v>
      </c>
      <c r="H445" s="185">
        <v>1</v>
      </c>
      <c r="I445" s="186"/>
      <c r="J445" s="187">
        <f t="shared" si="10"/>
        <v>0</v>
      </c>
      <c r="K445" s="183" t="s">
        <v>19</v>
      </c>
      <c r="L445" s="41"/>
      <c r="M445" s="188" t="s">
        <v>19</v>
      </c>
      <c r="N445" s="189" t="s">
        <v>43</v>
      </c>
      <c r="O445" s="66"/>
      <c r="P445" s="190">
        <f t="shared" si="11"/>
        <v>0</v>
      </c>
      <c r="Q445" s="190">
        <v>0</v>
      </c>
      <c r="R445" s="190">
        <f t="shared" si="12"/>
        <v>0</v>
      </c>
      <c r="S445" s="190">
        <v>0</v>
      </c>
      <c r="T445" s="191">
        <f t="shared" si="13"/>
        <v>0</v>
      </c>
      <c r="U445" s="36"/>
      <c r="V445" s="36"/>
      <c r="W445" s="36"/>
      <c r="X445" s="36"/>
      <c r="Y445" s="36"/>
      <c r="Z445" s="36"/>
      <c r="AA445" s="36"/>
      <c r="AB445" s="36"/>
      <c r="AC445" s="36"/>
      <c r="AD445" s="36"/>
      <c r="AE445" s="36"/>
      <c r="AR445" s="192" t="s">
        <v>281</v>
      </c>
      <c r="AT445" s="192" t="s">
        <v>382</v>
      </c>
      <c r="AU445" s="192" t="s">
        <v>82</v>
      </c>
      <c r="AY445" s="19" t="s">
        <v>380</v>
      </c>
      <c r="BE445" s="193">
        <f t="shared" si="14"/>
        <v>0</v>
      </c>
      <c r="BF445" s="193">
        <f t="shared" si="15"/>
        <v>0</v>
      </c>
      <c r="BG445" s="193">
        <f t="shared" si="16"/>
        <v>0</v>
      </c>
      <c r="BH445" s="193">
        <f t="shared" si="17"/>
        <v>0</v>
      </c>
      <c r="BI445" s="193">
        <f t="shared" si="18"/>
        <v>0</v>
      </c>
      <c r="BJ445" s="19" t="s">
        <v>79</v>
      </c>
      <c r="BK445" s="193">
        <f t="shared" si="19"/>
        <v>0</v>
      </c>
      <c r="BL445" s="19" t="s">
        <v>281</v>
      </c>
      <c r="BM445" s="192" t="s">
        <v>1746</v>
      </c>
    </row>
    <row r="446" spans="1:65" s="2" customFormat="1" ht="24.2" customHeight="1">
      <c r="A446" s="36"/>
      <c r="B446" s="37"/>
      <c r="C446" s="181" t="s">
        <v>1054</v>
      </c>
      <c r="D446" s="181" t="s">
        <v>382</v>
      </c>
      <c r="E446" s="182" t="s">
        <v>3178</v>
      </c>
      <c r="F446" s="183" t="s">
        <v>3179</v>
      </c>
      <c r="G446" s="184" t="s">
        <v>2006</v>
      </c>
      <c r="H446" s="185">
        <v>3</v>
      </c>
      <c r="I446" s="186"/>
      <c r="J446" s="187">
        <f t="shared" si="10"/>
        <v>0</v>
      </c>
      <c r="K446" s="183" t="s">
        <v>19</v>
      </c>
      <c r="L446" s="41"/>
      <c r="M446" s="188" t="s">
        <v>19</v>
      </c>
      <c r="N446" s="189" t="s">
        <v>43</v>
      </c>
      <c r="O446" s="66"/>
      <c r="P446" s="190">
        <f t="shared" si="11"/>
        <v>0</v>
      </c>
      <c r="Q446" s="190">
        <v>0</v>
      </c>
      <c r="R446" s="190">
        <f t="shared" si="12"/>
        <v>0</v>
      </c>
      <c r="S446" s="190">
        <v>0</v>
      </c>
      <c r="T446" s="191">
        <f t="shared" si="13"/>
        <v>0</v>
      </c>
      <c r="U446" s="36"/>
      <c r="V446" s="36"/>
      <c r="W446" s="36"/>
      <c r="X446" s="36"/>
      <c r="Y446" s="36"/>
      <c r="Z446" s="36"/>
      <c r="AA446" s="36"/>
      <c r="AB446" s="36"/>
      <c r="AC446" s="36"/>
      <c r="AD446" s="36"/>
      <c r="AE446" s="36"/>
      <c r="AR446" s="192" t="s">
        <v>281</v>
      </c>
      <c r="AT446" s="192" t="s">
        <v>382</v>
      </c>
      <c r="AU446" s="192" t="s">
        <v>82</v>
      </c>
      <c r="AY446" s="19" t="s">
        <v>380</v>
      </c>
      <c r="BE446" s="193">
        <f t="shared" si="14"/>
        <v>0</v>
      </c>
      <c r="BF446" s="193">
        <f t="shared" si="15"/>
        <v>0</v>
      </c>
      <c r="BG446" s="193">
        <f t="shared" si="16"/>
        <v>0</v>
      </c>
      <c r="BH446" s="193">
        <f t="shared" si="17"/>
        <v>0</v>
      </c>
      <c r="BI446" s="193">
        <f t="shared" si="18"/>
        <v>0</v>
      </c>
      <c r="BJ446" s="19" t="s">
        <v>79</v>
      </c>
      <c r="BK446" s="193">
        <f t="shared" si="19"/>
        <v>0</v>
      </c>
      <c r="BL446" s="19" t="s">
        <v>281</v>
      </c>
      <c r="BM446" s="192" t="s">
        <v>1756</v>
      </c>
    </row>
    <row r="447" spans="1:65" s="2" customFormat="1" ht="16.5" customHeight="1">
      <c r="A447" s="36"/>
      <c r="B447" s="37"/>
      <c r="C447" s="181" t="s">
        <v>1059</v>
      </c>
      <c r="D447" s="181" t="s">
        <v>382</v>
      </c>
      <c r="E447" s="182" t="s">
        <v>3180</v>
      </c>
      <c r="F447" s="183" t="s">
        <v>3181</v>
      </c>
      <c r="G447" s="184" t="s">
        <v>2006</v>
      </c>
      <c r="H447" s="185">
        <v>3</v>
      </c>
      <c r="I447" s="186"/>
      <c r="J447" s="187">
        <f t="shared" si="10"/>
        <v>0</v>
      </c>
      <c r="K447" s="183" t="s">
        <v>19</v>
      </c>
      <c r="L447" s="41"/>
      <c r="M447" s="188" t="s">
        <v>19</v>
      </c>
      <c r="N447" s="189" t="s">
        <v>43</v>
      </c>
      <c r="O447" s="66"/>
      <c r="P447" s="190">
        <f t="shared" si="11"/>
        <v>0</v>
      </c>
      <c r="Q447" s="190">
        <v>0</v>
      </c>
      <c r="R447" s="190">
        <f t="shared" si="12"/>
        <v>0</v>
      </c>
      <c r="S447" s="190">
        <v>0</v>
      </c>
      <c r="T447" s="191">
        <f t="shared" si="13"/>
        <v>0</v>
      </c>
      <c r="U447" s="36"/>
      <c r="V447" s="36"/>
      <c r="W447" s="36"/>
      <c r="X447" s="36"/>
      <c r="Y447" s="36"/>
      <c r="Z447" s="36"/>
      <c r="AA447" s="36"/>
      <c r="AB447" s="36"/>
      <c r="AC447" s="36"/>
      <c r="AD447" s="36"/>
      <c r="AE447" s="36"/>
      <c r="AR447" s="192" t="s">
        <v>281</v>
      </c>
      <c r="AT447" s="192" t="s">
        <v>382</v>
      </c>
      <c r="AU447" s="192" t="s">
        <v>82</v>
      </c>
      <c r="AY447" s="19" t="s">
        <v>380</v>
      </c>
      <c r="BE447" s="193">
        <f t="shared" si="14"/>
        <v>0</v>
      </c>
      <c r="BF447" s="193">
        <f t="shared" si="15"/>
        <v>0</v>
      </c>
      <c r="BG447" s="193">
        <f t="shared" si="16"/>
        <v>0</v>
      </c>
      <c r="BH447" s="193">
        <f t="shared" si="17"/>
        <v>0</v>
      </c>
      <c r="BI447" s="193">
        <f t="shared" si="18"/>
        <v>0</v>
      </c>
      <c r="BJ447" s="19" t="s">
        <v>79</v>
      </c>
      <c r="BK447" s="193">
        <f t="shared" si="19"/>
        <v>0</v>
      </c>
      <c r="BL447" s="19" t="s">
        <v>281</v>
      </c>
      <c r="BM447" s="192" t="s">
        <v>1771</v>
      </c>
    </row>
    <row r="448" spans="1:65" s="13" customFormat="1" ht="11.25">
      <c r="B448" s="194"/>
      <c r="C448" s="195"/>
      <c r="D448" s="196" t="s">
        <v>388</v>
      </c>
      <c r="E448" s="197" t="s">
        <v>19</v>
      </c>
      <c r="F448" s="198" t="s">
        <v>3182</v>
      </c>
      <c r="G448" s="195"/>
      <c r="H448" s="197" t="s">
        <v>19</v>
      </c>
      <c r="I448" s="199"/>
      <c r="J448" s="195"/>
      <c r="K448" s="195"/>
      <c r="L448" s="200"/>
      <c r="M448" s="201"/>
      <c r="N448" s="202"/>
      <c r="O448" s="202"/>
      <c r="P448" s="202"/>
      <c r="Q448" s="202"/>
      <c r="R448" s="202"/>
      <c r="S448" s="202"/>
      <c r="T448" s="203"/>
      <c r="AT448" s="204" t="s">
        <v>388</v>
      </c>
      <c r="AU448" s="204" t="s">
        <v>82</v>
      </c>
      <c r="AV448" s="13" t="s">
        <v>79</v>
      </c>
      <c r="AW448" s="13" t="s">
        <v>33</v>
      </c>
      <c r="AX448" s="13" t="s">
        <v>72</v>
      </c>
      <c r="AY448" s="204" t="s">
        <v>380</v>
      </c>
    </row>
    <row r="449" spans="1:65" s="14" customFormat="1" ht="11.25">
      <c r="B449" s="205"/>
      <c r="C449" s="206"/>
      <c r="D449" s="196" t="s">
        <v>388</v>
      </c>
      <c r="E449" s="207" t="s">
        <v>19</v>
      </c>
      <c r="F449" s="208" t="s">
        <v>3183</v>
      </c>
      <c r="G449" s="206"/>
      <c r="H449" s="209">
        <v>3</v>
      </c>
      <c r="I449" s="210"/>
      <c r="J449" s="206"/>
      <c r="K449" s="206"/>
      <c r="L449" s="211"/>
      <c r="M449" s="212"/>
      <c r="N449" s="213"/>
      <c r="O449" s="213"/>
      <c r="P449" s="213"/>
      <c r="Q449" s="213"/>
      <c r="R449" s="213"/>
      <c r="S449" s="213"/>
      <c r="T449" s="214"/>
      <c r="AT449" s="215" t="s">
        <v>388</v>
      </c>
      <c r="AU449" s="215" t="s">
        <v>82</v>
      </c>
      <c r="AV449" s="14" t="s">
        <v>82</v>
      </c>
      <c r="AW449" s="14" t="s">
        <v>33</v>
      </c>
      <c r="AX449" s="14" t="s">
        <v>72</v>
      </c>
      <c r="AY449" s="215" t="s">
        <v>380</v>
      </c>
    </row>
    <row r="450" spans="1:65" s="15" customFormat="1" ht="11.25">
      <c r="B450" s="216"/>
      <c r="C450" s="217"/>
      <c r="D450" s="196" t="s">
        <v>388</v>
      </c>
      <c r="E450" s="218" t="s">
        <v>19</v>
      </c>
      <c r="F450" s="219" t="s">
        <v>419</v>
      </c>
      <c r="G450" s="217"/>
      <c r="H450" s="220">
        <v>3</v>
      </c>
      <c r="I450" s="221"/>
      <c r="J450" s="217"/>
      <c r="K450" s="217"/>
      <c r="L450" s="222"/>
      <c r="M450" s="223"/>
      <c r="N450" s="224"/>
      <c r="O450" s="224"/>
      <c r="P450" s="224"/>
      <c r="Q450" s="224"/>
      <c r="R450" s="224"/>
      <c r="S450" s="224"/>
      <c r="T450" s="225"/>
      <c r="AT450" s="226" t="s">
        <v>388</v>
      </c>
      <c r="AU450" s="226" t="s">
        <v>82</v>
      </c>
      <c r="AV450" s="15" t="s">
        <v>386</v>
      </c>
      <c r="AW450" s="15" t="s">
        <v>33</v>
      </c>
      <c r="AX450" s="15" t="s">
        <v>79</v>
      </c>
      <c r="AY450" s="226" t="s">
        <v>380</v>
      </c>
    </row>
    <row r="451" spans="1:65" s="2" customFormat="1" ht="16.5" customHeight="1">
      <c r="A451" s="36"/>
      <c r="B451" s="37"/>
      <c r="C451" s="181" t="s">
        <v>1064</v>
      </c>
      <c r="D451" s="181" t="s">
        <v>382</v>
      </c>
      <c r="E451" s="182" t="s">
        <v>3184</v>
      </c>
      <c r="F451" s="183" t="s">
        <v>3185</v>
      </c>
      <c r="G451" s="184" t="s">
        <v>2006</v>
      </c>
      <c r="H451" s="185">
        <v>2</v>
      </c>
      <c r="I451" s="186"/>
      <c r="J451" s="187">
        <f>ROUND(I451*H451,2)</f>
        <v>0</v>
      </c>
      <c r="K451" s="183" t="s">
        <v>19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281</v>
      </c>
      <c r="AT451" s="192" t="s">
        <v>382</v>
      </c>
      <c r="AU451" s="192" t="s">
        <v>82</v>
      </c>
      <c r="AY451" s="19" t="s">
        <v>380</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281</v>
      </c>
      <c r="BM451" s="192" t="s">
        <v>1787</v>
      </c>
    </row>
    <row r="452" spans="1:65" s="2" customFormat="1" ht="21.75" customHeight="1">
      <c r="A452" s="36"/>
      <c r="B452" s="37"/>
      <c r="C452" s="181" t="s">
        <v>1068</v>
      </c>
      <c r="D452" s="181" t="s">
        <v>382</v>
      </c>
      <c r="E452" s="182" t="s">
        <v>3186</v>
      </c>
      <c r="F452" s="183" t="s">
        <v>3187</v>
      </c>
      <c r="G452" s="184" t="s">
        <v>2006</v>
      </c>
      <c r="H452" s="185">
        <v>19</v>
      </c>
      <c r="I452" s="186"/>
      <c r="J452" s="187">
        <f>ROUND(I452*H452,2)</f>
        <v>0</v>
      </c>
      <c r="K452" s="183" t="s">
        <v>19</v>
      </c>
      <c r="L452" s="41"/>
      <c r="M452" s="188" t="s">
        <v>19</v>
      </c>
      <c r="N452" s="189" t="s">
        <v>43</v>
      </c>
      <c r="O452" s="66"/>
      <c r="P452" s="190">
        <f>O452*H452</f>
        <v>0</v>
      </c>
      <c r="Q452" s="190">
        <v>0</v>
      </c>
      <c r="R452" s="190">
        <f>Q452*H452</f>
        <v>0</v>
      </c>
      <c r="S452" s="190">
        <v>0</v>
      </c>
      <c r="T452" s="191">
        <f>S452*H452</f>
        <v>0</v>
      </c>
      <c r="U452" s="36"/>
      <c r="V452" s="36"/>
      <c r="W452" s="36"/>
      <c r="X452" s="36"/>
      <c r="Y452" s="36"/>
      <c r="Z452" s="36"/>
      <c r="AA452" s="36"/>
      <c r="AB452" s="36"/>
      <c r="AC452" s="36"/>
      <c r="AD452" s="36"/>
      <c r="AE452" s="36"/>
      <c r="AR452" s="192" t="s">
        <v>281</v>
      </c>
      <c r="AT452" s="192" t="s">
        <v>382</v>
      </c>
      <c r="AU452" s="192" t="s">
        <v>82</v>
      </c>
      <c r="AY452" s="19" t="s">
        <v>380</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281</v>
      </c>
      <c r="BM452" s="192" t="s">
        <v>1800</v>
      </c>
    </row>
    <row r="453" spans="1:65" s="2" customFormat="1" ht="16.5" customHeight="1">
      <c r="A453" s="36"/>
      <c r="B453" s="37"/>
      <c r="C453" s="181" t="s">
        <v>1072</v>
      </c>
      <c r="D453" s="181" t="s">
        <v>382</v>
      </c>
      <c r="E453" s="182" t="s">
        <v>3188</v>
      </c>
      <c r="F453" s="183" t="s">
        <v>3189</v>
      </c>
      <c r="G453" s="184" t="s">
        <v>2006</v>
      </c>
      <c r="H453" s="185">
        <v>1</v>
      </c>
      <c r="I453" s="186"/>
      <c r="J453" s="187">
        <f>ROUND(I453*H453,2)</f>
        <v>0</v>
      </c>
      <c r="K453" s="183" t="s">
        <v>19</v>
      </c>
      <c r="L453" s="41"/>
      <c r="M453" s="188" t="s">
        <v>19</v>
      </c>
      <c r="N453" s="189" t="s">
        <v>43</v>
      </c>
      <c r="O453" s="66"/>
      <c r="P453" s="190">
        <f>O453*H453</f>
        <v>0</v>
      </c>
      <c r="Q453" s="190">
        <v>0</v>
      </c>
      <c r="R453" s="190">
        <f>Q453*H453</f>
        <v>0</v>
      </c>
      <c r="S453" s="190">
        <v>0</v>
      </c>
      <c r="T453" s="191">
        <f>S453*H453</f>
        <v>0</v>
      </c>
      <c r="U453" s="36"/>
      <c r="V453" s="36"/>
      <c r="W453" s="36"/>
      <c r="X453" s="36"/>
      <c r="Y453" s="36"/>
      <c r="Z453" s="36"/>
      <c r="AA453" s="36"/>
      <c r="AB453" s="36"/>
      <c r="AC453" s="36"/>
      <c r="AD453" s="36"/>
      <c r="AE453" s="36"/>
      <c r="AR453" s="192" t="s">
        <v>281</v>
      </c>
      <c r="AT453" s="192" t="s">
        <v>382</v>
      </c>
      <c r="AU453" s="192" t="s">
        <v>82</v>
      </c>
      <c r="AY453" s="19" t="s">
        <v>380</v>
      </c>
      <c r="BE453" s="193">
        <f>IF(N453="základní",J453,0)</f>
        <v>0</v>
      </c>
      <c r="BF453" s="193">
        <f>IF(N453="snížená",J453,0)</f>
        <v>0</v>
      </c>
      <c r="BG453" s="193">
        <f>IF(N453="zákl. přenesená",J453,0)</f>
        <v>0</v>
      </c>
      <c r="BH453" s="193">
        <f>IF(N453="sníž. přenesená",J453,0)</f>
        <v>0</v>
      </c>
      <c r="BI453" s="193">
        <f>IF(N453="nulová",J453,0)</f>
        <v>0</v>
      </c>
      <c r="BJ453" s="19" t="s">
        <v>79</v>
      </c>
      <c r="BK453" s="193">
        <f>ROUND(I453*H453,2)</f>
        <v>0</v>
      </c>
      <c r="BL453" s="19" t="s">
        <v>281</v>
      </c>
      <c r="BM453" s="192" t="s">
        <v>1809</v>
      </c>
    </row>
    <row r="454" spans="1:65" s="2" customFormat="1" ht="21.75" customHeight="1">
      <c r="A454" s="36"/>
      <c r="B454" s="37"/>
      <c r="C454" s="181" t="s">
        <v>1079</v>
      </c>
      <c r="D454" s="181" t="s">
        <v>382</v>
      </c>
      <c r="E454" s="182" t="s">
        <v>3190</v>
      </c>
      <c r="F454" s="183" t="s">
        <v>3191</v>
      </c>
      <c r="G454" s="184" t="s">
        <v>641</v>
      </c>
      <c r="H454" s="185">
        <v>1</v>
      </c>
      <c r="I454" s="186"/>
      <c r="J454" s="187">
        <f>ROUND(I454*H454,2)</f>
        <v>0</v>
      </c>
      <c r="K454" s="183" t="s">
        <v>19</v>
      </c>
      <c r="L454" s="41"/>
      <c r="M454" s="188" t="s">
        <v>19</v>
      </c>
      <c r="N454" s="189" t="s">
        <v>43</v>
      </c>
      <c r="O454" s="66"/>
      <c r="P454" s="190">
        <f>O454*H454</f>
        <v>0</v>
      </c>
      <c r="Q454" s="190">
        <v>0</v>
      </c>
      <c r="R454" s="190">
        <f>Q454*H454</f>
        <v>0</v>
      </c>
      <c r="S454" s="190">
        <v>0</v>
      </c>
      <c r="T454" s="191">
        <f>S454*H454</f>
        <v>0</v>
      </c>
      <c r="U454" s="36"/>
      <c r="V454" s="36"/>
      <c r="W454" s="36"/>
      <c r="X454" s="36"/>
      <c r="Y454" s="36"/>
      <c r="Z454" s="36"/>
      <c r="AA454" s="36"/>
      <c r="AB454" s="36"/>
      <c r="AC454" s="36"/>
      <c r="AD454" s="36"/>
      <c r="AE454" s="36"/>
      <c r="AR454" s="192" t="s">
        <v>281</v>
      </c>
      <c r="AT454" s="192" t="s">
        <v>382</v>
      </c>
      <c r="AU454" s="192" t="s">
        <v>82</v>
      </c>
      <c r="AY454" s="19" t="s">
        <v>380</v>
      </c>
      <c r="BE454" s="193">
        <f>IF(N454="základní",J454,0)</f>
        <v>0</v>
      </c>
      <c r="BF454" s="193">
        <f>IF(N454="snížená",J454,0)</f>
        <v>0</v>
      </c>
      <c r="BG454" s="193">
        <f>IF(N454="zákl. přenesená",J454,0)</f>
        <v>0</v>
      </c>
      <c r="BH454" s="193">
        <f>IF(N454="sníž. přenesená",J454,0)</f>
        <v>0</v>
      </c>
      <c r="BI454" s="193">
        <f>IF(N454="nulová",J454,0)</f>
        <v>0</v>
      </c>
      <c r="BJ454" s="19" t="s">
        <v>79</v>
      </c>
      <c r="BK454" s="193">
        <f>ROUND(I454*H454,2)</f>
        <v>0</v>
      </c>
      <c r="BL454" s="19" t="s">
        <v>281</v>
      </c>
      <c r="BM454" s="192" t="s">
        <v>1821</v>
      </c>
    </row>
    <row r="455" spans="1:65" s="13" customFormat="1" ht="11.25">
      <c r="B455" s="194"/>
      <c r="C455" s="195"/>
      <c r="D455" s="196" t="s">
        <v>388</v>
      </c>
      <c r="E455" s="197" t="s">
        <v>19</v>
      </c>
      <c r="F455" s="198" t="s">
        <v>3192</v>
      </c>
      <c r="G455" s="195"/>
      <c r="H455" s="197" t="s">
        <v>19</v>
      </c>
      <c r="I455" s="199"/>
      <c r="J455" s="195"/>
      <c r="K455" s="195"/>
      <c r="L455" s="200"/>
      <c r="M455" s="201"/>
      <c r="N455" s="202"/>
      <c r="O455" s="202"/>
      <c r="P455" s="202"/>
      <c r="Q455" s="202"/>
      <c r="R455" s="202"/>
      <c r="S455" s="202"/>
      <c r="T455" s="203"/>
      <c r="AT455" s="204" t="s">
        <v>388</v>
      </c>
      <c r="AU455" s="204" t="s">
        <v>82</v>
      </c>
      <c r="AV455" s="13" t="s">
        <v>79</v>
      </c>
      <c r="AW455" s="13" t="s">
        <v>33</v>
      </c>
      <c r="AX455" s="13" t="s">
        <v>72</v>
      </c>
      <c r="AY455" s="204" t="s">
        <v>380</v>
      </c>
    </row>
    <row r="456" spans="1:65" s="14" customFormat="1" ht="11.25">
      <c r="B456" s="205"/>
      <c r="C456" s="206"/>
      <c r="D456" s="196" t="s">
        <v>388</v>
      </c>
      <c r="E456" s="207" t="s">
        <v>19</v>
      </c>
      <c r="F456" s="208" t="s">
        <v>2542</v>
      </c>
      <c r="G456" s="206"/>
      <c r="H456" s="209">
        <v>1</v>
      </c>
      <c r="I456" s="210"/>
      <c r="J456" s="206"/>
      <c r="K456" s="206"/>
      <c r="L456" s="211"/>
      <c r="M456" s="212"/>
      <c r="N456" s="213"/>
      <c r="O456" s="213"/>
      <c r="P456" s="213"/>
      <c r="Q456" s="213"/>
      <c r="R456" s="213"/>
      <c r="S456" s="213"/>
      <c r="T456" s="214"/>
      <c r="AT456" s="215" t="s">
        <v>388</v>
      </c>
      <c r="AU456" s="215" t="s">
        <v>82</v>
      </c>
      <c r="AV456" s="14" t="s">
        <v>82</v>
      </c>
      <c r="AW456" s="14" t="s">
        <v>33</v>
      </c>
      <c r="AX456" s="14" t="s">
        <v>72</v>
      </c>
      <c r="AY456" s="215" t="s">
        <v>380</v>
      </c>
    </row>
    <row r="457" spans="1:65" s="15" customFormat="1" ht="11.25">
      <c r="B457" s="216"/>
      <c r="C457" s="217"/>
      <c r="D457" s="196" t="s">
        <v>388</v>
      </c>
      <c r="E457" s="218" t="s">
        <v>19</v>
      </c>
      <c r="F457" s="219" t="s">
        <v>419</v>
      </c>
      <c r="G457" s="217"/>
      <c r="H457" s="220">
        <v>1</v>
      </c>
      <c r="I457" s="221"/>
      <c r="J457" s="217"/>
      <c r="K457" s="217"/>
      <c r="L457" s="222"/>
      <c r="M457" s="223"/>
      <c r="N457" s="224"/>
      <c r="O457" s="224"/>
      <c r="P457" s="224"/>
      <c r="Q457" s="224"/>
      <c r="R457" s="224"/>
      <c r="S457" s="224"/>
      <c r="T457" s="225"/>
      <c r="AT457" s="226" t="s">
        <v>388</v>
      </c>
      <c r="AU457" s="226" t="s">
        <v>82</v>
      </c>
      <c r="AV457" s="15" t="s">
        <v>386</v>
      </c>
      <c r="AW457" s="15" t="s">
        <v>33</v>
      </c>
      <c r="AX457" s="15" t="s">
        <v>79</v>
      </c>
      <c r="AY457" s="226" t="s">
        <v>380</v>
      </c>
    </row>
    <row r="458" spans="1:65" s="2" customFormat="1" ht="24.2" customHeight="1">
      <c r="A458" s="36"/>
      <c r="B458" s="37"/>
      <c r="C458" s="181" t="s">
        <v>1088</v>
      </c>
      <c r="D458" s="181" t="s">
        <v>382</v>
      </c>
      <c r="E458" s="182" t="s">
        <v>3193</v>
      </c>
      <c r="F458" s="183" t="s">
        <v>3194</v>
      </c>
      <c r="G458" s="184" t="s">
        <v>3014</v>
      </c>
      <c r="H458" s="257"/>
      <c r="I458" s="186"/>
      <c r="J458" s="187">
        <f>ROUND(I458*H458,2)</f>
        <v>0</v>
      </c>
      <c r="K458" s="183" t="s">
        <v>19</v>
      </c>
      <c r="L458" s="41"/>
      <c r="M458" s="188" t="s">
        <v>19</v>
      </c>
      <c r="N458" s="189" t="s">
        <v>43</v>
      </c>
      <c r="O458" s="66"/>
      <c r="P458" s="190">
        <f>O458*H458</f>
        <v>0</v>
      </c>
      <c r="Q458" s="190">
        <v>0</v>
      </c>
      <c r="R458" s="190">
        <f>Q458*H458</f>
        <v>0</v>
      </c>
      <c r="S458" s="190">
        <v>0</v>
      </c>
      <c r="T458" s="191">
        <f>S458*H458</f>
        <v>0</v>
      </c>
      <c r="U458" s="36"/>
      <c r="V458" s="36"/>
      <c r="W458" s="36"/>
      <c r="X458" s="36"/>
      <c r="Y458" s="36"/>
      <c r="Z458" s="36"/>
      <c r="AA458" s="36"/>
      <c r="AB458" s="36"/>
      <c r="AC458" s="36"/>
      <c r="AD458" s="36"/>
      <c r="AE458" s="36"/>
      <c r="AR458" s="192" t="s">
        <v>281</v>
      </c>
      <c r="AT458" s="192" t="s">
        <v>382</v>
      </c>
      <c r="AU458" s="192" t="s">
        <v>82</v>
      </c>
      <c r="AY458" s="19" t="s">
        <v>380</v>
      </c>
      <c r="BE458" s="193">
        <f>IF(N458="základní",J458,0)</f>
        <v>0</v>
      </c>
      <c r="BF458" s="193">
        <f>IF(N458="snížená",J458,0)</f>
        <v>0</v>
      </c>
      <c r="BG458" s="193">
        <f>IF(N458="zákl. přenesená",J458,0)</f>
        <v>0</v>
      </c>
      <c r="BH458" s="193">
        <f>IF(N458="sníž. přenesená",J458,0)</f>
        <v>0</v>
      </c>
      <c r="BI458" s="193">
        <f>IF(N458="nulová",J458,0)</f>
        <v>0</v>
      </c>
      <c r="BJ458" s="19" t="s">
        <v>79</v>
      </c>
      <c r="BK458" s="193">
        <f>ROUND(I458*H458,2)</f>
        <v>0</v>
      </c>
      <c r="BL458" s="19" t="s">
        <v>281</v>
      </c>
      <c r="BM458" s="192" t="s">
        <v>1831</v>
      </c>
    </row>
    <row r="459" spans="1:65" s="12" customFormat="1" ht="22.9" customHeight="1">
      <c r="B459" s="165"/>
      <c r="C459" s="166"/>
      <c r="D459" s="167" t="s">
        <v>71</v>
      </c>
      <c r="E459" s="179" t="s">
        <v>3195</v>
      </c>
      <c r="F459" s="179" t="s">
        <v>3196</v>
      </c>
      <c r="G459" s="166"/>
      <c r="H459" s="166"/>
      <c r="I459" s="169"/>
      <c r="J459" s="180">
        <f>BK459</f>
        <v>0</v>
      </c>
      <c r="K459" s="166"/>
      <c r="L459" s="171"/>
      <c r="M459" s="172"/>
      <c r="N459" s="173"/>
      <c r="O459" s="173"/>
      <c r="P459" s="174">
        <f>SUM(P460:P461)</f>
        <v>0</v>
      </c>
      <c r="Q459" s="173"/>
      <c r="R459" s="174">
        <f>SUM(R460:R461)</f>
        <v>0</v>
      </c>
      <c r="S459" s="173"/>
      <c r="T459" s="175">
        <f>SUM(T460:T461)</f>
        <v>0</v>
      </c>
      <c r="AR459" s="176" t="s">
        <v>82</v>
      </c>
      <c r="AT459" s="177" t="s">
        <v>71</v>
      </c>
      <c r="AU459" s="177" t="s">
        <v>79</v>
      </c>
      <c r="AY459" s="176" t="s">
        <v>380</v>
      </c>
      <c r="BK459" s="178">
        <f>SUM(BK460:BK461)</f>
        <v>0</v>
      </c>
    </row>
    <row r="460" spans="1:65" s="2" customFormat="1" ht="24.2" customHeight="1">
      <c r="A460" s="36"/>
      <c r="B460" s="37"/>
      <c r="C460" s="181" t="s">
        <v>1095</v>
      </c>
      <c r="D460" s="181" t="s">
        <v>382</v>
      </c>
      <c r="E460" s="182" t="s">
        <v>3197</v>
      </c>
      <c r="F460" s="183" t="s">
        <v>3198</v>
      </c>
      <c r="G460" s="184" t="s">
        <v>2006</v>
      </c>
      <c r="H460" s="185">
        <v>6</v>
      </c>
      <c r="I460" s="186"/>
      <c r="J460" s="187">
        <f>ROUND(I460*H460,2)</f>
        <v>0</v>
      </c>
      <c r="K460" s="183" t="s">
        <v>19</v>
      </c>
      <c r="L460" s="41"/>
      <c r="M460" s="188" t="s">
        <v>19</v>
      </c>
      <c r="N460" s="189" t="s">
        <v>43</v>
      </c>
      <c r="O460" s="66"/>
      <c r="P460" s="190">
        <f>O460*H460</f>
        <v>0</v>
      </c>
      <c r="Q460" s="190">
        <v>0</v>
      </c>
      <c r="R460" s="190">
        <f>Q460*H460</f>
        <v>0</v>
      </c>
      <c r="S460" s="190">
        <v>0</v>
      </c>
      <c r="T460" s="191">
        <f>S460*H460</f>
        <v>0</v>
      </c>
      <c r="U460" s="36"/>
      <c r="V460" s="36"/>
      <c r="W460" s="36"/>
      <c r="X460" s="36"/>
      <c r="Y460" s="36"/>
      <c r="Z460" s="36"/>
      <c r="AA460" s="36"/>
      <c r="AB460" s="36"/>
      <c r="AC460" s="36"/>
      <c r="AD460" s="36"/>
      <c r="AE460" s="36"/>
      <c r="AR460" s="192" t="s">
        <v>281</v>
      </c>
      <c r="AT460" s="192" t="s">
        <v>382</v>
      </c>
      <c r="AU460" s="192" t="s">
        <v>82</v>
      </c>
      <c r="AY460" s="19" t="s">
        <v>380</v>
      </c>
      <c r="BE460" s="193">
        <f>IF(N460="základní",J460,0)</f>
        <v>0</v>
      </c>
      <c r="BF460" s="193">
        <f>IF(N460="snížená",J460,0)</f>
        <v>0</v>
      </c>
      <c r="BG460" s="193">
        <f>IF(N460="zákl. přenesená",J460,0)</f>
        <v>0</v>
      </c>
      <c r="BH460" s="193">
        <f>IF(N460="sníž. přenesená",J460,0)</f>
        <v>0</v>
      </c>
      <c r="BI460" s="193">
        <f>IF(N460="nulová",J460,0)</f>
        <v>0</v>
      </c>
      <c r="BJ460" s="19" t="s">
        <v>79</v>
      </c>
      <c r="BK460" s="193">
        <f>ROUND(I460*H460,2)</f>
        <v>0</v>
      </c>
      <c r="BL460" s="19" t="s">
        <v>281</v>
      </c>
      <c r="BM460" s="192" t="s">
        <v>1846</v>
      </c>
    </row>
    <row r="461" spans="1:65" s="2" customFormat="1" ht="24.2" customHeight="1">
      <c r="A461" s="36"/>
      <c r="B461" s="37"/>
      <c r="C461" s="181" t="s">
        <v>1107</v>
      </c>
      <c r="D461" s="181" t="s">
        <v>382</v>
      </c>
      <c r="E461" s="182" t="s">
        <v>3199</v>
      </c>
      <c r="F461" s="183" t="s">
        <v>3200</v>
      </c>
      <c r="G461" s="184" t="s">
        <v>3014</v>
      </c>
      <c r="H461" s="257"/>
      <c r="I461" s="186"/>
      <c r="J461" s="187">
        <f>ROUND(I461*H461,2)</f>
        <v>0</v>
      </c>
      <c r="K461" s="183" t="s">
        <v>19</v>
      </c>
      <c r="L461" s="41"/>
      <c r="M461" s="188" t="s">
        <v>19</v>
      </c>
      <c r="N461" s="189" t="s">
        <v>43</v>
      </c>
      <c r="O461" s="66"/>
      <c r="P461" s="190">
        <f>O461*H461</f>
        <v>0</v>
      </c>
      <c r="Q461" s="190">
        <v>0</v>
      </c>
      <c r="R461" s="190">
        <f>Q461*H461</f>
        <v>0</v>
      </c>
      <c r="S461" s="190">
        <v>0</v>
      </c>
      <c r="T461" s="191">
        <f>S461*H461</f>
        <v>0</v>
      </c>
      <c r="U461" s="36"/>
      <c r="V461" s="36"/>
      <c r="W461" s="36"/>
      <c r="X461" s="36"/>
      <c r="Y461" s="36"/>
      <c r="Z461" s="36"/>
      <c r="AA461" s="36"/>
      <c r="AB461" s="36"/>
      <c r="AC461" s="36"/>
      <c r="AD461" s="36"/>
      <c r="AE461" s="36"/>
      <c r="AR461" s="192" t="s">
        <v>281</v>
      </c>
      <c r="AT461" s="192" t="s">
        <v>382</v>
      </c>
      <c r="AU461" s="192" t="s">
        <v>82</v>
      </c>
      <c r="AY461" s="19" t="s">
        <v>380</v>
      </c>
      <c r="BE461" s="193">
        <f>IF(N461="základní",J461,0)</f>
        <v>0</v>
      </c>
      <c r="BF461" s="193">
        <f>IF(N461="snížená",J461,0)</f>
        <v>0</v>
      </c>
      <c r="BG461" s="193">
        <f>IF(N461="zákl. přenesená",J461,0)</f>
        <v>0</v>
      </c>
      <c r="BH461" s="193">
        <f>IF(N461="sníž. přenesená",J461,0)</f>
        <v>0</v>
      </c>
      <c r="BI461" s="193">
        <f>IF(N461="nulová",J461,0)</f>
        <v>0</v>
      </c>
      <c r="BJ461" s="19" t="s">
        <v>79</v>
      </c>
      <c r="BK461" s="193">
        <f>ROUND(I461*H461,2)</f>
        <v>0</v>
      </c>
      <c r="BL461" s="19" t="s">
        <v>281</v>
      </c>
      <c r="BM461" s="192" t="s">
        <v>1855</v>
      </c>
    </row>
    <row r="462" spans="1:65" s="12" customFormat="1" ht="22.9" customHeight="1">
      <c r="B462" s="165"/>
      <c r="C462" s="166"/>
      <c r="D462" s="167" t="s">
        <v>71</v>
      </c>
      <c r="E462" s="179" t="s">
        <v>3201</v>
      </c>
      <c r="F462" s="179" t="s">
        <v>3202</v>
      </c>
      <c r="G462" s="166"/>
      <c r="H462" s="166"/>
      <c r="I462" s="169"/>
      <c r="J462" s="180">
        <f>BK462</f>
        <v>0</v>
      </c>
      <c r="K462" s="166"/>
      <c r="L462" s="171"/>
      <c r="M462" s="172"/>
      <c r="N462" s="173"/>
      <c r="O462" s="173"/>
      <c r="P462" s="174">
        <f>SUM(P463:P542)</f>
        <v>0</v>
      </c>
      <c r="Q462" s="173"/>
      <c r="R462" s="174">
        <f>SUM(R463:R542)</f>
        <v>0</v>
      </c>
      <c r="S462" s="173"/>
      <c r="T462" s="175">
        <f>SUM(T463:T542)</f>
        <v>0</v>
      </c>
      <c r="AR462" s="176" t="s">
        <v>82</v>
      </c>
      <c r="AT462" s="177" t="s">
        <v>71</v>
      </c>
      <c r="AU462" s="177" t="s">
        <v>79</v>
      </c>
      <c r="AY462" s="176" t="s">
        <v>380</v>
      </c>
      <c r="BK462" s="178">
        <f>SUM(BK463:BK542)</f>
        <v>0</v>
      </c>
    </row>
    <row r="463" spans="1:65" s="2" customFormat="1" ht="24.2" customHeight="1">
      <c r="A463" s="36"/>
      <c r="B463" s="37"/>
      <c r="C463" s="181" t="s">
        <v>1112</v>
      </c>
      <c r="D463" s="181" t="s">
        <v>382</v>
      </c>
      <c r="E463" s="182" t="s">
        <v>3203</v>
      </c>
      <c r="F463" s="183" t="s">
        <v>3204</v>
      </c>
      <c r="G463" s="184" t="s">
        <v>641</v>
      </c>
      <c r="H463" s="185">
        <v>7</v>
      </c>
      <c r="I463" s="186"/>
      <c r="J463" s="187">
        <f>ROUND(I463*H463,2)</f>
        <v>0</v>
      </c>
      <c r="K463" s="183" t="s">
        <v>19</v>
      </c>
      <c r="L463" s="41"/>
      <c r="M463" s="188" t="s">
        <v>19</v>
      </c>
      <c r="N463" s="189" t="s">
        <v>43</v>
      </c>
      <c r="O463" s="66"/>
      <c r="P463" s="190">
        <f>O463*H463</f>
        <v>0</v>
      </c>
      <c r="Q463" s="190">
        <v>0</v>
      </c>
      <c r="R463" s="190">
        <f>Q463*H463</f>
        <v>0</v>
      </c>
      <c r="S463" s="190">
        <v>0</v>
      </c>
      <c r="T463" s="191">
        <f>S463*H463</f>
        <v>0</v>
      </c>
      <c r="U463" s="36"/>
      <c r="V463" s="36"/>
      <c r="W463" s="36"/>
      <c r="X463" s="36"/>
      <c r="Y463" s="36"/>
      <c r="Z463" s="36"/>
      <c r="AA463" s="36"/>
      <c r="AB463" s="36"/>
      <c r="AC463" s="36"/>
      <c r="AD463" s="36"/>
      <c r="AE463" s="36"/>
      <c r="AR463" s="192" t="s">
        <v>281</v>
      </c>
      <c r="AT463" s="192" t="s">
        <v>382</v>
      </c>
      <c r="AU463" s="192" t="s">
        <v>82</v>
      </c>
      <c r="AY463" s="19" t="s">
        <v>380</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281</v>
      </c>
      <c r="BM463" s="192" t="s">
        <v>1865</v>
      </c>
    </row>
    <row r="464" spans="1:65" s="13" customFormat="1" ht="11.25">
      <c r="B464" s="194"/>
      <c r="C464" s="195"/>
      <c r="D464" s="196" t="s">
        <v>388</v>
      </c>
      <c r="E464" s="197" t="s">
        <v>19</v>
      </c>
      <c r="F464" s="198" t="s">
        <v>3205</v>
      </c>
      <c r="G464" s="195"/>
      <c r="H464" s="197" t="s">
        <v>19</v>
      </c>
      <c r="I464" s="199"/>
      <c r="J464" s="195"/>
      <c r="K464" s="195"/>
      <c r="L464" s="200"/>
      <c r="M464" s="201"/>
      <c r="N464" s="202"/>
      <c r="O464" s="202"/>
      <c r="P464" s="202"/>
      <c r="Q464" s="202"/>
      <c r="R464" s="202"/>
      <c r="S464" s="202"/>
      <c r="T464" s="203"/>
      <c r="AT464" s="204" t="s">
        <v>388</v>
      </c>
      <c r="AU464" s="204" t="s">
        <v>82</v>
      </c>
      <c r="AV464" s="13" t="s">
        <v>79</v>
      </c>
      <c r="AW464" s="13" t="s">
        <v>33</v>
      </c>
      <c r="AX464" s="13" t="s">
        <v>72</v>
      </c>
      <c r="AY464" s="204" t="s">
        <v>380</v>
      </c>
    </row>
    <row r="465" spans="1:65" s="14" customFormat="1" ht="11.25">
      <c r="B465" s="205"/>
      <c r="C465" s="206"/>
      <c r="D465" s="196" t="s">
        <v>388</v>
      </c>
      <c r="E465" s="207" t="s">
        <v>19</v>
      </c>
      <c r="F465" s="208" t="s">
        <v>2994</v>
      </c>
      <c r="G465" s="206"/>
      <c r="H465" s="209">
        <v>4</v>
      </c>
      <c r="I465" s="210"/>
      <c r="J465" s="206"/>
      <c r="K465" s="206"/>
      <c r="L465" s="211"/>
      <c r="M465" s="212"/>
      <c r="N465" s="213"/>
      <c r="O465" s="213"/>
      <c r="P465" s="213"/>
      <c r="Q465" s="213"/>
      <c r="R465" s="213"/>
      <c r="S465" s="213"/>
      <c r="T465" s="214"/>
      <c r="AT465" s="215" t="s">
        <v>388</v>
      </c>
      <c r="AU465" s="215" t="s">
        <v>82</v>
      </c>
      <c r="AV465" s="14" t="s">
        <v>82</v>
      </c>
      <c r="AW465" s="14" t="s">
        <v>33</v>
      </c>
      <c r="AX465" s="14" t="s">
        <v>72</v>
      </c>
      <c r="AY465" s="215" t="s">
        <v>380</v>
      </c>
    </row>
    <row r="466" spans="1:65" s="13" customFormat="1" ht="11.25">
      <c r="B466" s="194"/>
      <c r="C466" s="195"/>
      <c r="D466" s="196" t="s">
        <v>388</v>
      </c>
      <c r="E466" s="197" t="s">
        <v>19</v>
      </c>
      <c r="F466" s="198" t="s">
        <v>3206</v>
      </c>
      <c r="G466" s="195"/>
      <c r="H466" s="197" t="s">
        <v>19</v>
      </c>
      <c r="I466" s="199"/>
      <c r="J466" s="195"/>
      <c r="K466" s="195"/>
      <c r="L466" s="200"/>
      <c r="M466" s="201"/>
      <c r="N466" s="202"/>
      <c r="O466" s="202"/>
      <c r="P466" s="202"/>
      <c r="Q466" s="202"/>
      <c r="R466" s="202"/>
      <c r="S466" s="202"/>
      <c r="T466" s="203"/>
      <c r="AT466" s="204" t="s">
        <v>388</v>
      </c>
      <c r="AU466" s="204" t="s">
        <v>82</v>
      </c>
      <c r="AV466" s="13" t="s">
        <v>79</v>
      </c>
      <c r="AW466" s="13" t="s">
        <v>33</v>
      </c>
      <c r="AX466" s="13" t="s">
        <v>72</v>
      </c>
      <c r="AY466" s="204" t="s">
        <v>380</v>
      </c>
    </row>
    <row r="467" spans="1:65" s="14" customFormat="1" ht="11.25">
      <c r="B467" s="205"/>
      <c r="C467" s="206"/>
      <c r="D467" s="196" t="s">
        <v>388</v>
      </c>
      <c r="E467" s="207" t="s">
        <v>19</v>
      </c>
      <c r="F467" s="208" t="s">
        <v>3183</v>
      </c>
      <c r="G467" s="206"/>
      <c r="H467" s="209">
        <v>3</v>
      </c>
      <c r="I467" s="210"/>
      <c r="J467" s="206"/>
      <c r="K467" s="206"/>
      <c r="L467" s="211"/>
      <c r="M467" s="212"/>
      <c r="N467" s="213"/>
      <c r="O467" s="213"/>
      <c r="P467" s="213"/>
      <c r="Q467" s="213"/>
      <c r="R467" s="213"/>
      <c r="S467" s="213"/>
      <c r="T467" s="214"/>
      <c r="AT467" s="215" t="s">
        <v>388</v>
      </c>
      <c r="AU467" s="215" t="s">
        <v>82</v>
      </c>
      <c r="AV467" s="14" t="s">
        <v>82</v>
      </c>
      <c r="AW467" s="14" t="s">
        <v>33</v>
      </c>
      <c r="AX467" s="14" t="s">
        <v>72</v>
      </c>
      <c r="AY467" s="215" t="s">
        <v>380</v>
      </c>
    </row>
    <row r="468" spans="1:65" s="15" customFormat="1" ht="11.25">
      <c r="B468" s="216"/>
      <c r="C468" s="217"/>
      <c r="D468" s="196" t="s">
        <v>388</v>
      </c>
      <c r="E468" s="218" t="s">
        <v>19</v>
      </c>
      <c r="F468" s="219" t="s">
        <v>2544</v>
      </c>
      <c r="G468" s="217"/>
      <c r="H468" s="220">
        <v>7</v>
      </c>
      <c r="I468" s="221"/>
      <c r="J468" s="217"/>
      <c r="K468" s="217"/>
      <c r="L468" s="222"/>
      <c r="M468" s="223"/>
      <c r="N468" s="224"/>
      <c r="O468" s="224"/>
      <c r="P468" s="224"/>
      <c r="Q468" s="224"/>
      <c r="R468" s="224"/>
      <c r="S468" s="224"/>
      <c r="T468" s="225"/>
      <c r="AT468" s="226" t="s">
        <v>388</v>
      </c>
      <c r="AU468" s="226" t="s">
        <v>82</v>
      </c>
      <c r="AV468" s="15" t="s">
        <v>386</v>
      </c>
      <c r="AW468" s="15" t="s">
        <v>33</v>
      </c>
      <c r="AX468" s="15" t="s">
        <v>79</v>
      </c>
      <c r="AY468" s="226" t="s">
        <v>380</v>
      </c>
    </row>
    <row r="469" spans="1:65" s="2" customFormat="1" ht="24.2" customHeight="1">
      <c r="A469" s="36"/>
      <c r="B469" s="37"/>
      <c r="C469" s="181" t="s">
        <v>1117</v>
      </c>
      <c r="D469" s="181" t="s">
        <v>382</v>
      </c>
      <c r="E469" s="182" t="s">
        <v>3207</v>
      </c>
      <c r="F469" s="183" t="s">
        <v>3208</v>
      </c>
      <c r="G469" s="184" t="s">
        <v>641</v>
      </c>
      <c r="H469" s="185">
        <v>2</v>
      </c>
      <c r="I469" s="186"/>
      <c r="J469" s="187">
        <f>ROUND(I469*H469,2)</f>
        <v>0</v>
      </c>
      <c r="K469" s="183" t="s">
        <v>19</v>
      </c>
      <c r="L469" s="41"/>
      <c r="M469" s="188" t="s">
        <v>19</v>
      </c>
      <c r="N469" s="189" t="s">
        <v>43</v>
      </c>
      <c r="O469" s="66"/>
      <c r="P469" s="190">
        <f>O469*H469</f>
        <v>0</v>
      </c>
      <c r="Q469" s="190">
        <v>0</v>
      </c>
      <c r="R469" s="190">
        <f>Q469*H469</f>
        <v>0</v>
      </c>
      <c r="S469" s="190">
        <v>0</v>
      </c>
      <c r="T469" s="191">
        <f>S469*H469</f>
        <v>0</v>
      </c>
      <c r="U469" s="36"/>
      <c r="V469" s="36"/>
      <c r="W469" s="36"/>
      <c r="X469" s="36"/>
      <c r="Y469" s="36"/>
      <c r="Z469" s="36"/>
      <c r="AA469" s="36"/>
      <c r="AB469" s="36"/>
      <c r="AC469" s="36"/>
      <c r="AD469" s="36"/>
      <c r="AE469" s="36"/>
      <c r="AR469" s="192" t="s">
        <v>281</v>
      </c>
      <c r="AT469" s="192" t="s">
        <v>382</v>
      </c>
      <c r="AU469" s="192" t="s">
        <v>82</v>
      </c>
      <c r="AY469" s="19" t="s">
        <v>380</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281</v>
      </c>
      <c r="BM469" s="192" t="s">
        <v>1875</v>
      </c>
    </row>
    <row r="470" spans="1:65" s="13" customFormat="1" ht="11.25">
      <c r="B470" s="194"/>
      <c r="C470" s="195"/>
      <c r="D470" s="196" t="s">
        <v>388</v>
      </c>
      <c r="E470" s="197" t="s">
        <v>19</v>
      </c>
      <c r="F470" s="198" t="s">
        <v>3209</v>
      </c>
      <c r="G470" s="195"/>
      <c r="H470" s="197" t="s">
        <v>19</v>
      </c>
      <c r="I470" s="199"/>
      <c r="J470" s="195"/>
      <c r="K470" s="195"/>
      <c r="L470" s="200"/>
      <c r="M470" s="201"/>
      <c r="N470" s="202"/>
      <c r="O470" s="202"/>
      <c r="P470" s="202"/>
      <c r="Q470" s="202"/>
      <c r="R470" s="202"/>
      <c r="S470" s="202"/>
      <c r="T470" s="203"/>
      <c r="AT470" s="204" t="s">
        <v>388</v>
      </c>
      <c r="AU470" s="204" t="s">
        <v>82</v>
      </c>
      <c r="AV470" s="13" t="s">
        <v>79</v>
      </c>
      <c r="AW470" s="13" t="s">
        <v>33</v>
      </c>
      <c r="AX470" s="13" t="s">
        <v>72</v>
      </c>
      <c r="AY470" s="204" t="s">
        <v>380</v>
      </c>
    </row>
    <row r="471" spans="1:65" s="14" customFormat="1" ht="11.25">
      <c r="B471" s="205"/>
      <c r="C471" s="206"/>
      <c r="D471" s="196" t="s">
        <v>388</v>
      </c>
      <c r="E471" s="207" t="s">
        <v>19</v>
      </c>
      <c r="F471" s="208" t="s">
        <v>2542</v>
      </c>
      <c r="G471" s="206"/>
      <c r="H471" s="209">
        <v>1</v>
      </c>
      <c r="I471" s="210"/>
      <c r="J471" s="206"/>
      <c r="K471" s="206"/>
      <c r="L471" s="211"/>
      <c r="M471" s="212"/>
      <c r="N471" s="213"/>
      <c r="O471" s="213"/>
      <c r="P471" s="213"/>
      <c r="Q471" s="213"/>
      <c r="R471" s="213"/>
      <c r="S471" s="213"/>
      <c r="T471" s="214"/>
      <c r="AT471" s="215" t="s">
        <v>388</v>
      </c>
      <c r="AU471" s="215" t="s">
        <v>82</v>
      </c>
      <c r="AV471" s="14" t="s">
        <v>82</v>
      </c>
      <c r="AW471" s="14" t="s">
        <v>33</v>
      </c>
      <c r="AX471" s="14" t="s">
        <v>72</v>
      </c>
      <c r="AY471" s="215" t="s">
        <v>380</v>
      </c>
    </row>
    <row r="472" spans="1:65" s="13" customFormat="1" ht="11.25">
      <c r="B472" s="194"/>
      <c r="C472" s="195"/>
      <c r="D472" s="196" t="s">
        <v>388</v>
      </c>
      <c r="E472" s="197" t="s">
        <v>19</v>
      </c>
      <c r="F472" s="198" t="s">
        <v>3210</v>
      </c>
      <c r="G472" s="195"/>
      <c r="H472" s="197" t="s">
        <v>19</v>
      </c>
      <c r="I472" s="199"/>
      <c r="J472" s="195"/>
      <c r="K472" s="195"/>
      <c r="L472" s="200"/>
      <c r="M472" s="201"/>
      <c r="N472" s="202"/>
      <c r="O472" s="202"/>
      <c r="P472" s="202"/>
      <c r="Q472" s="202"/>
      <c r="R472" s="202"/>
      <c r="S472" s="202"/>
      <c r="T472" s="203"/>
      <c r="AT472" s="204" t="s">
        <v>388</v>
      </c>
      <c r="AU472" s="204" t="s">
        <v>82</v>
      </c>
      <c r="AV472" s="13" t="s">
        <v>79</v>
      </c>
      <c r="AW472" s="13" t="s">
        <v>33</v>
      </c>
      <c r="AX472" s="13" t="s">
        <v>72</v>
      </c>
      <c r="AY472" s="204" t="s">
        <v>380</v>
      </c>
    </row>
    <row r="473" spans="1:65" s="14" customFormat="1" ht="11.25">
      <c r="B473" s="205"/>
      <c r="C473" s="206"/>
      <c r="D473" s="196" t="s">
        <v>388</v>
      </c>
      <c r="E473" s="207" t="s">
        <v>19</v>
      </c>
      <c r="F473" s="208" t="s">
        <v>2542</v>
      </c>
      <c r="G473" s="206"/>
      <c r="H473" s="209">
        <v>1</v>
      </c>
      <c r="I473" s="210"/>
      <c r="J473" s="206"/>
      <c r="K473" s="206"/>
      <c r="L473" s="211"/>
      <c r="M473" s="212"/>
      <c r="N473" s="213"/>
      <c r="O473" s="213"/>
      <c r="P473" s="213"/>
      <c r="Q473" s="213"/>
      <c r="R473" s="213"/>
      <c r="S473" s="213"/>
      <c r="T473" s="214"/>
      <c r="AT473" s="215" t="s">
        <v>388</v>
      </c>
      <c r="AU473" s="215" t="s">
        <v>82</v>
      </c>
      <c r="AV473" s="14" t="s">
        <v>82</v>
      </c>
      <c r="AW473" s="14" t="s">
        <v>33</v>
      </c>
      <c r="AX473" s="14" t="s">
        <v>72</v>
      </c>
      <c r="AY473" s="215" t="s">
        <v>380</v>
      </c>
    </row>
    <row r="474" spans="1:65" s="15" customFormat="1" ht="11.25">
      <c r="B474" s="216"/>
      <c r="C474" s="217"/>
      <c r="D474" s="196" t="s">
        <v>388</v>
      </c>
      <c r="E474" s="218" t="s">
        <v>19</v>
      </c>
      <c r="F474" s="219" t="s">
        <v>2544</v>
      </c>
      <c r="G474" s="217"/>
      <c r="H474" s="220">
        <v>2</v>
      </c>
      <c r="I474" s="221"/>
      <c r="J474" s="217"/>
      <c r="K474" s="217"/>
      <c r="L474" s="222"/>
      <c r="M474" s="223"/>
      <c r="N474" s="224"/>
      <c r="O474" s="224"/>
      <c r="P474" s="224"/>
      <c r="Q474" s="224"/>
      <c r="R474" s="224"/>
      <c r="S474" s="224"/>
      <c r="T474" s="225"/>
      <c r="AT474" s="226" t="s">
        <v>388</v>
      </c>
      <c r="AU474" s="226" t="s">
        <v>82</v>
      </c>
      <c r="AV474" s="15" t="s">
        <v>386</v>
      </c>
      <c r="AW474" s="15" t="s">
        <v>33</v>
      </c>
      <c r="AX474" s="15" t="s">
        <v>79</v>
      </c>
      <c r="AY474" s="226" t="s">
        <v>380</v>
      </c>
    </row>
    <row r="475" spans="1:65" s="2" customFormat="1" ht="24.2" customHeight="1">
      <c r="A475" s="36"/>
      <c r="B475" s="37"/>
      <c r="C475" s="181" t="s">
        <v>1122</v>
      </c>
      <c r="D475" s="181" t="s">
        <v>382</v>
      </c>
      <c r="E475" s="182" t="s">
        <v>3211</v>
      </c>
      <c r="F475" s="183" t="s">
        <v>3212</v>
      </c>
      <c r="G475" s="184" t="s">
        <v>641</v>
      </c>
      <c r="H475" s="185">
        <v>1</v>
      </c>
      <c r="I475" s="186"/>
      <c r="J475" s="187">
        <f>ROUND(I475*H475,2)</f>
        <v>0</v>
      </c>
      <c r="K475" s="183" t="s">
        <v>19</v>
      </c>
      <c r="L475" s="41"/>
      <c r="M475" s="188" t="s">
        <v>19</v>
      </c>
      <c r="N475" s="189" t="s">
        <v>43</v>
      </c>
      <c r="O475" s="66"/>
      <c r="P475" s="190">
        <f>O475*H475</f>
        <v>0</v>
      </c>
      <c r="Q475" s="190">
        <v>0</v>
      </c>
      <c r="R475" s="190">
        <f>Q475*H475</f>
        <v>0</v>
      </c>
      <c r="S475" s="190">
        <v>0</v>
      </c>
      <c r="T475" s="191">
        <f>S475*H475</f>
        <v>0</v>
      </c>
      <c r="U475" s="36"/>
      <c r="V475" s="36"/>
      <c r="W475" s="36"/>
      <c r="X475" s="36"/>
      <c r="Y475" s="36"/>
      <c r="Z475" s="36"/>
      <c r="AA475" s="36"/>
      <c r="AB475" s="36"/>
      <c r="AC475" s="36"/>
      <c r="AD475" s="36"/>
      <c r="AE475" s="36"/>
      <c r="AR475" s="192" t="s">
        <v>281</v>
      </c>
      <c r="AT475" s="192" t="s">
        <v>382</v>
      </c>
      <c r="AU475" s="192" t="s">
        <v>82</v>
      </c>
      <c r="AY475" s="19" t="s">
        <v>380</v>
      </c>
      <c r="BE475" s="193">
        <f>IF(N475="základní",J475,0)</f>
        <v>0</v>
      </c>
      <c r="BF475" s="193">
        <f>IF(N475="snížená",J475,0)</f>
        <v>0</v>
      </c>
      <c r="BG475" s="193">
        <f>IF(N475="zákl. přenesená",J475,0)</f>
        <v>0</v>
      </c>
      <c r="BH475" s="193">
        <f>IF(N475="sníž. přenesená",J475,0)</f>
        <v>0</v>
      </c>
      <c r="BI475" s="193">
        <f>IF(N475="nulová",J475,0)</f>
        <v>0</v>
      </c>
      <c r="BJ475" s="19" t="s">
        <v>79</v>
      </c>
      <c r="BK475" s="193">
        <f>ROUND(I475*H475,2)</f>
        <v>0</v>
      </c>
      <c r="BL475" s="19" t="s">
        <v>281</v>
      </c>
      <c r="BM475" s="192" t="s">
        <v>1887</v>
      </c>
    </row>
    <row r="476" spans="1:65" s="13" customFormat="1" ht="11.25">
      <c r="B476" s="194"/>
      <c r="C476" s="195"/>
      <c r="D476" s="196" t="s">
        <v>388</v>
      </c>
      <c r="E476" s="197" t="s">
        <v>19</v>
      </c>
      <c r="F476" s="198" t="s">
        <v>3210</v>
      </c>
      <c r="G476" s="195"/>
      <c r="H476" s="197" t="s">
        <v>19</v>
      </c>
      <c r="I476" s="199"/>
      <c r="J476" s="195"/>
      <c r="K476" s="195"/>
      <c r="L476" s="200"/>
      <c r="M476" s="201"/>
      <c r="N476" s="202"/>
      <c r="O476" s="202"/>
      <c r="P476" s="202"/>
      <c r="Q476" s="202"/>
      <c r="R476" s="202"/>
      <c r="S476" s="202"/>
      <c r="T476" s="203"/>
      <c r="AT476" s="204" t="s">
        <v>388</v>
      </c>
      <c r="AU476" s="204" t="s">
        <v>82</v>
      </c>
      <c r="AV476" s="13" t="s">
        <v>79</v>
      </c>
      <c r="AW476" s="13" t="s">
        <v>33</v>
      </c>
      <c r="AX476" s="13" t="s">
        <v>72</v>
      </c>
      <c r="AY476" s="204" t="s">
        <v>380</v>
      </c>
    </row>
    <row r="477" spans="1:65" s="14" customFormat="1" ht="11.25">
      <c r="B477" s="205"/>
      <c r="C477" s="206"/>
      <c r="D477" s="196" t="s">
        <v>388</v>
      </c>
      <c r="E477" s="207" t="s">
        <v>19</v>
      </c>
      <c r="F477" s="208" t="s">
        <v>2542</v>
      </c>
      <c r="G477" s="206"/>
      <c r="H477" s="209">
        <v>1</v>
      </c>
      <c r="I477" s="210"/>
      <c r="J477" s="206"/>
      <c r="K477" s="206"/>
      <c r="L477" s="211"/>
      <c r="M477" s="212"/>
      <c r="N477" s="213"/>
      <c r="O477" s="213"/>
      <c r="P477" s="213"/>
      <c r="Q477" s="213"/>
      <c r="R477" s="213"/>
      <c r="S477" s="213"/>
      <c r="T477" s="214"/>
      <c r="AT477" s="215" t="s">
        <v>388</v>
      </c>
      <c r="AU477" s="215" t="s">
        <v>82</v>
      </c>
      <c r="AV477" s="14" t="s">
        <v>82</v>
      </c>
      <c r="AW477" s="14" t="s">
        <v>33</v>
      </c>
      <c r="AX477" s="14" t="s">
        <v>72</v>
      </c>
      <c r="AY477" s="215" t="s">
        <v>380</v>
      </c>
    </row>
    <row r="478" spans="1:65" s="15" customFormat="1" ht="11.25">
      <c r="B478" s="216"/>
      <c r="C478" s="217"/>
      <c r="D478" s="196" t="s">
        <v>388</v>
      </c>
      <c r="E478" s="218" t="s">
        <v>19</v>
      </c>
      <c r="F478" s="219" t="s">
        <v>419</v>
      </c>
      <c r="G478" s="217"/>
      <c r="H478" s="220">
        <v>1</v>
      </c>
      <c r="I478" s="221"/>
      <c r="J478" s="217"/>
      <c r="K478" s="217"/>
      <c r="L478" s="222"/>
      <c r="M478" s="223"/>
      <c r="N478" s="224"/>
      <c r="O478" s="224"/>
      <c r="P478" s="224"/>
      <c r="Q478" s="224"/>
      <c r="R478" s="224"/>
      <c r="S478" s="224"/>
      <c r="T478" s="225"/>
      <c r="AT478" s="226" t="s">
        <v>388</v>
      </c>
      <c r="AU478" s="226" t="s">
        <v>82</v>
      </c>
      <c r="AV478" s="15" t="s">
        <v>386</v>
      </c>
      <c r="AW478" s="15" t="s">
        <v>33</v>
      </c>
      <c r="AX478" s="15" t="s">
        <v>79</v>
      </c>
      <c r="AY478" s="226" t="s">
        <v>380</v>
      </c>
    </row>
    <row r="479" spans="1:65" s="2" customFormat="1" ht="24.2" customHeight="1">
      <c r="A479" s="36"/>
      <c r="B479" s="37"/>
      <c r="C479" s="181" t="s">
        <v>1126</v>
      </c>
      <c r="D479" s="181" t="s">
        <v>382</v>
      </c>
      <c r="E479" s="182" t="s">
        <v>3213</v>
      </c>
      <c r="F479" s="183" t="s">
        <v>3214</v>
      </c>
      <c r="G479" s="184" t="s">
        <v>641</v>
      </c>
      <c r="H479" s="185">
        <v>2</v>
      </c>
      <c r="I479" s="186"/>
      <c r="J479" s="187">
        <f>ROUND(I479*H479,2)</f>
        <v>0</v>
      </c>
      <c r="K479" s="183" t="s">
        <v>19</v>
      </c>
      <c r="L479" s="41"/>
      <c r="M479" s="188" t="s">
        <v>19</v>
      </c>
      <c r="N479" s="189" t="s">
        <v>43</v>
      </c>
      <c r="O479" s="66"/>
      <c r="P479" s="190">
        <f>O479*H479</f>
        <v>0</v>
      </c>
      <c r="Q479" s="190">
        <v>0</v>
      </c>
      <c r="R479" s="190">
        <f>Q479*H479</f>
        <v>0</v>
      </c>
      <c r="S479" s="190">
        <v>0</v>
      </c>
      <c r="T479" s="191">
        <f>S479*H479</f>
        <v>0</v>
      </c>
      <c r="U479" s="36"/>
      <c r="V479" s="36"/>
      <c r="W479" s="36"/>
      <c r="X479" s="36"/>
      <c r="Y479" s="36"/>
      <c r="Z479" s="36"/>
      <c r="AA479" s="36"/>
      <c r="AB479" s="36"/>
      <c r="AC479" s="36"/>
      <c r="AD479" s="36"/>
      <c r="AE479" s="36"/>
      <c r="AR479" s="192" t="s">
        <v>281</v>
      </c>
      <c r="AT479" s="192" t="s">
        <v>382</v>
      </c>
      <c r="AU479" s="192" t="s">
        <v>82</v>
      </c>
      <c r="AY479" s="19" t="s">
        <v>380</v>
      </c>
      <c r="BE479" s="193">
        <f>IF(N479="základní",J479,0)</f>
        <v>0</v>
      </c>
      <c r="BF479" s="193">
        <f>IF(N479="snížená",J479,0)</f>
        <v>0</v>
      </c>
      <c r="BG479" s="193">
        <f>IF(N479="zákl. přenesená",J479,0)</f>
        <v>0</v>
      </c>
      <c r="BH479" s="193">
        <f>IF(N479="sníž. přenesená",J479,0)</f>
        <v>0</v>
      </c>
      <c r="BI479" s="193">
        <f>IF(N479="nulová",J479,0)</f>
        <v>0</v>
      </c>
      <c r="BJ479" s="19" t="s">
        <v>79</v>
      </c>
      <c r="BK479" s="193">
        <f>ROUND(I479*H479,2)</f>
        <v>0</v>
      </c>
      <c r="BL479" s="19" t="s">
        <v>281</v>
      </c>
      <c r="BM479" s="192" t="s">
        <v>1899</v>
      </c>
    </row>
    <row r="480" spans="1:65" s="13" customFormat="1" ht="11.25">
      <c r="B480" s="194"/>
      <c r="C480" s="195"/>
      <c r="D480" s="196" t="s">
        <v>388</v>
      </c>
      <c r="E480" s="197" t="s">
        <v>19</v>
      </c>
      <c r="F480" s="198" t="s">
        <v>3205</v>
      </c>
      <c r="G480" s="195"/>
      <c r="H480" s="197" t="s">
        <v>19</v>
      </c>
      <c r="I480" s="199"/>
      <c r="J480" s="195"/>
      <c r="K480" s="195"/>
      <c r="L480" s="200"/>
      <c r="M480" s="201"/>
      <c r="N480" s="202"/>
      <c r="O480" s="202"/>
      <c r="P480" s="202"/>
      <c r="Q480" s="202"/>
      <c r="R480" s="202"/>
      <c r="S480" s="202"/>
      <c r="T480" s="203"/>
      <c r="AT480" s="204" t="s">
        <v>388</v>
      </c>
      <c r="AU480" s="204" t="s">
        <v>82</v>
      </c>
      <c r="AV480" s="13" t="s">
        <v>79</v>
      </c>
      <c r="AW480" s="13" t="s">
        <v>33</v>
      </c>
      <c r="AX480" s="13" t="s">
        <v>72</v>
      </c>
      <c r="AY480" s="204" t="s">
        <v>380</v>
      </c>
    </row>
    <row r="481" spans="1:65" s="14" customFormat="1" ht="11.25">
      <c r="B481" s="205"/>
      <c r="C481" s="206"/>
      <c r="D481" s="196" t="s">
        <v>388</v>
      </c>
      <c r="E481" s="207" t="s">
        <v>19</v>
      </c>
      <c r="F481" s="208" t="s">
        <v>2542</v>
      </c>
      <c r="G481" s="206"/>
      <c r="H481" s="209">
        <v>1</v>
      </c>
      <c r="I481" s="210"/>
      <c r="J481" s="206"/>
      <c r="K481" s="206"/>
      <c r="L481" s="211"/>
      <c r="M481" s="212"/>
      <c r="N481" s="213"/>
      <c r="O481" s="213"/>
      <c r="P481" s="213"/>
      <c r="Q481" s="213"/>
      <c r="R481" s="213"/>
      <c r="S481" s="213"/>
      <c r="T481" s="214"/>
      <c r="AT481" s="215" t="s">
        <v>388</v>
      </c>
      <c r="AU481" s="215" t="s">
        <v>82</v>
      </c>
      <c r="AV481" s="14" t="s">
        <v>82</v>
      </c>
      <c r="AW481" s="14" t="s">
        <v>33</v>
      </c>
      <c r="AX481" s="14" t="s">
        <v>72</v>
      </c>
      <c r="AY481" s="215" t="s">
        <v>380</v>
      </c>
    </row>
    <row r="482" spans="1:65" s="13" customFormat="1" ht="11.25">
      <c r="B482" s="194"/>
      <c r="C482" s="195"/>
      <c r="D482" s="196" t="s">
        <v>388</v>
      </c>
      <c r="E482" s="197" t="s">
        <v>19</v>
      </c>
      <c r="F482" s="198" t="s">
        <v>3206</v>
      </c>
      <c r="G482" s="195"/>
      <c r="H482" s="197" t="s">
        <v>19</v>
      </c>
      <c r="I482" s="199"/>
      <c r="J482" s="195"/>
      <c r="K482" s="195"/>
      <c r="L482" s="200"/>
      <c r="M482" s="201"/>
      <c r="N482" s="202"/>
      <c r="O482" s="202"/>
      <c r="P482" s="202"/>
      <c r="Q482" s="202"/>
      <c r="R482" s="202"/>
      <c r="S482" s="202"/>
      <c r="T482" s="203"/>
      <c r="AT482" s="204" t="s">
        <v>388</v>
      </c>
      <c r="AU482" s="204" t="s">
        <v>82</v>
      </c>
      <c r="AV482" s="13" t="s">
        <v>79</v>
      </c>
      <c r="AW482" s="13" t="s">
        <v>33</v>
      </c>
      <c r="AX482" s="13" t="s">
        <v>72</v>
      </c>
      <c r="AY482" s="204" t="s">
        <v>380</v>
      </c>
    </row>
    <row r="483" spans="1:65" s="14" customFormat="1" ht="11.25">
      <c r="B483" s="205"/>
      <c r="C483" s="206"/>
      <c r="D483" s="196" t="s">
        <v>388</v>
      </c>
      <c r="E483" s="207" t="s">
        <v>19</v>
      </c>
      <c r="F483" s="208" t="s">
        <v>2542</v>
      </c>
      <c r="G483" s="206"/>
      <c r="H483" s="209">
        <v>1</v>
      </c>
      <c r="I483" s="210"/>
      <c r="J483" s="206"/>
      <c r="K483" s="206"/>
      <c r="L483" s="211"/>
      <c r="M483" s="212"/>
      <c r="N483" s="213"/>
      <c r="O483" s="213"/>
      <c r="P483" s="213"/>
      <c r="Q483" s="213"/>
      <c r="R483" s="213"/>
      <c r="S483" s="213"/>
      <c r="T483" s="214"/>
      <c r="AT483" s="215" t="s">
        <v>388</v>
      </c>
      <c r="AU483" s="215" t="s">
        <v>82</v>
      </c>
      <c r="AV483" s="14" t="s">
        <v>82</v>
      </c>
      <c r="AW483" s="14" t="s">
        <v>33</v>
      </c>
      <c r="AX483" s="14" t="s">
        <v>72</v>
      </c>
      <c r="AY483" s="215" t="s">
        <v>380</v>
      </c>
    </row>
    <row r="484" spans="1:65" s="15" customFormat="1" ht="11.25">
      <c r="B484" s="216"/>
      <c r="C484" s="217"/>
      <c r="D484" s="196" t="s">
        <v>388</v>
      </c>
      <c r="E484" s="218" t="s">
        <v>19</v>
      </c>
      <c r="F484" s="219" t="s">
        <v>2544</v>
      </c>
      <c r="G484" s="217"/>
      <c r="H484" s="220">
        <v>2</v>
      </c>
      <c r="I484" s="221"/>
      <c r="J484" s="217"/>
      <c r="K484" s="217"/>
      <c r="L484" s="222"/>
      <c r="M484" s="223"/>
      <c r="N484" s="224"/>
      <c r="O484" s="224"/>
      <c r="P484" s="224"/>
      <c r="Q484" s="224"/>
      <c r="R484" s="224"/>
      <c r="S484" s="224"/>
      <c r="T484" s="225"/>
      <c r="AT484" s="226" t="s">
        <v>388</v>
      </c>
      <c r="AU484" s="226" t="s">
        <v>82</v>
      </c>
      <c r="AV484" s="15" t="s">
        <v>386</v>
      </c>
      <c r="AW484" s="15" t="s">
        <v>33</v>
      </c>
      <c r="AX484" s="15" t="s">
        <v>79</v>
      </c>
      <c r="AY484" s="226" t="s">
        <v>380</v>
      </c>
    </row>
    <row r="485" spans="1:65" s="2" customFormat="1" ht="24.2" customHeight="1">
      <c r="A485" s="36"/>
      <c r="B485" s="37"/>
      <c r="C485" s="181" t="s">
        <v>1131</v>
      </c>
      <c r="D485" s="181" t="s">
        <v>382</v>
      </c>
      <c r="E485" s="182" t="s">
        <v>3215</v>
      </c>
      <c r="F485" s="183" t="s">
        <v>3216</v>
      </c>
      <c r="G485" s="184" t="s">
        <v>641</v>
      </c>
      <c r="H485" s="185">
        <v>4</v>
      </c>
      <c r="I485" s="186"/>
      <c r="J485" s="187">
        <f>ROUND(I485*H485,2)</f>
        <v>0</v>
      </c>
      <c r="K485" s="183" t="s">
        <v>19</v>
      </c>
      <c r="L485" s="41"/>
      <c r="M485" s="188" t="s">
        <v>19</v>
      </c>
      <c r="N485" s="189" t="s">
        <v>43</v>
      </c>
      <c r="O485" s="66"/>
      <c r="P485" s="190">
        <f>O485*H485</f>
        <v>0</v>
      </c>
      <c r="Q485" s="190">
        <v>0</v>
      </c>
      <c r="R485" s="190">
        <f>Q485*H485</f>
        <v>0</v>
      </c>
      <c r="S485" s="190">
        <v>0</v>
      </c>
      <c r="T485" s="191">
        <f>S485*H485</f>
        <v>0</v>
      </c>
      <c r="U485" s="36"/>
      <c r="V485" s="36"/>
      <c r="W485" s="36"/>
      <c r="X485" s="36"/>
      <c r="Y485" s="36"/>
      <c r="Z485" s="36"/>
      <c r="AA485" s="36"/>
      <c r="AB485" s="36"/>
      <c r="AC485" s="36"/>
      <c r="AD485" s="36"/>
      <c r="AE485" s="36"/>
      <c r="AR485" s="192" t="s">
        <v>281</v>
      </c>
      <c r="AT485" s="192" t="s">
        <v>382</v>
      </c>
      <c r="AU485" s="192" t="s">
        <v>82</v>
      </c>
      <c r="AY485" s="19" t="s">
        <v>380</v>
      </c>
      <c r="BE485" s="193">
        <f>IF(N485="základní",J485,0)</f>
        <v>0</v>
      </c>
      <c r="BF485" s="193">
        <f>IF(N485="snížená",J485,0)</f>
        <v>0</v>
      </c>
      <c r="BG485" s="193">
        <f>IF(N485="zákl. přenesená",J485,0)</f>
        <v>0</v>
      </c>
      <c r="BH485" s="193">
        <f>IF(N485="sníž. přenesená",J485,0)</f>
        <v>0</v>
      </c>
      <c r="BI485" s="193">
        <f>IF(N485="nulová",J485,0)</f>
        <v>0</v>
      </c>
      <c r="BJ485" s="19" t="s">
        <v>79</v>
      </c>
      <c r="BK485" s="193">
        <f>ROUND(I485*H485,2)</f>
        <v>0</v>
      </c>
      <c r="BL485" s="19" t="s">
        <v>281</v>
      </c>
      <c r="BM485" s="192" t="s">
        <v>1907</v>
      </c>
    </row>
    <row r="486" spans="1:65" s="13" customFormat="1" ht="11.25">
      <c r="B486" s="194"/>
      <c r="C486" s="195"/>
      <c r="D486" s="196" t="s">
        <v>388</v>
      </c>
      <c r="E486" s="197" t="s">
        <v>19</v>
      </c>
      <c r="F486" s="198" t="s">
        <v>3205</v>
      </c>
      <c r="G486" s="195"/>
      <c r="H486" s="197" t="s">
        <v>19</v>
      </c>
      <c r="I486" s="199"/>
      <c r="J486" s="195"/>
      <c r="K486" s="195"/>
      <c r="L486" s="200"/>
      <c r="M486" s="201"/>
      <c r="N486" s="202"/>
      <c r="O486" s="202"/>
      <c r="P486" s="202"/>
      <c r="Q486" s="202"/>
      <c r="R486" s="202"/>
      <c r="S486" s="202"/>
      <c r="T486" s="203"/>
      <c r="AT486" s="204" t="s">
        <v>388</v>
      </c>
      <c r="AU486" s="204" t="s">
        <v>82</v>
      </c>
      <c r="AV486" s="13" t="s">
        <v>79</v>
      </c>
      <c r="AW486" s="13" t="s">
        <v>33</v>
      </c>
      <c r="AX486" s="13" t="s">
        <v>72</v>
      </c>
      <c r="AY486" s="204" t="s">
        <v>380</v>
      </c>
    </row>
    <row r="487" spans="1:65" s="14" customFormat="1" ht="11.25">
      <c r="B487" s="205"/>
      <c r="C487" s="206"/>
      <c r="D487" s="196" t="s">
        <v>388</v>
      </c>
      <c r="E487" s="207" t="s">
        <v>19</v>
      </c>
      <c r="F487" s="208" t="s">
        <v>3183</v>
      </c>
      <c r="G487" s="206"/>
      <c r="H487" s="209">
        <v>3</v>
      </c>
      <c r="I487" s="210"/>
      <c r="J487" s="206"/>
      <c r="K487" s="206"/>
      <c r="L487" s="211"/>
      <c r="M487" s="212"/>
      <c r="N487" s="213"/>
      <c r="O487" s="213"/>
      <c r="P487" s="213"/>
      <c r="Q487" s="213"/>
      <c r="R487" s="213"/>
      <c r="S487" s="213"/>
      <c r="T487" s="214"/>
      <c r="AT487" s="215" t="s">
        <v>388</v>
      </c>
      <c r="AU487" s="215" t="s">
        <v>82</v>
      </c>
      <c r="AV487" s="14" t="s">
        <v>82</v>
      </c>
      <c r="AW487" s="14" t="s">
        <v>33</v>
      </c>
      <c r="AX487" s="14" t="s">
        <v>72</v>
      </c>
      <c r="AY487" s="215" t="s">
        <v>380</v>
      </c>
    </row>
    <row r="488" spans="1:65" s="13" customFormat="1" ht="11.25">
      <c r="B488" s="194"/>
      <c r="C488" s="195"/>
      <c r="D488" s="196" t="s">
        <v>388</v>
      </c>
      <c r="E488" s="197" t="s">
        <v>19</v>
      </c>
      <c r="F488" s="198" t="s">
        <v>3206</v>
      </c>
      <c r="G488" s="195"/>
      <c r="H488" s="197" t="s">
        <v>19</v>
      </c>
      <c r="I488" s="199"/>
      <c r="J488" s="195"/>
      <c r="K488" s="195"/>
      <c r="L488" s="200"/>
      <c r="M488" s="201"/>
      <c r="N488" s="202"/>
      <c r="O488" s="202"/>
      <c r="P488" s="202"/>
      <c r="Q488" s="202"/>
      <c r="R488" s="202"/>
      <c r="S488" s="202"/>
      <c r="T488" s="203"/>
      <c r="AT488" s="204" t="s">
        <v>388</v>
      </c>
      <c r="AU488" s="204" t="s">
        <v>82</v>
      </c>
      <c r="AV488" s="13" t="s">
        <v>79</v>
      </c>
      <c r="AW488" s="13" t="s">
        <v>33</v>
      </c>
      <c r="AX488" s="13" t="s">
        <v>72</v>
      </c>
      <c r="AY488" s="204" t="s">
        <v>380</v>
      </c>
    </row>
    <row r="489" spans="1:65" s="14" customFormat="1" ht="11.25">
      <c r="B489" s="205"/>
      <c r="C489" s="206"/>
      <c r="D489" s="196" t="s">
        <v>388</v>
      </c>
      <c r="E489" s="207" t="s">
        <v>19</v>
      </c>
      <c r="F489" s="208" t="s">
        <v>2542</v>
      </c>
      <c r="G489" s="206"/>
      <c r="H489" s="209">
        <v>1</v>
      </c>
      <c r="I489" s="210"/>
      <c r="J489" s="206"/>
      <c r="K489" s="206"/>
      <c r="L489" s="211"/>
      <c r="M489" s="212"/>
      <c r="N489" s="213"/>
      <c r="O489" s="213"/>
      <c r="P489" s="213"/>
      <c r="Q489" s="213"/>
      <c r="R489" s="213"/>
      <c r="S489" s="213"/>
      <c r="T489" s="214"/>
      <c r="AT489" s="215" t="s">
        <v>388</v>
      </c>
      <c r="AU489" s="215" t="s">
        <v>82</v>
      </c>
      <c r="AV489" s="14" t="s">
        <v>82</v>
      </c>
      <c r="AW489" s="14" t="s">
        <v>33</v>
      </c>
      <c r="AX489" s="14" t="s">
        <v>72</v>
      </c>
      <c r="AY489" s="215" t="s">
        <v>380</v>
      </c>
    </row>
    <row r="490" spans="1:65" s="15" customFormat="1" ht="11.25">
      <c r="B490" s="216"/>
      <c r="C490" s="217"/>
      <c r="D490" s="196" t="s">
        <v>388</v>
      </c>
      <c r="E490" s="218" t="s">
        <v>19</v>
      </c>
      <c r="F490" s="219" t="s">
        <v>2544</v>
      </c>
      <c r="G490" s="217"/>
      <c r="H490" s="220">
        <v>4</v>
      </c>
      <c r="I490" s="221"/>
      <c r="J490" s="217"/>
      <c r="K490" s="217"/>
      <c r="L490" s="222"/>
      <c r="M490" s="223"/>
      <c r="N490" s="224"/>
      <c r="O490" s="224"/>
      <c r="P490" s="224"/>
      <c r="Q490" s="224"/>
      <c r="R490" s="224"/>
      <c r="S490" s="224"/>
      <c r="T490" s="225"/>
      <c r="AT490" s="226" t="s">
        <v>388</v>
      </c>
      <c r="AU490" s="226" t="s">
        <v>82</v>
      </c>
      <c r="AV490" s="15" t="s">
        <v>386</v>
      </c>
      <c r="AW490" s="15" t="s">
        <v>33</v>
      </c>
      <c r="AX490" s="15" t="s">
        <v>79</v>
      </c>
      <c r="AY490" s="226" t="s">
        <v>380</v>
      </c>
    </row>
    <row r="491" spans="1:65" s="2" customFormat="1" ht="16.5" customHeight="1">
      <c r="A491" s="36"/>
      <c r="B491" s="37"/>
      <c r="C491" s="181" t="s">
        <v>1136</v>
      </c>
      <c r="D491" s="181" t="s">
        <v>382</v>
      </c>
      <c r="E491" s="182" t="s">
        <v>3217</v>
      </c>
      <c r="F491" s="183" t="s">
        <v>3218</v>
      </c>
      <c r="G491" s="184" t="s">
        <v>641</v>
      </c>
      <c r="H491" s="185">
        <v>15</v>
      </c>
      <c r="I491" s="186"/>
      <c r="J491" s="187">
        <f>ROUND(I491*H491,2)</f>
        <v>0</v>
      </c>
      <c r="K491" s="183" t="s">
        <v>19</v>
      </c>
      <c r="L491" s="41"/>
      <c r="M491" s="188" t="s">
        <v>19</v>
      </c>
      <c r="N491" s="189" t="s">
        <v>43</v>
      </c>
      <c r="O491" s="66"/>
      <c r="P491" s="190">
        <f>O491*H491</f>
        <v>0</v>
      </c>
      <c r="Q491" s="190">
        <v>0</v>
      </c>
      <c r="R491" s="190">
        <f>Q491*H491</f>
        <v>0</v>
      </c>
      <c r="S491" s="190">
        <v>0</v>
      </c>
      <c r="T491" s="191">
        <f>S491*H491</f>
        <v>0</v>
      </c>
      <c r="U491" s="36"/>
      <c r="V491" s="36"/>
      <c r="W491" s="36"/>
      <c r="X491" s="36"/>
      <c r="Y491" s="36"/>
      <c r="Z491" s="36"/>
      <c r="AA491" s="36"/>
      <c r="AB491" s="36"/>
      <c r="AC491" s="36"/>
      <c r="AD491" s="36"/>
      <c r="AE491" s="36"/>
      <c r="AR491" s="192" t="s">
        <v>281</v>
      </c>
      <c r="AT491" s="192" t="s">
        <v>382</v>
      </c>
      <c r="AU491" s="192" t="s">
        <v>82</v>
      </c>
      <c r="AY491" s="19" t="s">
        <v>380</v>
      </c>
      <c r="BE491" s="193">
        <f>IF(N491="základní",J491,0)</f>
        <v>0</v>
      </c>
      <c r="BF491" s="193">
        <f>IF(N491="snížená",J491,0)</f>
        <v>0</v>
      </c>
      <c r="BG491" s="193">
        <f>IF(N491="zákl. přenesená",J491,0)</f>
        <v>0</v>
      </c>
      <c r="BH491" s="193">
        <f>IF(N491="sníž. přenesená",J491,0)</f>
        <v>0</v>
      </c>
      <c r="BI491" s="193">
        <f>IF(N491="nulová",J491,0)</f>
        <v>0</v>
      </c>
      <c r="BJ491" s="19" t="s">
        <v>79</v>
      </c>
      <c r="BK491" s="193">
        <f>ROUND(I491*H491,2)</f>
        <v>0</v>
      </c>
      <c r="BL491" s="19" t="s">
        <v>281</v>
      </c>
      <c r="BM491" s="192" t="s">
        <v>1915</v>
      </c>
    </row>
    <row r="492" spans="1:65" s="13" customFormat="1" ht="11.25">
      <c r="B492" s="194"/>
      <c r="C492" s="195"/>
      <c r="D492" s="196" t="s">
        <v>388</v>
      </c>
      <c r="E492" s="197" t="s">
        <v>19</v>
      </c>
      <c r="F492" s="198" t="s">
        <v>3219</v>
      </c>
      <c r="G492" s="195"/>
      <c r="H492" s="197" t="s">
        <v>19</v>
      </c>
      <c r="I492" s="199"/>
      <c r="J492" s="195"/>
      <c r="K492" s="195"/>
      <c r="L492" s="200"/>
      <c r="M492" s="201"/>
      <c r="N492" s="202"/>
      <c r="O492" s="202"/>
      <c r="P492" s="202"/>
      <c r="Q492" s="202"/>
      <c r="R492" s="202"/>
      <c r="S492" s="202"/>
      <c r="T492" s="203"/>
      <c r="AT492" s="204" t="s">
        <v>388</v>
      </c>
      <c r="AU492" s="204" t="s">
        <v>82</v>
      </c>
      <c r="AV492" s="13" t="s">
        <v>79</v>
      </c>
      <c r="AW492" s="13" t="s">
        <v>33</v>
      </c>
      <c r="AX492" s="13" t="s">
        <v>72</v>
      </c>
      <c r="AY492" s="204" t="s">
        <v>380</v>
      </c>
    </row>
    <row r="493" spans="1:65" s="13" customFormat="1" ht="11.25">
      <c r="B493" s="194"/>
      <c r="C493" s="195"/>
      <c r="D493" s="196" t="s">
        <v>388</v>
      </c>
      <c r="E493" s="197" t="s">
        <v>19</v>
      </c>
      <c r="F493" s="198" t="s">
        <v>3205</v>
      </c>
      <c r="G493" s="195"/>
      <c r="H493" s="197" t="s">
        <v>19</v>
      </c>
      <c r="I493" s="199"/>
      <c r="J493" s="195"/>
      <c r="K493" s="195"/>
      <c r="L493" s="200"/>
      <c r="M493" s="201"/>
      <c r="N493" s="202"/>
      <c r="O493" s="202"/>
      <c r="P493" s="202"/>
      <c r="Q493" s="202"/>
      <c r="R493" s="202"/>
      <c r="S493" s="202"/>
      <c r="T493" s="203"/>
      <c r="AT493" s="204" t="s">
        <v>388</v>
      </c>
      <c r="AU493" s="204" t="s">
        <v>82</v>
      </c>
      <c r="AV493" s="13" t="s">
        <v>79</v>
      </c>
      <c r="AW493" s="13" t="s">
        <v>33</v>
      </c>
      <c r="AX493" s="13" t="s">
        <v>72</v>
      </c>
      <c r="AY493" s="204" t="s">
        <v>380</v>
      </c>
    </row>
    <row r="494" spans="1:65" s="14" customFormat="1" ht="11.25">
      <c r="B494" s="205"/>
      <c r="C494" s="206"/>
      <c r="D494" s="196" t="s">
        <v>388</v>
      </c>
      <c r="E494" s="207" t="s">
        <v>19</v>
      </c>
      <c r="F494" s="208" t="s">
        <v>3183</v>
      </c>
      <c r="G494" s="206"/>
      <c r="H494" s="209">
        <v>3</v>
      </c>
      <c r="I494" s="210"/>
      <c r="J494" s="206"/>
      <c r="K494" s="206"/>
      <c r="L494" s="211"/>
      <c r="M494" s="212"/>
      <c r="N494" s="213"/>
      <c r="O494" s="213"/>
      <c r="P494" s="213"/>
      <c r="Q494" s="213"/>
      <c r="R494" s="213"/>
      <c r="S494" s="213"/>
      <c r="T494" s="214"/>
      <c r="AT494" s="215" t="s">
        <v>388</v>
      </c>
      <c r="AU494" s="215" t="s">
        <v>82</v>
      </c>
      <c r="AV494" s="14" t="s">
        <v>82</v>
      </c>
      <c r="AW494" s="14" t="s">
        <v>33</v>
      </c>
      <c r="AX494" s="14" t="s">
        <v>72</v>
      </c>
      <c r="AY494" s="215" t="s">
        <v>380</v>
      </c>
    </row>
    <row r="495" spans="1:65" s="13" customFormat="1" ht="11.25">
      <c r="B495" s="194"/>
      <c r="C495" s="195"/>
      <c r="D495" s="196" t="s">
        <v>388</v>
      </c>
      <c r="E495" s="197" t="s">
        <v>19</v>
      </c>
      <c r="F495" s="198" t="s">
        <v>3206</v>
      </c>
      <c r="G495" s="195"/>
      <c r="H495" s="197" t="s">
        <v>19</v>
      </c>
      <c r="I495" s="199"/>
      <c r="J495" s="195"/>
      <c r="K495" s="195"/>
      <c r="L495" s="200"/>
      <c r="M495" s="201"/>
      <c r="N495" s="202"/>
      <c r="O495" s="202"/>
      <c r="P495" s="202"/>
      <c r="Q495" s="202"/>
      <c r="R495" s="202"/>
      <c r="S495" s="202"/>
      <c r="T495" s="203"/>
      <c r="AT495" s="204" t="s">
        <v>388</v>
      </c>
      <c r="AU495" s="204" t="s">
        <v>82</v>
      </c>
      <c r="AV495" s="13" t="s">
        <v>79</v>
      </c>
      <c r="AW495" s="13" t="s">
        <v>33</v>
      </c>
      <c r="AX495" s="13" t="s">
        <v>72</v>
      </c>
      <c r="AY495" s="204" t="s">
        <v>380</v>
      </c>
    </row>
    <row r="496" spans="1:65" s="14" customFormat="1" ht="11.25">
      <c r="B496" s="205"/>
      <c r="C496" s="206"/>
      <c r="D496" s="196" t="s">
        <v>388</v>
      </c>
      <c r="E496" s="207" t="s">
        <v>19</v>
      </c>
      <c r="F496" s="208" t="s">
        <v>2998</v>
      </c>
      <c r="G496" s="206"/>
      <c r="H496" s="209">
        <v>2</v>
      </c>
      <c r="I496" s="210"/>
      <c r="J496" s="206"/>
      <c r="K496" s="206"/>
      <c r="L496" s="211"/>
      <c r="M496" s="212"/>
      <c r="N496" s="213"/>
      <c r="O496" s="213"/>
      <c r="P496" s="213"/>
      <c r="Q496" s="213"/>
      <c r="R496" s="213"/>
      <c r="S496" s="213"/>
      <c r="T496" s="214"/>
      <c r="AT496" s="215" t="s">
        <v>388</v>
      </c>
      <c r="AU496" s="215" t="s">
        <v>82</v>
      </c>
      <c r="AV496" s="14" t="s">
        <v>82</v>
      </c>
      <c r="AW496" s="14" t="s">
        <v>33</v>
      </c>
      <c r="AX496" s="14" t="s">
        <v>72</v>
      </c>
      <c r="AY496" s="215" t="s">
        <v>380</v>
      </c>
    </row>
    <row r="497" spans="1:65" s="13" customFormat="1" ht="11.25">
      <c r="B497" s="194"/>
      <c r="C497" s="195"/>
      <c r="D497" s="196" t="s">
        <v>388</v>
      </c>
      <c r="E497" s="197" t="s">
        <v>19</v>
      </c>
      <c r="F497" s="198" t="s">
        <v>3209</v>
      </c>
      <c r="G497" s="195"/>
      <c r="H497" s="197" t="s">
        <v>19</v>
      </c>
      <c r="I497" s="199"/>
      <c r="J497" s="195"/>
      <c r="K497" s="195"/>
      <c r="L497" s="200"/>
      <c r="M497" s="201"/>
      <c r="N497" s="202"/>
      <c r="O497" s="202"/>
      <c r="P497" s="202"/>
      <c r="Q497" s="202"/>
      <c r="R497" s="202"/>
      <c r="S497" s="202"/>
      <c r="T497" s="203"/>
      <c r="AT497" s="204" t="s">
        <v>388</v>
      </c>
      <c r="AU497" s="204" t="s">
        <v>82</v>
      </c>
      <c r="AV497" s="13" t="s">
        <v>79</v>
      </c>
      <c r="AW497" s="13" t="s">
        <v>33</v>
      </c>
      <c r="AX497" s="13" t="s">
        <v>72</v>
      </c>
      <c r="AY497" s="204" t="s">
        <v>380</v>
      </c>
    </row>
    <row r="498" spans="1:65" s="14" customFormat="1" ht="11.25">
      <c r="B498" s="205"/>
      <c r="C498" s="206"/>
      <c r="D498" s="196" t="s">
        <v>388</v>
      </c>
      <c r="E498" s="207" t="s">
        <v>19</v>
      </c>
      <c r="F498" s="208" t="s">
        <v>3107</v>
      </c>
      <c r="G498" s="206"/>
      <c r="H498" s="209">
        <v>7</v>
      </c>
      <c r="I498" s="210"/>
      <c r="J498" s="206"/>
      <c r="K498" s="206"/>
      <c r="L498" s="211"/>
      <c r="M498" s="212"/>
      <c r="N498" s="213"/>
      <c r="O498" s="213"/>
      <c r="P498" s="213"/>
      <c r="Q498" s="213"/>
      <c r="R498" s="213"/>
      <c r="S498" s="213"/>
      <c r="T498" s="214"/>
      <c r="AT498" s="215" t="s">
        <v>388</v>
      </c>
      <c r="AU498" s="215" t="s">
        <v>82</v>
      </c>
      <c r="AV498" s="14" t="s">
        <v>82</v>
      </c>
      <c r="AW498" s="14" t="s">
        <v>33</v>
      </c>
      <c r="AX498" s="14" t="s">
        <v>72</v>
      </c>
      <c r="AY498" s="215" t="s">
        <v>380</v>
      </c>
    </row>
    <row r="499" spans="1:65" s="13" customFormat="1" ht="11.25">
      <c r="B499" s="194"/>
      <c r="C499" s="195"/>
      <c r="D499" s="196" t="s">
        <v>388</v>
      </c>
      <c r="E499" s="197" t="s">
        <v>19</v>
      </c>
      <c r="F499" s="198" t="s">
        <v>3210</v>
      </c>
      <c r="G499" s="195"/>
      <c r="H499" s="197" t="s">
        <v>19</v>
      </c>
      <c r="I499" s="199"/>
      <c r="J499" s="195"/>
      <c r="K499" s="195"/>
      <c r="L499" s="200"/>
      <c r="M499" s="201"/>
      <c r="N499" s="202"/>
      <c r="O499" s="202"/>
      <c r="P499" s="202"/>
      <c r="Q499" s="202"/>
      <c r="R499" s="202"/>
      <c r="S499" s="202"/>
      <c r="T499" s="203"/>
      <c r="AT499" s="204" t="s">
        <v>388</v>
      </c>
      <c r="AU499" s="204" t="s">
        <v>82</v>
      </c>
      <c r="AV499" s="13" t="s">
        <v>79</v>
      </c>
      <c r="AW499" s="13" t="s">
        <v>33</v>
      </c>
      <c r="AX499" s="13" t="s">
        <v>72</v>
      </c>
      <c r="AY499" s="204" t="s">
        <v>380</v>
      </c>
    </row>
    <row r="500" spans="1:65" s="14" customFormat="1" ht="11.25">
      <c r="B500" s="205"/>
      <c r="C500" s="206"/>
      <c r="D500" s="196" t="s">
        <v>388</v>
      </c>
      <c r="E500" s="207" t="s">
        <v>19</v>
      </c>
      <c r="F500" s="208" t="s">
        <v>2542</v>
      </c>
      <c r="G500" s="206"/>
      <c r="H500" s="209">
        <v>1</v>
      </c>
      <c r="I500" s="210"/>
      <c r="J500" s="206"/>
      <c r="K500" s="206"/>
      <c r="L500" s="211"/>
      <c r="M500" s="212"/>
      <c r="N500" s="213"/>
      <c r="O500" s="213"/>
      <c r="P500" s="213"/>
      <c r="Q500" s="213"/>
      <c r="R500" s="213"/>
      <c r="S500" s="213"/>
      <c r="T500" s="214"/>
      <c r="AT500" s="215" t="s">
        <v>388</v>
      </c>
      <c r="AU500" s="215" t="s">
        <v>82</v>
      </c>
      <c r="AV500" s="14" t="s">
        <v>82</v>
      </c>
      <c r="AW500" s="14" t="s">
        <v>33</v>
      </c>
      <c r="AX500" s="14" t="s">
        <v>72</v>
      </c>
      <c r="AY500" s="215" t="s">
        <v>380</v>
      </c>
    </row>
    <row r="501" spans="1:65" s="13" customFormat="1" ht="11.25">
      <c r="B501" s="194"/>
      <c r="C501" s="195"/>
      <c r="D501" s="196" t="s">
        <v>388</v>
      </c>
      <c r="E501" s="197" t="s">
        <v>19</v>
      </c>
      <c r="F501" s="198" t="s">
        <v>3220</v>
      </c>
      <c r="G501" s="195"/>
      <c r="H501" s="197" t="s">
        <v>19</v>
      </c>
      <c r="I501" s="199"/>
      <c r="J501" s="195"/>
      <c r="K501" s="195"/>
      <c r="L501" s="200"/>
      <c r="M501" s="201"/>
      <c r="N501" s="202"/>
      <c r="O501" s="202"/>
      <c r="P501" s="202"/>
      <c r="Q501" s="202"/>
      <c r="R501" s="202"/>
      <c r="S501" s="202"/>
      <c r="T501" s="203"/>
      <c r="AT501" s="204" t="s">
        <v>388</v>
      </c>
      <c r="AU501" s="204" t="s">
        <v>82</v>
      </c>
      <c r="AV501" s="13" t="s">
        <v>79</v>
      </c>
      <c r="AW501" s="13" t="s">
        <v>33</v>
      </c>
      <c r="AX501" s="13" t="s">
        <v>72</v>
      </c>
      <c r="AY501" s="204" t="s">
        <v>380</v>
      </c>
    </row>
    <row r="502" spans="1:65" s="13" customFormat="1" ht="11.25">
      <c r="B502" s="194"/>
      <c r="C502" s="195"/>
      <c r="D502" s="196" t="s">
        <v>388</v>
      </c>
      <c r="E502" s="197" t="s">
        <v>19</v>
      </c>
      <c r="F502" s="198" t="s">
        <v>3209</v>
      </c>
      <c r="G502" s="195"/>
      <c r="H502" s="197" t="s">
        <v>19</v>
      </c>
      <c r="I502" s="199"/>
      <c r="J502" s="195"/>
      <c r="K502" s="195"/>
      <c r="L502" s="200"/>
      <c r="M502" s="201"/>
      <c r="N502" s="202"/>
      <c r="O502" s="202"/>
      <c r="P502" s="202"/>
      <c r="Q502" s="202"/>
      <c r="R502" s="202"/>
      <c r="S502" s="202"/>
      <c r="T502" s="203"/>
      <c r="AT502" s="204" t="s">
        <v>388</v>
      </c>
      <c r="AU502" s="204" t="s">
        <v>82</v>
      </c>
      <c r="AV502" s="13" t="s">
        <v>79</v>
      </c>
      <c r="AW502" s="13" t="s">
        <v>33</v>
      </c>
      <c r="AX502" s="13" t="s">
        <v>72</v>
      </c>
      <c r="AY502" s="204" t="s">
        <v>380</v>
      </c>
    </row>
    <row r="503" spans="1:65" s="14" customFormat="1" ht="11.25">
      <c r="B503" s="205"/>
      <c r="C503" s="206"/>
      <c r="D503" s="196" t="s">
        <v>388</v>
      </c>
      <c r="E503" s="207" t="s">
        <v>19</v>
      </c>
      <c r="F503" s="208" t="s">
        <v>2998</v>
      </c>
      <c r="G503" s="206"/>
      <c r="H503" s="209">
        <v>2</v>
      </c>
      <c r="I503" s="210"/>
      <c r="J503" s="206"/>
      <c r="K503" s="206"/>
      <c r="L503" s="211"/>
      <c r="M503" s="212"/>
      <c r="N503" s="213"/>
      <c r="O503" s="213"/>
      <c r="P503" s="213"/>
      <c r="Q503" s="213"/>
      <c r="R503" s="213"/>
      <c r="S503" s="213"/>
      <c r="T503" s="214"/>
      <c r="AT503" s="215" t="s">
        <v>388</v>
      </c>
      <c r="AU503" s="215" t="s">
        <v>82</v>
      </c>
      <c r="AV503" s="14" t="s">
        <v>82</v>
      </c>
      <c r="AW503" s="14" t="s">
        <v>33</v>
      </c>
      <c r="AX503" s="14" t="s">
        <v>72</v>
      </c>
      <c r="AY503" s="215" t="s">
        <v>380</v>
      </c>
    </row>
    <row r="504" spans="1:65" s="15" customFormat="1" ht="11.25">
      <c r="B504" s="216"/>
      <c r="C504" s="217"/>
      <c r="D504" s="196" t="s">
        <v>388</v>
      </c>
      <c r="E504" s="218" t="s">
        <v>19</v>
      </c>
      <c r="F504" s="219" t="s">
        <v>2544</v>
      </c>
      <c r="G504" s="217"/>
      <c r="H504" s="220">
        <v>15</v>
      </c>
      <c r="I504" s="221"/>
      <c r="J504" s="217"/>
      <c r="K504" s="217"/>
      <c r="L504" s="222"/>
      <c r="M504" s="223"/>
      <c r="N504" s="224"/>
      <c r="O504" s="224"/>
      <c r="P504" s="224"/>
      <c r="Q504" s="224"/>
      <c r="R504" s="224"/>
      <c r="S504" s="224"/>
      <c r="T504" s="225"/>
      <c r="AT504" s="226" t="s">
        <v>388</v>
      </c>
      <c r="AU504" s="226" t="s">
        <v>82</v>
      </c>
      <c r="AV504" s="15" t="s">
        <v>386</v>
      </c>
      <c r="AW504" s="15" t="s">
        <v>33</v>
      </c>
      <c r="AX504" s="15" t="s">
        <v>79</v>
      </c>
      <c r="AY504" s="226" t="s">
        <v>380</v>
      </c>
    </row>
    <row r="505" spans="1:65" s="2" customFormat="1" ht="16.5" customHeight="1">
      <c r="A505" s="36"/>
      <c r="B505" s="37"/>
      <c r="C505" s="181" t="s">
        <v>1140</v>
      </c>
      <c r="D505" s="181" t="s">
        <v>382</v>
      </c>
      <c r="E505" s="182" t="s">
        <v>3221</v>
      </c>
      <c r="F505" s="183" t="s">
        <v>3222</v>
      </c>
      <c r="G505" s="184" t="s">
        <v>641</v>
      </c>
      <c r="H505" s="185">
        <v>22</v>
      </c>
      <c r="I505" s="186"/>
      <c r="J505" s="187">
        <f>ROUND(I505*H505,2)</f>
        <v>0</v>
      </c>
      <c r="K505" s="183" t="s">
        <v>19</v>
      </c>
      <c r="L505" s="41"/>
      <c r="M505" s="188" t="s">
        <v>19</v>
      </c>
      <c r="N505" s="189" t="s">
        <v>43</v>
      </c>
      <c r="O505" s="66"/>
      <c r="P505" s="190">
        <f>O505*H505</f>
        <v>0</v>
      </c>
      <c r="Q505" s="190">
        <v>0</v>
      </c>
      <c r="R505" s="190">
        <f>Q505*H505</f>
        <v>0</v>
      </c>
      <c r="S505" s="190">
        <v>0</v>
      </c>
      <c r="T505" s="191">
        <f>S505*H505</f>
        <v>0</v>
      </c>
      <c r="U505" s="36"/>
      <c r="V505" s="36"/>
      <c r="W505" s="36"/>
      <c r="X505" s="36"/>
      <c r="Y505" s="36"/>
      <c r="Z505" s="36"/>
      <c r="AA505" s="36"/>
      <c r="AB505" s="36"/>
      <c r="AC505" s="36"/>
      <c r="AD505" s="36"/>
      <c r="AE505" s="36"/>
      <c r="AR505" s="192" t="s">
        <v>281</v>
      </c>
      <c r="AT505" s="192" t="s">
        <v>382</v>
      </c>
      <c r="AU505" s="192" t="s">
        <v>82</v>
      </c>
      <c r="AY505" s="19" t="s">
        <v>380</v>
      </c>
      <c r="BE505" s="193">
        <f>IF(N505="základní",J505,0)</f>
        <v>0</v>
      </c>
      <c r="BF505" s="193">
        <f>IF(N505="snížená",J505,0)</f>
        <v>0</v>
      </c>
      <c r="BG505" s="193">
        <f>IF(N505="zákl. přenesená",J505,0)</f>
        <v>0</v>
      </c>
      <c r="BH505" s="193">
        <f>IF(N505="sníž. přenesená",J505,0)</f>
        <v>0</v>
      </c>
      <c r="BI505" s="193">
        <f>IF(N505="nulová",J505,0)</f>
        <v>0</v>
      </c>
      <c r="BJ505" s="19" t="s">
        <v>79</v>
      </c>
      <c r="BK505" s="193">
        <f>ROUND(I505*H505,2)</f>
        <v>0</v>
      </c>
      <c r="BL505" s="19" t="s">
        <v>281</v>
      </c>
      <c r="BM505" s="192" t="s">
        <v>1923</v>
      </c>
    </row>
    <row r="506" spans="1:65" s="13" customFormat="1" ht="11.25">
      <c r="B506" s="194"/>
      <c r="C506" s="195"/>
      <c r="D506" s="196" t="s">
        <v>388</v>
      </c>
      <c r="E506" s="197" t="s">
        <v>19</v>
      </c>
      <c r="F506" s="198" t="s">
        <v>3219</v>
      </c>
      <c r="G506" s="195"/>
      <c r="H506" s="197" t="s">
        <v>19</v>
      </c>
      <c r="I506" s="199"/>
      <c r="J506" s="195"/>
      <c r="K506" s="195"/>
      <c r="L506" s="200"/>
      <c r="M506" s="201"/>
      <c r="N506" s="202"/>
      <c r="O506" s="202"/>
      <c r="P506" s="202"/>
      <c r="Q506" s="202"/>
      <c r="R506" s="202"/>
      <c r="S506" s="202"/>
      <c r="T506" s="203"/>
      <c r="AT506" s="204" t="s">
        <v>388</v>
      </c>
      <c r="AU506" s="204" t="s">
        <v>82</v>
      </c>
      <c r="AV506" s="13" t="s">
        <v>79</v>
      </c>
      <c r="AW506" s="13" t="s">
        <v>33</v>
      </c>
      <c r="AX506" s="13" t="s">
        <v>72</v>
      </c>
      <c r="AY506" s="204" t="s">
        <v>380</v>
      </c>
    </row>
    <row r="507" spans="1:65" s="13" customFormat="1" ht="11.25">
      <c r="B507" s="194"/>
      <c r="C507" s="195"/>
      <c r="D507" s="196" t="s">
        <v>388</v>
      </c>
      <c r="E507" s="197" t="s">
        <v>19</v>
      </c>
      <c r="F507" s="198" t="s">
        <v>3205</v>
      </c>
      <c r="G507" s="195"/>
      <c r="H507" s="197" t="s">
        <v>19</v>
      </c>
      <c r="I507" s="199"/>
      <c r="J507" s="195"/>
      <c r="K507" s="195"/>
      <c r="L507" s="200"/>
      <c r="M507" s="201"/>
      <c r="N507" s="202"/>
      <c r="O507" s="202"/>
      <c r="P507" s="202"/>
      <c r="Q507" s="202"/>
      <c r="R507" s="202"/>
      <c r="S507" s="202"/>
      <c r="T507" s="203"/>
      <c r="AT507" s="204" t="s">
        <v>388</v>
      </c>
      <c r="AU507" s="204" t="s">
        <v>82</v>
      </c>
      <c r="AV507" s="13" t="s">
        <v>79</v>
      </c>
      <c r="AW507" s="13" t="s">
        <v>33</v>
      </c>
      <c r="AX507" s="13" t="s">
        <v>72</v>
      </c>
      <c r="AY507" s="204" t="s">
        <v>380</v>
      </c>
    </row>
    <row r="508" spans="1:65" s="14" customFormat="1" ht="11.25">
      <c r="B508" s="205"/>
      <c r="C508" s="206"/>
      <c r="D508" s="196" t="s">
        <v>388</v>
      </c>
      <c r="E508" s="207" t="s">
        <v>19</v>
      </c>
      <c r="F508" s="208" t="s">
        <v>3183</v>
      </c>
      <c r="G508" s="206"/>
      <c r="H508" s="209">
        <v>3</v>
      </c>
      <c r="I508" s="210"/>
      <c r="J508" s="206"/>
      <c r="K508" s="206"/>
      <c r="L508" s="211"/>
      <c r="M508" s="212"/>
      <c r="N508" s="213"/>
      <c r="O508" s="213"/>
      <c r="P508" s="213"/>
      <c r="Q508" s="213"/>
      <c r="R508" s="213"/>
      <c r="S508" s="213"/>
      <c r="T508" s="214"/>
      <c r="AT508" s="215" t="s">
        <v>388</v>
      </c>
      <c r="AU508" s="215" t="s">
        <v>82</v>
      </c>
      <c r="AV508" s="14" t="s">
        <v>82</v>
      </c>
      <c r="AW508" s="14" t="s">
        <v>33</v>
      </c>
      <c r="AX508" s="14" t="s">
        <v>72</v>
      </c>
      <c r="AY508" s="215" t="s">
        <v>380</v>
      </c>
    </row>
    <row r="509" spans="1:65" s="13" customFormat="1" ht="11.25">
      <c r="B509" s="194"/>
      <c r="C509" s="195"/>
      <c r="D509" s="196" t="s">
        <v>388</v>
      </c>
      <c r="E509" s="197" t="s">
        <v>19</v>
      </c>
      <c r="F509" s="198" t="s">
        <v>3206</v>
      </c>
      <c r="G509" s="195"/>
      <c r="H509" s="197" t="s">
        <v>19</v>
      </c>
      <c r="I509" s="199"/>
      <c r="J509" s="195"/>
      <c r="K509" s="195"/>
      <c r="L509" s="200"/>
      <c r="M509" s="201"/>
      <c r="N509" s="202"/>
      <c r="O509" s="202"/>
      <c r="P509" s="202"/>
      <c r="Q509" s="202"/>
      <c r="R509" s="202"/>
      <c r="S509" s="202"/>
      <c r="T509" s="203"/>
      <c r="AT509" s="204" t="s">
        <v>388</v>
      </c>
      <c r="AU509" s="204" t="s">
        <v>82</v>
      </c>
      <c r="AV509" s="13" t="s">
        <v>79</v>
      </c>
      <c r="AW509" s="13" t="s">
        <v>33</v>
      </c>
      <c r="AX509" s="13" t="s">
        <v>72</v>
      </c>
      <c r="AY509" s="204" t="s">
        <v>380</v>
      </c>
    </row>
    <row r="510" spans="1:65" s="14" customFormat="1" ht="11.25">
      <c r="B510" s="205"/>
      <c r="C510" s="206"/>
      <c r="D510" s="196" t="s">
        <v>388</v>
      </c>
      <c r="E510" s="207" t="s">
        <v>19</v>
      </c>
      <c r="F510" s="208" t="s">
        <v>3183</v>
      </c>
      <c r="G510" s="206"/>
      <c r="H510" s="209">
        <v>3</v>
      </c>
      <c r="I510" s="210"/>
      <c r="J510" s="206"/>
      <c r="K510" s="206"/>
      <c r="L510" s="211"/>
      <c r="M510" s="212"/>
      <c r="N510" s="213"/>
      <c r="O510" s="213"/>
      <c r="P510" s="213"/>
      <c r="Q510" s="213"/>
      <c r="R510" s="213"/>
      <c r="S510" s="213"/>
      <c r="T510" s="214"/>
      <c r="AT510" s="215" t="s">
        <v>388</v>
      </c>
      <c r="AU510" s="215" t="s">
        <v>82</v>
      </c>
      <c r="AV510" s="14" t="s">
        <v>82</v>
      </c>
      <c r="AW510" s="14" t="s">
        <v>33</v>
      </c>
      <c r="AX510" s="14" t="s">
        <v>72</v>
      </c>
      <c r="AY510" s="215" t="s">
        <v>380</v>
      </c>
    </row>
    <row r="511" spans="1:65" s="13" customFormat="1" ht="11.25">
      <c r="B511" s="194"/>
      <c r="C511" s="195"/>
      <c r="D511" s="196" t="s">
        <v>388</v>
      </c>
      <c r="E511" s="197" t="s">
        <v>19</v>
      </c>
      <c r="F511" s="198" t="s">
        <v>3209</v>
      </c>
      <c r="G511" s="195"/>
      <c r="H511" s="197" t="s">
        <v>19</v>
      </c>
      <c r="I511" s="199"/>
      <c r="J511" s="195"/>
      <c r="K511" s="195"/>
      <c r="L511" s="200"/>
      <c r="M511" s="201"/>
      <c r="N511" s="202"/>
      <c r="O511" s="202"/>
      <c r="P511" s="202"/>
      <c r="Q511" s="202"/>
      <c r="R511" s="202"/>
      <c r="S511" s="202"/>
      <c r="T511" s="203"/>
      <c r="AT511" s="204" t="s">
        <v>388</v>
      </c>
      <c r="AU511" s="204" t="s">
        <v>82</v>
      </c>
      <c r="AV511" s="13" t="s">
        <v>79</v>
      </c>
      <c r="AW511" s="13" t="s">
        <v>33</v>
      </c>
      <c r="AX511" s="13" t="s">
        <v>72</v>
      </c>
      <c r="AY511" s="204" t="s">
        <v>380</v>
      </c>
    </row>
    <row r="512" spans="1:65" s="14" customFormat="1" ht="11.25">
      <c r="B512" s="205"/>
      <c r="C512" s="206"/>
      <c r="D512" s="196" t="s">
        <v>388</v>
      </c>
      <c r="E512" s="207" t="s">
        <v>19</v>
      </c>
      <c r="F512" s="208" t="s">
        <v>3223</v>
      </c>
      <c r="G512" s="206"/>
      <c r="H512" s="209">
        <v>8</v>
      </c>
      <c r="I512" s="210"/>
      <c r="J512" s="206"/>
      <c r="K512" s="206"/>
      <c r="L512" s="211"/>
      <c r="M512" s="212"/>
      <c r="N512" s="213"/>
      <c r="O512" s="213"/>
      <c r="P512" s="213"/>
      <c r="Q512" s="213"/>
      <c r="R512" s="213"/>
      <c r="S512" s="213"/>
      <c r="T512" s="214"/>
      <c r="AT512" s="215" t="s">
        <v>388</v>
      </c>
      <c r="AU512" s="215" t="s">
        <v>82</v>
      </c>
      <c r="AV512" s="14" t="s">
        <v>82</v>
      </c>
      <c r="AW512" s="14" t="s">
        <v>33</v>
      </c>
      <c r="AX512" s="14" t="s">
        <v>72</v>
      </c>
      <c r="AY512" s="215" t="s">
        <v>380</v>
      </c>
    </row>
    <row r="513" spans="1:65" s="13" customFormat="1" ht="11.25">
      <c r="B513" s="194"/>
      <c r="C513" s="195"/>
      <c r="D513" s="196" t="s">
        <v>388</v>
      </c>
      <c r="E513" s="197" t="s">
        <v>19</v>
      </c>
      <c r="F513" s="198" t="s">
        <v>3210</v>
      </c>
      <c r="G513" s="195"/>
      <c r="H513" s="197" t="s">
        <v>19</v>
      </c>
      <c r="I513" s="199"/>
      <c r="J513" s="195"/>
      <c r="K513" s="195"/>
      <c r="L513" s="200"/>
      <c r="M513" s="201"/>
      <c r="N513" s="202"/>
      <c r="O513" s="202"/>
      <c r="P513" s="202"/>
      <c r="Q513" s="202"/>
      <c r="R513" s="202"/>
      <c r="S513" s="202"/>
      <c r="T513" s="203"/>
      <c r="AT513" s="204" t="s">
        <v>388</v>
      </c>
      <c r="AU513" s="204" t="s">
        <v>82</v>
      </c>
      <c r="AV513" s="13" t="s">
        <v>79</v>
      </c>
      <c r="AW513" s="13" t="s">
        <v>33</v>
      </c>
      <c r="AX513" s="13" t="s">
        <v>72</v>
      </c>
      <c r="AY513" s="204" t="s">
        <v>380</v>
      </c>
    </row>
    <row r="514" spans="1:65" s="14" customFormat="1" ht="11.25">
      <c r="B514" s="205"/>
      <c r="C514" s="206"/>
      <c r="D514" s="196" t="s">
        <v>388</v>
      </c>
      <c r="E514" s="207" t="s">
        <v>19</v>
      </c>
      <c r="F514" s="208" t="s">
        <v>3224</v>
      </c>
      <c r="G514" s="206"/>
      <c r="H514" s="209">
        <v>6</v>
      </c>
      <c r="I514" s="210"/>
      <c r="J514" s="206"/>
      <c r="K514" s="206"/>
      <c r="L514" s="211"/>
      <c r="M514" s="212"/>
      <c r="N514" s="213"/>
      <c r="O514" s="213"/>
      <c r="P514" s="213"/>
      <c r="Q514" s="213"/>
      <c r="R514" s="213"/>
      <c r="S514" s="213"/>
      <c r="T514" s="214"/>
      <c r="AT514" s="215" t="s">
        <v>388</v>
      </c>
      <c r="AU514" s="215" t="s">
        <v>82</v>
      </c>
      <c r="AV514" s="14" t="s">
        <v>82</v>
      </c>
      <c r="AW514" s="14" t="s">
        <v>33</v>
      </c>
      <c r="AX514" s="14" t="s">
        <v>72</v>
      </c>
      <c r="AY514" s="215" t="s">
        <v>380</v>
      </c>
    </row>
    <row r="515" spans="1:65" s="13" customFormat="1" ht="11.25">
      <c r="B515" s="194"/>
      <c r="C515" s="195"/>
      <c r="D515" s="196" t="s">
        <v>388</v>
      </c>
      <c r="E515" s="197" t="s">
        <v>19</v>
      </c>
      <c r="F515" s="198" t="s">
        <v>3220</v>
      </c>
      <c r="G515" s="195"/>
      <c r="H515" s="197" t="s">
        <v>19</v>
      </c>
      <c r="I515" s="199"/>
      <c r="J515" s="195"/>
      <c r="K515" s="195"/>
      <c r="L515" s="200"/>
      <c r="M515" s="201"/>
      <c r="N515" s="202"/>
      <c r="O515" s="202"/>
      <c r="P515" s="202"/>
      <c r="Q515" s="202"/>
      <c r="R515" s="202"/>
      <c r="S515" s="202"/>
      <c r="T515" s="203"/>
      <c r="AT515" s="204" t="s">
        <v>388</v>
      </c>
      <c r="AU515" s="204" t="s">
        <v>82</v>
      </c>
      <c r="AV515" s="13" t="s">
        <v>79</v>
      </c>
      <c r="AW515" s="13" t="s">
        <v>33</v>
      </c>
      <c r="AX515" s="13" t="s">
        <v>72</v>
      </c>
      <c r="AY515" s="204" t="s">
        <v>380</v>
      </c>
    </row>
    <row r="516" spans="1:65" s="13" customFormat="1" ht="11.25">
      <c r="B516" s="194"/>
      <c r="C516" s="195"/>
      <c r="D516" s="196" t="s">
        <v>388</v>
      </c>
      <c r="E516" s="197" t="s">
        <v>19</v>
      </c>
      <c r="F516" s="198" t="s">
        <v>3206</v>
      </c>
      <c r="G516" s="195"/>
      <c r="H516" s="197" t="s">
        <v>19</v>
      </c>
      <c r="I516" s="199"/>
      <c r="J516" s="195"/>
      <c r="K516" s="195"/>
      <c r="L516" s="200"/>
      <c r="M516" s="201"/>
      <c r="N516" s="202"/>
      <c r="O516" s="202"/>
      <c r="P516" s="202"/>
      <c r="Q516" s="202"/>
      <c r="R516" s="202"/>
      <c r="S516" s="202"/>
      <c r="T516" s="203"/>
      <c r="AT516" s="204" t="s">
        <v>388</v>
      </c>
      <c r="AU516" s="204" t="s">
        <v>82</v>
      </c>
      <c r="AV516" s="13" t="s">
        <v>79</v>
      </c>
      <c r="AW516" s="13" t="s">
        <v>33</v>
      </c>
      <c r="AX516" s="13" t="s">
        <v>72</v>
      </c>
      <c r="AY516" s="204" t="s">
        <v>380</v>
      </c>
    </row>
    <row r="517" spans="1:65" s="14" customFormat="1" ht="11.25">
      <c r="B517" s="205"/>
      <c r="C517" s="206"/>
      <c r="D517" s="196" t="s">
        <v>388</v>
      </c>
      <c r="E517" s="207" t="s">
        <v>19</v>
      </c>
      <c r="F517" s="208" t="s">
        <v>2542</v>
      </c>
      <c r="G517" s="206"/>
      <c r="H517" s="209">
        <v>1</v>
      </c>
      <c r="I517" s="210"/>
      <c r="J517" s="206"/>
      <c r="K517" s="206"/>
      <c r="L517" s="211"/>
      <c r="M517" s="212"/>
      <c r="N517" s="213"/>
      <c r="O517" s="213"/>
      <c r="P517" s="213"/>
      <c r="Q517" s="213"/>
      <c r="R517" s="213"/>
      <c r="S517" s="213"/>
      <c r="T517" s="214"/>
      <c r="AT517" s="215" t="s">
        <v>388</v>
      </c>
      <c r="AU517" s="215" t="s">
        <v>82</v>
      </c>
      <c r="AV517" s="14" t="s">
        <v>82</v>
      </c>
      <c r="AW517" s="14" t="s">
        <v>33</v>
      </c>
      <c r="AX517" s="14" t="s">
        <v>72</v>
      </c>
      <c r="AY517" s="215" t="s">
        <v>380</v>
      </c>
    </row>
    <row r="518" spans="1:65" s="13" customFormat="1" ht="11.25">
      <c r="B518" s="194"/>
      <c r="C518" s="195"/>
      <c r="D518" s="196" t="s">
        <v>388</v>
      </c>
      <c r="E518" s="197" t="s">
        <v>19</v>
      </c>
      <c r="F518" s="198" t="s">
        <v>3209</v>
      </c>
      <c r="G518" s="195"/>
      <c r="H518" s="197" t="s">
        <v>19</v>
      </c>
      <c r="I518" s="199"/>
      <c r="J518" s="195"/>
      <c r="K518" s="195"/>
      <c r="L518" s="200"/>
      <c r="M518" s="201"/>
      <c r="N518" s="202"/>
      <c r="O518" s="202"/>
      <c r="P518" s="202"/>
      <c r="Q518" s="202"/>
      <c r="R518" s="202"/>
      <c r="S518" s="202"/>
      <c r="T518" s="203"/>
      <c r="AT518" s="204" t="s">
        <v>388</v>
      </c>
      <c r="AU518" s="204" t="s">
        <v>82</v>
      </c>
      <c r="AV518" s="13" t="s">
        <v>79</v>
      </c>
      <c r="AW518" s="13" t="s">
        <v>33</v>
      </c>
      <c r="AX518" s="13" t="s">
        <v>72</v>
      </c>
      <c r="AY518" s="204" t="s">
        <v>380</v>
      </c>
    </row>
    <row r="519" spans="1:65" s="14" customFormat="1" ht="11.25">
      <c r="B519" s="205"/>
      <c r="C519" s="206"/>
      <c r="D519" s="196" t="s">
        <v>388</v>
      </c>
      <c r="E519" s="207" t="s">
        <v>19</v>
      </c>
      <c r="F519" s="208" t="s">
        <v>2542</v>
      </c>
      <c r="G519" s="206"/>
      <c r="H519" s="209">
        <v>1</v>
      </c>
      <c r="I519" s="210"/>
      <c r="J519" s="206"/>
      <c r="K519" s="206"/>
      <c r="L519" s="211"/>
      <c r="M519" s="212"/>
      <c r="N519" s="213"/>
      <c r="O519" s="213"/>
      <c r="P519" s="213"/>
      <c r="Q519" s="213"/>
      <c r="R519" s="213"/>
      <c r="S519" s="213"/>
      <c r="T519" s="214"/>
      <c r="AT519" s="215" t="s">
        <v>388</v>
      </c>
      <c r="AU519" s="215" t="s">
        <v>82</v>
      </c>
      <c r="AV519" s="14" t="s">
        <v>82</v>
      </c>
      <c r="AW519" s="14" t="s">
        <v>33</v>
      </c>
      <c r="AX519" s="14" t="s">
        <v>72</v>
      </c>
      <c r="AY519" s="215" t="s">
        <v>380</v>
      </c>
    </row>
    <row r="520" spans="1:65" s="15" customFormat="1" ht="11.25">
      <c r="B520" s="216"/>
      <c r="C520" s="217"/>
      <c r="D520" s="196" t="s">
        <v>388</v>
      </c>
      <c r="E520" s="218" t="s">
        <v>19</v>
      </c>
      <c r="F520" s="219" t="s">
        <v>2544</v>
      </c>
      <c r="G520" s="217"/>
      <c r="H520" s="220">
        <v>22</v>
      </c>
      <c r="I520" s="221"/>
      <c r="J520" s="217"/>
      <c r="K520" s="217"/>
      <c r="L520" s="222"/>
      <c r="M520" s="223"/>
      <c r="N520" s="224"/>
      <c r="O520" s="224"/>
      <c r="P520" s="224"/>
      <c r="Q520" s="224"/>
      <c r="R520" s="224"/>
      <c r="S520" s="224"/>
      <c r="T520" s="225"/>
      <c r="AT520" s="226" t="s">
        <v>388</v>
      </c>
      <c r="AU520" s="226" t="s">
        <v>82</v>
      </c>
      <c r="AV520" s="15" t="s">
        <v>386</v>
      </c>
      <c r="AW520" s="15" t="s">
        <v>33</v>
      </c>
      <c r="AX520" s="15" t="s">
        <v>79</v>
      </c>
      <c r="AY520" s="226" t="s">
        <v>380</v>
      </c>
    </row>
    <row r="521" spans="1:65" s="2" customFormat="1" ht="16.5" customHeight="1">
      <c r="A521" s="36"/>
      <c r="B521" s="37"/>
      <c r="C521" s="181" t="s">
        <v>1150</v>
      </c>
      <c r="D521" s="181" t="s">
        <v>382</v>
      </c>
      <c r="E521" s="182" t="s">
        <v>3225</v>
      </c>
      <c r="F521" s="183" t="s">
        <v>3226</v>
      </c>
      <c r="G521" s="184" t="s">
        <v>641</v>
      </c>
      <c r="H521" s="185">
        <v>9</v>
      </c>
      <c r="I521" s="186"/>
      <c r="J521" s="187">
        <f>ROUND(I521*H521,2)</f>
        <v>0</v>
      </c>
      <c r="K521" s="183" t="s">
        <v>19</v>
      </c>
      <c r="L521" s="41"/>
      <c r="M521" s="188" t="s">
        <v>19</v>
      </c>
      <c r="N521" s="189" t="s">
        <v>43</v>
      </c>
      <c r="O521" s="66"/>
      <c r="P521" s="190">
        <f>O521*H521</f>
        <v>0</v>
      </c>
      <c r="Q521" s="190">
        <v>0</v>
      </c>
      <c r="R521" s="190">
        <f>Q521*H521</f>
        <v>0</v>
      </c>
      <c r="S521" s="190">
        <v>0</v>
      </c>
      <c r="T521" s="191">
        <f>S521*H521</f>
        <v>0</v>
      </c>
      <c r="U521" s="36"/>
      <c r="V521" s="36"/>
      <c r="W521" s="36"/>
      <c r="X521" s="36"/>
      <c r="Y521" s="36"/>
      <c r="Z521" s="36"/>
      <c r="AA521" s="36"/>
      <c r="AB521" s="36"/>
      <c r="AC521" s="36"/>
      <c r="AD521" s="36"/>
      <c r="AE521" s="36"/>
      <c r="AR521" s="192" t="s">
        <v>281</v>
      </c>
      <c r="AT521" s="192" t="s">
        <v>382</v>
      </c>
      <c r="AU521" s="192" t="s">
        <v>82</v>
      </c>
      <c r="AY521" s="19" t="s">
        <v>380</v>
      </c>
      <c r="BE521" s="193">
        <f>IF(N521="základní",J521,0)</f>
        <v>0</v>
      </c>
      <c r="BF521" s="193">
        <f>IF(N521="snížená",J521,0)</f>
        <v>0</v>
      </c>
      <c r="BG521" s="193">
        <f>IF(N521="zákl. přenesená",J521,0)</f>
        <v>0</v>
      </c>
      <c r="BH521" s="193">
        <f>IF(N521="sníž. přenesená",J521,0)</f>
        <v>0</v>
      </c>
      <c r="BI521" s="193">
        <f>IF(N521="nulová",J521,0)</f>
        <v>0</v>
      </c>
      <c r="BJ521" s="19" t="s">
        <v>79</v>
      </c>
      <c r="BK521" s="193">
        <f>ROUND(I521*H521,2)</f>
        <v>0</v>
      </c>
      <c r="BL521" s="19" t="s">
        <v>281</v>
      </c>
      <c r="BM521" s="192" t="s">
        <v>1931</v>
      </c>
    </row>
    <row r="522" spans="1:65" s="13" customFormat="1" ht="11.25">
      <c r="B522" s="194"/>
      <c r="C522" s="195"/>
      <c r="D522" s="196" t="s">
        <v>388</v>
      </c>
      <c r="E522" s="197" t="s">
        <v>19</v>
      </c>
      <c r="F522" s="198" t="s">
        <v>3219</v>
      </c>
      <c r="G522" s="195"/>
      <c r="H522" s="197" t="s">
        <v>19</v>
      </c>
      <c r="I522" s="199"/>
      <c r="J522" s="195"/>
      <c r="K522" s="195"/>
      <c r="L522" s="200"/>
      <c r="M522" s="201"/>
      <c r="N522" s="202"/>
      <c r="O522" s="202"/>
      <c r="P522" s="202"/>
      <c r="Q522" s="202"/>
      <c r="R522" s="202"/>
      <c r="S522" s="202"/>
      <c r="T522" s="203"/>
      <c r="AT522" s="204" t="s">
        <v>388</v>
      </c>
      <c r="AU522" s="204" t="s">
        <v>82</v>
      </c>
      <c r="AV522" s="13" t="s">
        <v>79</v>
      </c>
      <c r="AW522" s="13" t="s">
        <v>33</v>
      </c>
      <c r="AX522" s="13" t="s">
        <v>72</v>
      </c>
      <c r="AY522" s="204" t="s">
        <v>380</v>
      </c>
    </row>
    <row r="523" spans="1:65" s="13" customFormat="1" ht="11.25">
      <c r="B523" s="194"/>
      <c r="C523" s="195"/>
      <c r="D523" s="196" t="s">
        <v>388</v>
      </c>
      <c r="E523" s="197" t="s">
        <v>19</v>
      </c>
      <c r="F523" s="198" t="s">
        <v>3205</v>
      </c>
      <c r="G523" s="195"/>
      <c r="H523" s="197" t="s">
        <v>19</v>
      </c>
      <c r="I523" s="199"/>
      <c r="J523" s="195"/>
      <c r="K523" s="195"/>
      <c r="L523" s="200"/>
      <c r="M523" s="201"/>
      <c r="N523" s="202"/>
      <c r="O523" s="202"/>
      <c r="P523" s="202"/>
      <c r="Q523" s="202"/>
      <c r="R523" s="202"/>
      <c r="S523" s="202"/>
      <c r="T523" s="203"/>
      <c r="AT523" s="204" t="s">
        <v>388</v>
      </c>
      <c r="AU523" s="204" t="s">
        <v>82</v>
      </c>
      <c r="AV523" s="13" t="s">
        <v>79</v>
      </c>
      <c r="AW523" s="13" t="s">
        <v>33</v>
      </c>
      <c r="AX523" s="13" t="s">
        <v>72</v>
      </c>
      <c r="AY523" s="204" t="s">
        <v>380</v>
      </c>
    </row>
    <row r="524" spans="1:65" s="14" customFormat="1" ht="11.25">
      <c r="B524" s="205"/>
      <c r="C524" s="206"/>
      <c r="D524" s="196" t="s">
        <v>388</v>
      </c>
      <c r="E524" s="207" t="s">
        <v>19</v>
      </c>
      <c r="F524" s="208" t="s">
        <v>2998</v>
      </c>
      <c r="G524" s="206"/>
      <c r="H524" s="209">
        <v>2</v>
      </c>
      <c r="I524" s="210"/>
      <c r="J524" s="206"/>
      <c r="K524" s="206"/>
      <c r="L524" s="211"/>
      <c r="M524" s="212"/>
      <c r="N524" s="213"/>
      <c r="O524" s="213"/>
      <c r="P524" s="213"/>
      <c r="Q524" s="213"/>
      <c r="R524" s="213"/>
      <c r="S524" s="213"/>
      <c r="T524" s="214"/>
      <c r="AT524" s="215" t="s">
        <v>388</v>
      </c>
      <c r="AU524" s="215" t="s">
        <v>82</v>
      </c>
      <c r="AV524" s="14" t="s">
        <v>82</v>
      </c>
      <c r="AW524" s="14" t="s">
        <v>33</v>
      </c>
      <c r="AX524" s="14" t="s">
        <v>72</v>
      </c>
      <c r="AY524" s="215" t="s">
        <v>380</v>
      </c>
    </row>
    <row r="525" spans="1:65" s="13" customFormat="1" ht="11.25">
      <c r="B525" s="194"/>
      <c r="C525" s="195"/>
      <c r="D525" s="196" t="s">
        <v>388</v>
      </c>
      <c r="E525" s="197" t="s">
        <v>19</v>
      </c>
      <c r="F525" s="198" t="s">
        <v>3209</v>
      </c>
      <c r="G525" s="195"/>
      <c r="H525" s="197" t="s">
        <v>19</v>
      </c>
      <c r="I525" s="199"/>
      <c r="J525" s="195"/>
      <c r="K525" s="195"/>
      <c r="L525" s="200"/>
      <c r="M525" s="201"/>
      <c r="N525" s="202"/>
      <c r="O525" s="202"/>
      <c r="P525" s="202"/>
      <c r="Q525" s="202"/>
      <c r="R525" s="202"/>
      <c r="S525" s="202"/>
      <c r="T525" s="203"/>
      <c r="AT525" s="204" t="s">
        <v>388</v>
      </c>
      <c r="AU525" s="204" t="s">
        <v>82</v>
      </c>
      <c r="AV525" s="13" t="s">
        <v>79</v>
      </c>
      <c r="AW525" s="13" t="s">
        <v>33</v>
      </c>
      <c r="AX525" s="13" t="s">
        <v>72</v>
      </c>
      <c r="AY525" s="204" t="s">
        <v>380</v>
      </c>
    </row>
    <row r="526" spans="1:65" s="14" customFormat="1" ht="11.25">
      <c r="B526" s="205"/>
      <c r="C526" s="206"/>
      <c r="D526" s="196" t="s">
        <v>388</v>
      </c>
      <c r="E526" s="207" t="s">
        <v>19</v>
      </c>
      <c r="F526" s="208" t="s">
        <v>2998</v>
      </c>
      <c r="G526" s="206"/>
      <c r="H526" s="209">
        <v>2</v>
      </c>
      <c r="I526" s="210"/>
      <c r="J526" s="206"/>
      <c r="K526" s="206"/>
      <c r="L526" s="211"/>
      <c r="M526" s="212"/>
      <c r="N526" s="213"/>
      <c r="O526" s="213"/>
      <c r="P526" s="213"/>
      <c r="Q526" s="213"/>
      <c r="R526" s="213"/>
      <c r="S526" s="213"/>
      <c r="T526" s="214"/>
      <c r="AT526" s="215" t="s">
        <v>388</v>
      </c>
      <c r="AU526" s="215" t="s">
        <v>82</v>
      </c>
      <c r="AV526" s="14" t="s">
        <v>82</v>
      </c>
      <c r="AW526" s="14" t="s">
        <v>33</v>
      </c>
      <c r="AX526" s="14" t="s">
        <v>72</v>
      </c>
      <c r="AY526" s="215" t="s">
        <v>380</v>
      </c>
    </row>
    <row r="527" spans="1:65" s="13" customFormat="1" ht="11.25">
      <c r="B527" s="194"/>
      <c r="C527" s="195"/>
      <c r="D527" s="196" t="s">
        <v>388</v>
      </c>
      <c r="E527" s="197" t="s">
        <v>19</v>
      </c>
      <c r="F527" s="198" t="s">
        <v>3210</v>
      </c>
      <c r="G527" s="195"/>
      <c r="H527" s="197" t="s">
        <v>19</v>
      </c>
      <c r="I527" s="199"/>
      <c r="J527" s="195"/>
      <c r="K527" s="195"/>
      <c r="L527" s="200"/>
      <c r="M527" s="201"/>
      <c r="N527" s="202"/>
      <c r="O527" s="202"/>
      <c r="P527" s="202"/>
      <c r="Q527" s="202"/>
      <c r="R527" s="202"/>
      <c r="S527" s="202"/>
      <c r="T527" s="203"/>
      <c r="AT527" s="204" t="s">
        <v>388</v>
      </c>
      <c r="AU527" s="204" t="s">
        <v>82</v>
      </c>
      <c r="AV527" s="13" t="s">
        <v>79</v>
      </c>
      <c r="AW527" s="13" t="s">
        <v>33</v>
      </c>
      <c r="AX527" s="13" t="s">
        <v>72</v>
      </c>
      <c r="AY527" s="204" t="s">
        <v>380</v>
      </c>
    </row>
    <row r="528" spans="1:65" s="14" customFormat="1" ht="11.25">
      <c r="B528" s="205"/>
      <c r="C528" s="206"/>
      <c r="D528" s="196" t="s">
        <v>388</v>
      </c>
      <c r="E528" s="207" t="s">
        <v>19</v>
      </c>
      <c r="F528" s="208" t="s">
        <v>3183</v>
      </c>
      <c r="G528" s="206"/>
      <c r="H528" s="209">
        <v>3</v>
      </c>
      <c r="I528" s="210"/>
      <c r="J528" s="206"/>
      <c r="K528" s="206"/>
      <c r="L528" s="211"/>
      <c r="M528" s="212"/>
      <c r="N528" s="213"/>
      <c r="O528" s="213"/>
      <c r="P528" s="213"/>
      <c r="Q528" s="213"/>
      <c r="R528" s="213"/>
      <c r="S528" s="213"/>
      <c r="T528" s="214"/>
      <c r="AT528" s="215" t="s">
        <v>388</v>
      </c>
      <c r="AU528" s="215" t="s">
        <v>82</v>
      </c>
      <c r="AV528" s="14" t="s">
        <v>82</v>
      </c>
      <c r="AW528" s="14" t="s">
        <v>33</v>
      </c>
      <c r="AX528" s="14" t="s">
        <v>72</v>
      </c>
      <c r="AY528" s="215" t="s">
        <v>380</v>
      </c>
    </row>
    <row r="529" spans="1:65" s="13" customFormat="1" ht="11.25">
      <c r="B529" s="194"/>
      <c r="C529" s="195"/>
      <c r="D529" s="196" t="s">
        <v>388</v>
      </c>
      <c r="E529" s="197" t="s">
        <v>19</v>
      </c>
      <c r="F529" s="198" t="s">
        <v>3220</v>
      </c>
      <c r="G529" s="195"/>
      <c r="H529" s="197" t="s">
        <v>19</v>
      </c>
      <c r="I529" s="199"/>
      <c r="J529" s="195"/>
      <c r="K529" s="195"/>
      <c r="L529" s="200"/>
      <c r="M529" s="201"/>
      <c r="N529" s="202"/>
      <c r="O529" s="202"/>
      <c r="P529" s="202"/>
      <c r="Q529" s="202"/>
      <c r="R529" s="202"/>
      <c r="S529" s="202"/>
      <c r="T529" s="203"/>
      <c r="AT529" s="204" t="s">
        <v>388</v>
      </c>
      <c r="AU529" s="204" t="s">
        <v>82</v>
      </c>
      <c r="AV529" s="13" t="s">
        <v>79</v>
      </c>
      <c r="AW529" s="13" t="s">
        <v>33</v>
      </c>
      <c r="AX529" s="13" t="s">
        <v>72</v>
      </c>
      <c r="AY529" s="204" t="s">
        <v>380</v>
      </c>
    </row>
    <row r="530" spans="1:65" s="13" customFormat="1" ht="11.25">
      <c r="B530" s="194"/>
      <c r="C530" s="195"/>
      <c r="D530" s="196" t="s">
        <v>388</v>
      </c>
      <c r="E530" s="197" t="s">
        <v>19</v>
      </c>
      <c r="F530" s="198" t="s">
        <v>3205</v>
      </c>
      <c r="G530" s="195"/>
      <c r="H530" s="197" t="s">
        <v>19</v>
      </c>
      <c r="I530" s="199"/>
      <c r="J530" s="195"/>
      <c r="K530" s="195"/>
      <c r="L530" s="200"/>
      <c r="M530" s="201"/>
      <c r="N530" s="202"/>
      <c r="O530" s="202"/>
      <c r="P530" s="202"/>
      <c r="Q530" s="202"/>
      <c r="R530" s="202"/>
      <c r="S530" s="202"/>
      <c r="T530" s="203"/>
      <c r="AT530" s="204" t="s">
        <v>388</v>
      </c>
      <c r="AU530" s="204" t="s">
        <v>82</v>
      </c>
      <c r="AV530" s="13" t="s">
        <v>79</v>
      </c>
      <c r="AW530" s="13" t="s">
        <v>33</v>
      </c>
      <c r="AX530" s="13" t="s">
        <v>72</v>
      </c>
      <c r="AY530" s="204" t="s">
        <v>380</v>
      </c>
    </row>
    <row r="531" spans="1:65" s="14" customFormat="1" ht="11.25">
      <c r="B531" s="205"/>
      <c r="C531" s="206"/>
      <c r="D531" s="196" t="s">
        <v>388</v>
      </c>
      <c r="E531" s="207" t="s">
        <v>19</v>
      </c>
      <c r="F531" s="208" t="s">
        <v>2542</v>
      </c>
      <c r="G531" s="206"/>
      <c r="H531" s="209">
        <v>1</v>
      </c>
      <c r="I531" s="210"/>
      <c r="J531" s="206"/>
      <c r="K531" s="206"/>
      <c r="L531" s="211"/>
      <c r="M531" s="212"/>
      <c r="N531" s="213"/>
      <c r="O531" s="213"/>
      <c r="P531" s="213"/>
      <c r="Q531" s="213"/>
      <c r="R531" s="213"/>
      <c r="S531" s="213"/>
      <c r="T531" s="214"/>
      <c r="AT531" s="215" t="s">
        <v>388</v>
      </c>
      <c r="AU531" s="215" t="s">
        <v>82</v>
      </c>
      <c r="AV531" s="14" t="s">
        <v>82</v>
      </c>
      <c r="AW531" s="14" t="s">
        <v>33</v>
      </c>
      <c r="AX531" s="14" t="s">
        <v>72</v>
      </c>
      <c r="AY531" s="215" t="s">
        <v>380</v>
      </c>
    </row>
    <row r="532" spans="1:65" s="13" customFormat="1" ht="11.25">
      <c r="B532" s="194"/>
      <c r="C532" s="195"/>
      <c r="D532" s="196" t="s">
        <v>388</v>
      </c>
      <c r="E532" s="197" t="s">
        <v>19</v>
      </c>
      <c r="F532" s="198" t="s">
        <v>3209</v>
      </c>
      <c r="G532" s="195"/>
      <c r="H532" s="197" t="s">
        <v>19</v>
      </c>
      <c r="I532" s="199"/>
      <c r="J532" s="195"/>
      <c r="K532" s="195"/>
      <c r="L532" s="200"/>
      <c r="M532" s="201"/>
      <c r="N532" s="202"/>
      <c r="O532" s="202"/>
      <c r="P532" s="202"/>
      <c r="Q532" s="202"/>
      <c r="R532" s="202"/>
      <c r="S532" s="202"/>
      <c r="T532" s="203"/>
      <c r="AT532" s="204" t="s">
        <v>388</v>
      </c>
      <c r="AU532" s="204" t="s">
        <v>82</v>
      </c>
      <c r="AV532" s="13" t="s">
        <v>79</v>
      </c>
      <c r="AW532" s="13" t="s">
        <v>33</v>
      </c>
      <c r="AX532" s="13" t="s">
        <v>72</v>
      </c>
      <c r="AY532" s="204" t="s">
        <v>380</v>
      </c>
    </row>
    <row r="533" spans="1:65" s="14" customFormat="1" ht="11.25">
      <c r="B533" s="205"/>
      <c r="C533" s="206"/>
      <c r="D533" s="196" t="s">
        <v>388</v>
      </c>
      <c r="E533" s="207" t="s">
        <v>19</v>
      </c>
      <c r="F533" s="208" t="s">
        <v>2542</v>
      </c>
      <c r="G533" s="206"/>
      <c r="H533" s="209">
        <v>1</v>
      </c>
      <c r="I533" s="210"/>
      <c r="J533" s="206"/>
      <c r="K533" s="206"/>
      <c r="L533" s="211"/>
      <c r="M533" s="212"/>
      <c r="N533" s="213"/>
      <c r="O533" s="213"/>
      <c r="P533" s="213"/>
      <c r="Q533" s="213"/>
      <c r="R533" s="213"/>
      <c r="S533" s="213"/>
      <c r="T533" s="214"/>
      <c r="AT533" s="215" t="s">
        <v>388</v>
      </c>
      <c r="AU533" s="215" t="s">
        <v>82</v>
      </c>
      <c r="AV533" s="14" t="s">
        <v>82</v>
      </c>
      <c r="AW533" s="14" t="s">
        <v>33</v>
      </c>
      <c r="AX533" s="14" t="s">
        <v>72</v>
      </c>
      <c r="AY533" s="215" t="s">
        <v>380</v>
      </c>
    </row>
    <row r="534" spans="1:65" s="15" customFormat="1" ht="11.25">
      <c r="B534" s="216"/>
      <c r="C534" s="217"/>
      <c r="D534" s="196" t="s">
        <v>388</v>
      </c>
      <c r="E534" s="218" t="s">
        <v>19</v>
      </c>
      <c r="F534" s="219" t="s">
        <v>2544</v>
      </c>
      <c r="G534" s="217"/>
      <c r="H534" s="220">
        <v>9</v>
      </c>
      <c r="I534" s="221"/>
      <c r="J534" s="217"/>
      <c r="K534" s="217"/>
      <c r="L534" s="222"/>
      <c r="M534" s="223"/>
      <c r="N534" s="224"/>
      <c r="O534" s="224"/>
      <c r="P534" s="224"/>
      <c r="Q534" s="224"/>
      <c r="R534" s="224"/>
      <c r="S534" s="224"/>
      <c r="T534" s="225"/>
      <c r="AT534" s="226" t="s">
        <v>388</v>
      </c>
      <c r="AU534" s="226" t="s">
        <v>82</v>
      </c>
      <c r="AV534" s="15" t="s">
        <v>386</v>
      </c>
      <c r="AW534" s="15" t="s">
        <v>33</v>
      </c>
      <c r="AX534" s="15" t="s">
        <v>79</v>
      </c>
      <c r="AY534" s="226" t="s">
        <v>380</v>
      </c>
    </row>
    <row r="535" spans="1:65" s="2" customFormat="1" ht="16.5" customHeight="1">
      <c r="A535" s="36"/>
      <c r="B535" s="37"/>
      <c r="C535" s="181" t="s">
        <v>1156</v>
      </c>
      <c r="D535" s="181" t="s">
        <v>382</v>
      </c>
      <c r="E535" s="182" t="s">
        <v>3227</v>
      </c>
      <c r="F535" s="183" t="s">
        <v>3228</v>
      </c>
      <c r="G535" s="184" t="s">
        <v>641</v>
      </c>
      <c r="H535" s="185">
        <v>4</v>
      </c>
      <c r="I535" s="186"/>
      <c r="J535" s="187">
        <f>ROUND(I535*H535,2)</f>
        <v>0</v>
      </c>
      <c r="K535" s="183" t="s">
        <v>19</v>
      </c>
      <c r="L535" s="41"/>
      <c r="M535" s="188" t="s">
        <v>19</v>
      </c>
      <c r="N535" s="189" t="s">
        <v>43</v>
      </c>
      <c r="O535" s="66"/>
      <c r="P535" s="190">
        <f>O535*H535</f>
        <v>0</v>
      </c>
      <c r="Q535" s="190">
        <v>0</v>
      </c>
      <c r="R535" s="190">
        <f>Q535*H535</f>
        <v>0</v>
      </c>
      <c r="S535" s="190">
        <v>0</v>
      </c>
      <c r="T535" s="191">
        <f>S535*H535</f>
        <v>0</v>
      </c>
      <c r="U535" s="36"/>
      <c r="V535" s="36"/>
      <c r="W535" s="36"/>
      <c r="X535" s="36"/>
      <c r="Y535" s="36"/>
      <c r="Z535" s="36"/>
      <c r="AA535" s="36"/>
      <c r="AB535" s="36"/>
      <c r="AC535" s="36"/>
      <c r="AD535" s="36"/>
      <c r="AE535" s="36"/>
      <c r="AR535" s="192" t="s">
        <v>281</v>
      </c>
      <c r="AT535" s="192" t="s">
        <v>382</v>
      </c>
      <c r="AU535" s="192" t="s">
        <v>82</v>
      </c>
      <c r="AY535" s="19" t="s">
        <v>380</v>
      </c>
      <c r="BE535" s="193">
        <f>IF(N535="základní",J535,0)</f>
        <v>0</v>
      </c>
      <c r="BF535" s="193">
        <f>IF(N535="snížená",J535,0)</f>
        <v>0</v>
      </c>
      <c r="BG535" s="193">
        <f>IF(N535="zákl. přenesená",J535,0)</f>
        <v>0</v>
      </c>
      <c r="BH535" s="193">
        <f>IF(N535="sníž. přenesená",J535,0)</f>
        <v>0</v>
      </c>
      <c r="BI535" s="193">
        <f>IF(N535="nulová",J535,0)</f>
        <v>0</v>
      </c>
      <c r="BJ535" s="19" t="s">
        <v>79</v>
      </c>
      <c r="BK535" s="193">
        <f>ROUND(I535*H535,2)</f>
        <v>0</v>
      </c>
      <c r="BL535" s="19" t="s">
        <v>281</v>
      </c>
      <c r="BM535" s="192" t="s">
        <v>1939</v>
      </c>
    </row>
    <row r="536" spans="1:65" s="13" customFormat="1" ht="11.25">
      <c r="B536" s="194"/>
      <c r="C536" s="195"/>
      <c r="D536" s="196" t="s">
        <v>388</v>
      </c>
      <c r="E536" s="197" t="s">
        <v>19</v>
      </c>
      <c r="F536" s="198" t="s">
        <v>3219</v>
      </c>
      <c r="G536" s="195"/>
      <c r="H536" s="197" t="s">
        <v>19</v>
      </c>
      <c r="I536" s="199"/>
      <c r="J536" s="195"/>
      <c r="K536" s="195"/>
      <c r="L536" s="200"/>
      <c r="M536" s="201"/>
      <c r="N536" s="202"/>
      <c r="O536" s="202"/>
      <c r="P536" s="202"/>
      <c r="Q536" s="202"/>
      <c r="R536" s="202"/>
      <c r="S536" s="202"/>
      <c r="T536" s="203"/>
      <c r="AT536" s="204" t="s">
        <v>388</v>
      </c>
      <c r="AU536" s="204" t="s">
        <v>82</v>
      </c>
      <c r="AV536" s="13" t="s">
        <v>79</v>
      </c>
      <c r="AW536" s="13" t="s">
        <v>33</v>
      </c>
      <c r="AX536" s="13" t="s">
        <v>72</v>
      </c>
      <c r="AY536" s="204" t="s">
        <v>380</v>
      </c>
    </row>
    <row r="537" spans="1:65" s="13" customFormat="1" ht="11.25">
      <c r="B537" s="194"/>
      <c r="C537" s="195"/>
      <c r="D537" s="196" t="s">
        <v>388</v>
      </c>
      <c r="E537" s="197" t="s">
        <v>19</v>
      </c>
      <c r="F537" s="198" t="s">
        <v>3205</v>
      </c>
      <c r="G537" s="195"/>
      <c r="H537" s="197" t="s">
        <v>19</v>
      </c>
      <c r="I537" s="199"/>
      <c r="J537" s="195"/>
      <c r="K537" s="195"/>
      <c r="L537" s="200"/>
      <c r="M537" s="201"/>
      <c r="N537" s="202"/>
      <c r="O537" s="202"/>
      <c r="P537" s="202"/>
      <c r="Q537" s="202"/>
      <c r="R537" s="202"/>
      <c r="S537" s="202"/>
      <c r="T537" s="203"/>
      <c r="AT537" s="204" t="s">
        <v>388</v>
      </c>
      <c r="AU537" s="204" t="s">
        <v>82</v>
      </c>
      <c r="AV537" s="13" t="s">
        <v>79</v>
      </c>
      <c r="AW537" s="13" t="s">
        <v>33</v>
      </c>
      <c r="AX537" s="13" t="s">
        <v>72</v>
      </c>
      <c r="AY537" s="204" t="s">
        <v>380</v>
      </c>
    </row>
    <row r="538" spans="1:65" s="14" customFormat="1" ht="11.25">
      <c r="B538" s="205"/>
      <c r="C538" s="206"/>
      <c r="D538" s="196" t="s">
        <v>388</v>
      </c>
      <c r="E538" s="207" t="s">
        <v>19</v>
      </c>
      <c r="F538" s="208" t="s">
        <v>2998</v>
      </c>
      <c r="G538" s="206"/>
      <c r="H538" s="209">
        <v>2</v>
      </c>
      <c r="I538" s="210"/>
      <c r="J538" s="206"/>
      <c r="K538" s="206"/>
      <c r="L538" s="211"/>
      <c r="M538" s="212"/>
      <c r="N538" s="213"/>
      <c r="O538" s="213"/>
      <c r="P538" s="213"/>
      <c r="Q538" s="213"/>
      <c r="R538" s="213"/>
      <c r="S538" s="213"/>
      <c r="T538" s="214"/>
      <c r="AT538" s="215" t="s">
        <v>388</v>
      </c>
      <c r="AU538" s="215" t="s">
        <v>82</v>
      </c>
      <c r="AV538" s="14" t="s">
        <v>82</v>
      </c>
      <c r="AW538" s="14" t="s">
        <v>33</v>
      </c>
      <c r="AX538" s="14" t="s">
        <v>72</v>
      </c>
      <c r="AY538" s="215" t="s">
        <v>380</v>
      </c>
    </row>
    <row r="539" spans="1:65" s="13" customFormat="1" ht="11.25">
      <c r="B539" s="194"/>
      <c r="C539" s="195"/>
      <c r="D539" s="196" t="s">
        <v>388</v>
      </c>
      <c r="E539" s="197" t="s">
        <v>19</v>
      </c>
      <c r="F539" s="198" t="s">
        <v>3220</v>
      </c>
      <c r="G539" s="195"/>
      <c r="H539" s="197" t="s">
        <v>19</v>
      </c>
      <c r="I539" s="199"/>
      <c r="J539" s="195"/>
      <c r="K539" s="195"/>
      <c r="L539" s="200"/>
      <c r="M539" s="201"/>
      <c r="N539" s="202"/>
      <c r="O539" s="202"/>
      <c r="P539" s="202"/>
      <c r="Q539" s="202"/>
      <c r="R539" s="202"/>
      <c r="S539" s="202"/>
      <c r="T539" s="203"/>
      <c r="AT539" s="204" t="s">
        <v>388</v>
      </c>
      <c r="AU539" s="204" t="s">
        <v>82</v>
      </c>
      <c r="AV539" s="13" t="s">
        <v>79</v>
      </c>
      <c r="AW539" s="13" t="s">
        <v>33</v>
      </c>
      <c r="AX539" s="13" t="s">
        <v>72</v>
      </c>
      <c r="AY539" s="204" t="s">
        <v>380</v>
      </c>
    </row>
    <row r="540" spans="1:65" s="13" customFormat="1" ht="11.25">
      <c r="B540" s="194"/>
      <c r="C540" s="195"/>
      <c r="D540" s="196" t="s">
        <v>388</v>
      </c>
      <c r="E540" s="197" t="s">
        <v>19</v>
      </c>
      <c r="F540" s="198" t="s">
        <v>3209</v>
      </c>
      <c r="G540" s="195"/>
      <c r="H540" s="197" t="s">
        <v>19</v>
      </c>
      <c r="I540" s="199"/>
      <c r="J540" s="195"/>
      <c r="K540" s="195"/>
      <c r="L540" s="200"/>
      <c r="M540" s="201"/>
      <c r="N540" s="202"/>
      <c r="O540" s="202"/>
      <c r="P540" s="202"/>
      <c r="Q540" s="202"/>
      <c r="R540" s="202"/>
      <c r="S540" s="202"/>
      <c r="T540" s="203"/>
      <c r="AT540" s="204" t="s">
        <v>388</v>
      </c>
      <c r="AU540" s="204" t="s">
        <v>82</v>
      </c>
      <c r="AV540" s="13" t="s">
        <v>79</v>
      </c>
      <c r="AW540" s="13" t="s">
        <v>33</v>
      </c>
      <c r="AX540" s="13" t="s">
        <v>72</v>
      </c>
      <c r="AY540" s="204" t="s">
        <v>380</v>
      </c>
    </row>
    <row r="541" spans="1:65" s="14" customFormat="1" ht="11.25">
      <c r="B541" s="205"/>
      <c r="C541" s="206"/>
      <c r="D541" s="196" t="s">
        <v>388</v>
      </c>
      <c r="E541" s="207" t="s">
        <v>19</v>
      </c>
      <c r="F541" s="208" t="s">
        <v>2998</v>
      </c>
      <c r="G541" s="206"/>
      <c r="H541" s="209">
        <v>2</v>
      </c>
      <c r="I541" s="210"/>
      <c r="J541" s="206"/>
      <c r="K541" s="206"/>
      <c r="L541" s="211"/>
      <c r="M541" s="212"/>
      <c r="N541" s="213"/>
      <c r="O541" s="213"/>
      <c r="P541" s="213"/>
      <c r="Q541" s="213"/>
      <c r="R541" s="213"/>
      <c r="S541" s="213"/>
      <c r="T541" s="214"/>
      <c r="AT541" s="215" t="s">
        <v>388</v>
      </c>
      <c r="AU541" s="215" t="s">
        <v>82</v>
      </c>
      <c r="AV541" s="14" t="s">
        <v>82</v>
      </c>
      <c r="AW541" s="14" t="s">
        <v>33</v>
      </c>
      <c r="AX541" s="14" t="s">
        <v>72</v>
      </c>
      <c r="AY541" s="215" t="s">
        <v>380</v>
      </c>
    </row>
    <row r="542" spans="1:65" s="15" customFormat="1" ht="11.25">
      <c r="B542" s="216"/>
      <c r="C542" s="217"/>
      <c r="D542" s="196" t="s">
        <v>388</v>
      </c>
      <c r="E542" s="218" t="s">
        <v>19</v>
      </c>
      <c r="F542" s="219" t="s">
        <v>2544</v>
      </c>
      <c r="G542" s="217"/>
      <c r="H542" s="220">
        <v>4</v>
      </c>
      <c r="I542" s="221"/>
      <c r="J542" s="217"/>
      <c r="K542" s="217"/>
      <c r="L542" s="222"/>
      <c r="M542" s="258"/>
      <c r="N542" s="259"/>
      <c r="O542" s="259"/>
      <c r="P542" s="259"/>
      <c r="Q542" s="259"/>
      <c r="R542" s="259"/>
      <c r="S542" s="259"/>
      <c r="T542" s="260"/>
      <c r="AT542" s="226" t="s">
        <v>388</v>
      </c>
      <c r="AU542" s="226" t="s">
        <v>82</v>
      </c>
      <c r="AV542" s="15" t="s">
        <v>386</v>
      </c>
      <c r="AW542" s="15" t="s">
        <v>33</v>
      </c>
      <c r="AX542" s="15" t="s">
        <v>79</v>
      </c>
      <c r="AY542" s="226" t="s">
        <v>380</v>
      </c>
    </row>
    <row r="543" spans="1:65" s="2" customFormat="1" ht="6.95" customHeight="1">
      <c r="A543" s="36"/>
      <c r="B543" s="49"/>
      <c r="C543" s="50"/>
      <c r="D543" s="50"/>
      <c r="E543" s="50"/>
      <c r="F543" s="50"/>
      <c r="G543" s="50"/>
      <c r="H543" s="50"/>
      <c r="I543" s="50"/>
      <c r="J543" s="50"/>
      <c r="K543" s="50"/>
      <c r="L543" s="41"/>
      <c r="M543" s="36"/>
      <c r="O543" s="36"/>
      <c r="P543" s="36"/>
      <c r="Q543" s="36"/>
      <c r="R543" s="36"/>
      <c r="S543" s="36"/>
      <c r="T543" s="36"/>
      <c r="U543" s="36"/>
      <c r="V543" s="36"/>
      <c r="W543" s="36"/>
      <c r="X543" s="36"/>
      <c r="Y543" s="36"/>
      <c r="Z543" s="36"/>
      <c r="AA543" s="36"/>
      <c r="AB543" s="36"/>
      <c r="AC543" s="36"/>
      <c r="AD543" s="36"/>
      <c r="AE543" s="36"/>
    </row>
  </sheetData>
  <sheetProtection algorithmName="SHA-512" hashValue="yb0tC3+BmEgoz3voNr9KnvPm3O9OgSrOnjpIgdsWWMXZIDrqHsMQFORVSqtn0ixAwHsmPMsBWr3y9ryl5IXs1Q==" saltValue="qW49dw0V7AFCOI5Q/6jZ8tZFPI8cHCUdlI1jFvzvm368PLdUlhdcir5wAmWiLQIlIbDpTezU9wWgNoRITc/M7Q==" spinCount="100000" sheet="1" objects="1" scenarios="1" formatColumns="0" formatRows="0" autoFilter="0"/>
  <autoFilter ref="C95:K542" xr:uid="{00000000-0009-0000-0000-000003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3231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ROUND((SUM(BE95:BE254)),  2)</f>
        <v>0</v>
      </c>
      <c r="G37" s="36"/>
      <c r="H37" s="36"/>
      <c r="I37" s="127">
        <v>0.21</v>
      </c>
      <c r="J37" s="126">
        <f>ROUND(((SUM(BE95:BE254))*I37),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ROUND((SUM(BF95:BF254)),  2)</f>
        <v>0</v>
      </c>
      <c r="G38" s="36"/>
      <c r="H38" s="36"/>
      <c r="I38" s="127">
        <v>0.15</v>
      </c>
      <c r="J38" s="126">
        <f>ROUND(((SUM(BF95:BF254))*I38),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ROUND((SUM(BG95:BG254)),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ROUND((SUM(BH95:BH254)),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ROUND((SUM(BI95:BI254)),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01 - Kanceláře jih</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J114</f>
        <v>0</v>
      </c>
      <c r="K70" s="99"/>
      <c r="L70" s="153"/>
    </row>
    <row r="71" spans="1:47" s="10" customFormat="1" ht="19.899999999999999" customHeight="1">
      <c r="B71" s="149"/>
      <c r="C71" s="99"/>
      <c r="D71" s="150" t="s">
        <v>3236</v>
      </c>
      <c r="E71" s="151"/>
      <c r="F71" s="151"/>
      <c r="G71" s="151"/>
      <c r="H71" s="151"/>
      <c r="I71" s="151"/>
      <c r="J71" s="152">
        <f>J249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01 - Kanceláře jih</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2.9696620000000005</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P97+P114+P249</f>
        <v>0</v>
      </c>
      <c r="Q96" s="173"/>
      <c r="R96" s="174">
        <f>R97+R114+R249</f>
        <v>2.9696620000000005</v>
      </c>
      <c r="S96" s="173"/>
      <c r="T96" s="175">
        <f>T97+T114+T249</f>
        <v>0</v>
      </c>
      <c r="AR96" s="176" t="s">
        <v>82</v>
      </c>
      <c r="AT96" s="177" t="s">
        <v>71</v>
      </c>
      <c r="AU96" s="177" t="s">
        <v>72</v>
      </c>
      <c r="AY96" s="176" t="s">
        <v>380</v>
      </c>
      <c r="BK96" s="178">
        <f>BK97+BK114+BK249</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SUM(P98:P113)</f>
        <v>0</v>
      </c>
      <c r="Q97" s="173"/>
      <c r="R97" s="174">
        <f>SUM(R98:R113)</f>
        <v>0.86681400000000008</v>
      </c>
      <c r="S97" s="173"/>
      <c r="T97" s="175">
        <f>SUM(T98:T113)</f>
        <v>0</v>
      </c>
      <c r="AR97" s="176" t="s">
        <v>82</v>
      </c>
      <c r="AT97" s="177" t="s">
        <v>71</v>
      </c>
      <c r="AU97" s="177" t="s">
        <v>79</v>
      </c>
      <c r="AY97" s="176" t="s">
        <v>380</v>
      </c>
      <c r="BK97" s="178">
        <f>SUM(BK98:BK113)</f>
        <v>0</v>
      </c>
    </row>
    <row r="98" spans="1:65" s="2" customFormat="1" ht="24.2" customHeight="1">
      <c r="A98" s="36"/>
      <c r="B98" s="37"/>
      <c r="C98" s="181" t="s">
        <v>79</v>
      </c>
      <c r="D98" s="181" t="s">
        <v>382</v>
      </c>
      <c r="E98" s="182" t="s">
        <v>3237</v>
      </c>
      <c r="F98" s="183" t="s">
        <v>3238</v>
      </c>
      <c r="G98" s="184" t="s">
        <v>398</v>
      </c>
      <c r="H98" s="185">
        <v>205</v>
      </c>
      <c r="I98" s="186"/>
      <c r="J98" s="187">
        <f>ROUND(I98*H98,2)</f>
        <v>0</v>
      </c>
      <c r="K98" s="183" t="s">
        <v>3239</v>
      </c>
      <c r="L98" s="41"/>
      <c r="M98" s="188" t="s">
        <v>19</v>
      </c>
      <c r="N98" s="189" t="s">
        <v>43</v>
      </c>
      <c r="O98" s="66"/>
      <c r="P98" s="190">
        <f>O98*H98</f>
        <v>0</v>
      </c>
      <c r="Q98" s="190">
        <v>1.5100000000000001E-3</v>
      </c>
      <c r="R98" s="190">
        <f>Q98*H98</f>
        <v>0.30954999999999999</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3240</v>
      </c>
    </row>
    <row r="99" spans="1:65" s="2" customFormat="1" ht="16.5" customHeight="1">
      <c r="A99" s="36"/>
      <c r="B99" s="37"/>
      <c r="C99" s="227" t="s">
        <v>82</v>
      </c>
      <c r="D99" s="227" t="s">
        <v>465</v>
      </c>
      <c r="E99" s="228" t="s">
        <v>3241</v>
      </c>
      <c r="F99" s="229" t="s">
        <v>3242</v>
      </c>
      <c r="G99" s="230" t="s">
        <v>398</v>
      </c>
      <c r="H99" s="231">
        <v>80</v>
      </c>
      <c r="I99" s="232"/>
      <c r="J99" s="233">
        <f>ROUND(I99*H99,2)</f>
        <v>0</v>
      </c>
      <c r="K99" s="229" t="s">
        <v>3239</v>
      </c>
      <c r="L99" s="234"/>
      <c r="M99" s="235" t="s">
        <v>19</v>
      </c>
      <c r="N99" s="236" t="s">
        <v>43</v>
      </c>
      <c r="O99" s="66"/>
      <c r="P99" s="190">
        <f>O99*H99</f>
        <v>0</v>
      </c>
      <c r="Q99" s="190">
        <v>2E-3</v>
      </c>
      <c r="R99" s="190">
        <f>Q99*H99</f>
        <v>0.16</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3243</v>
      </c>
    </row>
    <row r="100" spans="1:65" s="14" customFormat="1" ht="11.25">
      <c r="B100" s="205"/>
      <c r="C100" s="206"/>
      <c r="D100" s="196" t="s">
        <v>388</v>
      </c>
      <c r="E100" s="207" t="s">
        <v>19</v>
      </c>
      <c r="F100" s="208" t="s">
        <v>3244</v>
      </c>
      <c r="G100" s="206"/>
      <c r="H100" s="209">
        <v>80</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19.5</v>
      </c>
      <c r="I101" s="232"/>
      <c r="J101" s="233">
        <f>ROUND(I101*H101,2)</f>
        <v>0</v>
      </c>
      <c r="K101" s="229" t="s">
        <v>3239</v>
      </c>
      <c r="L101" s="234"/>
      <c r="M101" s="235" t="s">
        <v>19</v>
      </c>
      <c r="N101" s="236" t="s">
        <v>43</v>
      </c>
      <c r="O101" s="66"/>
      <c r="P101" s="190">
        <f>O101*H101</f>
        <v>0</v>
      </c>
      <c r="Q101" s="190">
        <v>3.0000000000000001E-3</v>
      </c>
      <c r="R101" s="190">
        <f>Q101*H101</f>
        <v>5.8500000000000003E-2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3247</v>
      </c>
    </row>
    <row r="102" spans="1:65" s="14" customFormat="1" ht="11.25">
      <c r="B102" s="205"/>
      <c r="C102" s="206"/>
      <c r="D102" s="196" t="s">
        <v>388</v>
      </c>
      <c r="E102" s="207" t="s">
        <v>19</v>
      </c>
      <c r="F102" s="208" t="s">
        <v>3248</v>
      </c>
      <c r="G102" s="206"/>
      <c r="H102" s="209">
        <v>19.5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3249</v>
      </c>
      <c r="F103" s="229" t="s">
        <v>3250</v>
      </c>
      <c r="G103" s="230" t="s">
        <v>398</v>
      </c>
      <c r="H103" s="231">
        <v>104.5</v>
      </c>
      <c r="I103" s="232"/>
      <c r="J103" s="233">
        <f>ROUND(I103*H103,2)</f>
        <v>0</v>
      </c>
      <c r="K103" s="229" t="s">
        <v>3239</v>
      </c>
      <c r="L103" s="234"/>
      <c r="M103" s="235" t="s">
        <v>19</v>
      </c>
      <c r="N103" s="236" t="s">
        <v>43</v>
      </c>
      <c r="O103" s="66"/>
      <c r="P103" s="190">
        <f>O103*H103</f>
        <v>0</v>
      </c>
      <c r="Q103" s="190">
        <v>3.2000000000000002E-3</v>
      </c>
      <c r="R103" s="190">
        <f>Q103*H103</f>
        <v>0.33440000000000003</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3251</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3253</v>
      </c>
      <c r="G105" s="206"/>
      <c r="H105" s="209">
        <v>104.5</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16.5" customHeight="1">
      <c r="A106" s="36"/>
      <c r="B106" s="37"/>
      <c r="C106" s="227" t="s">
        <v>405</v>
      </c>
      <c r="D106" s="227" t="s">
        <v>465</v>
      </c>
      <c r="E106" s="228" t="s">
        <v>3254</v>
      </c>
      <c r="F106" s="229" t="s">
        <v>3255</v>
      </c>
      <c r="G106" s="230" t="s">
        <v>398</v>
      </c>
      <c r="H106" s="231">
        <v>1</v>
      </c>
      <c r="I106" s="232"/>
      <c r="J106" s="233">
        <f>ROUND(I106*H106,2)</f>
        <v>0</v>
      </c>
      <c r="K106" s="229" t="s">
        <v>3239</v>
      </c>
      <c r="L106" s="234"/>
      <c r="M106" s="235" t="s">
        <v>19</v>
      </c>
      <c r="N106" s="236" t="s">
        <v>43</v>
      </c>
      <c r="O106" s="66"/>
      <c r="P106" s="190">
        <f>O106*H106</f>
        <v>0</v>
      </c>
      <c r="Q106" s="190">
        <v>4.0000000000000001E-3</v>
      </c>
      <c r="R106" s="190">
        <f>Q106*H106</f>
        <v>4.0000000000000001E-3</v>
      </c>
      <c r="S106" s="190">
        <v>0</v>
      </c>
      <c r="T106" s="191">
        <f>S106*H106</f>
        <v>0</v>
      </c>
      <c r="U106" s="36"/>
      <c r="V106" s="36"/>
      <c r="W106" s="36"/>
      <c r="X106" s="36"/>
      <c r="Y106" s="36"/>
      <c r="Z106" s="36"/>
      <c r="AA106" s="36"/>
      <c r="AB106" s="36"/>
      <c r="AC106" s="36"/>
      <c r="AD106" s="36"/>
      <c r="AE106" s="36"/>
      <c r="AR106" s="192" t="s">
        <v>546</v>
      </c>
      <c r="AT106" s="192" t="s">
        <v>465</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3256</v>
      </c>
    </row>
    <row r="107" spans="1:65" s="2" customFormat="1" ht="19.5">
      <c r="A107" s="36"/>
      <c r="B107" s="37"/>
      <c r="C107" s="38"/>
      <c r="D107" s="196" t="s">
        <v>1226</v>
      </c>
      <c r="E107" s="38"/>
      <c r="F107" s="248" t="s">
        <v>3252</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1226</v>
      </c>
      <c r="AU107" s="19" t="s">
        <v>82</v>
      </c>
    </row>
    <row r="108" spans="1:65" s="14" customFormat="1" ht="11.25">
      <c r="B108" s="205"/>
      <c r="C108" s="206"/>
      <c r="D108" s="196" t="s">
        <v>388</v>
      </c>
      <c r="E108" s="207" t="s">
        <v>19</v>
      </c>
      <c r="F108" s="208" t="s">
        <v>3257</v>
      </c>
      <c r="G108" s="206"/>
      <c r="H108" s="209">
        <v>1</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411</v>
      </c>
      <c r="D109" s="181" t="s">
        <v>382</v>
      </c>
      <c r="E109" s="182" t="s">
        <v>3258</v>
      </c>
      <c r="F109" s="183" t="s">
        <v>3259</v>
      </c>
      <c r="G109" s="184" t="s">
        <v>398</v>
      </c>
      <c r="H109" s="185">
        <v>5.2</v>
      </c>
      <c r="I109" s="186"/>
      <c r="J109" s="187">
        <f>ROUND(I109*H109,2)</f>
        <v>0</v>
      </c>
      <c r="K109" s="183" t="s">
        <v>3239</v>
      </c>
      <c r="L109" s="41"/>
      <c r="M109" s="188" t="s">
        <v>19</v>
      </c>
      <c r="N109" s="189" t="s">
        <v>43</v>
      </c>
      <c r="O109" s="66"/>
      <c r="P109" s="190">
        <f>O109*H109</f>
        <v>0</v>
      </c>
      <c r="Q109" s="190">
        <v>6.9999999999999994E-5</v>
      </c>
      <c r="R109" s="190">
        <f>Q109*H109</f>
        <v>3.6399999999999996E-4</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3260</v>
      </c>
    </row>
    <row r="110" spans="1:65" s="2" customFormat="1" ht="16.5" customHeight="1">
      <c r="A110" s="36"/>
      <c r="B110" s="37"/>
      <c r="C110" s="227" t="s">
        <v>420</v>
      </c>
      <c r="D110" s="227" t="s">
        <v>465</v>
      </c>
      <c r="E110" s="228" t="s">
        <v>3261</v>
      </c>
      <c r="F110" s="229" t="s">
        <v>3262</v>
      </c>
      <c r="G110" s="230" t="s">
        <v>398</v>
      </c>
      <c r="H110" s="231">
        <v>5.2</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3263</v>
      </c>
    </row>
    <row r="111" spans="1:65" s="14" customFormat="1" ht="11.25">
      <c r="B111" s="205"/>
      <c r="C111" s="206"/>
      <c r="D111" s="196" t="s">
        <v>388</v>
      </c>
      <c r="E111" s="207" t="s">
        <v>19</v>
      </c>
      <c r="F111" s="208" t="s">
        <v>3264</v>
      </c>
      <c r="G111" s="206"/>
      <c r="H111" s="209">
        <v>5.2</v>
      </c>
      <c r="I111" s="210"/>
      <c r="J111" s="206"/>
      <c r="K111" s="206"/>
      <c r="L111" s="211"/>
      <c r="M111" s="212"/>
      <c r="N111" s="213"/>
      <c r="O111" s="213"/>
      <c r="P111" s="213"/>
      <c r="Q111" s="213"/>
      <c r="R111" s="213"/>
      <c r="S111" s="213"/>
      <c r="T111" s="214"/>
      <c r="AT111" s="215" t="s">
        <v>388</v>
      </c>
      <c r="AU111" s="215" t="s">
        <v>82</v>
      </c>
      <c r="AV111" s="14" t="s">
        <v>82</v>
      </c>
      <c r="AW111" s="14" t="s">
        <v>33</v>
      </c>
      <c r="AX111" s="14" t="s">
        <v>79</v>
      </c>
      <c r="AY111" s="215" t="s">
        <v>380</v>
      </c>
    </row>
    <row r="112" spans="1:65" s="2" customFormat="1" ht="24.2" customHeight="1">
      <c r="A112" s="36"/>
      <c r="B112" s="37"/>
      <c r="C112" s="181" t="s">
        <v>424</v>
      </c>
      <c r="D112" s="181" t="s">
        <v>382</v>
      </c>
      <c r="E112" s="182" t="s">
        <v>3265</v>
      </c>
      <c r="F112" s="183" t="s">
        <v>3266</v>
      </c>
      <c r="G112" s="184" t="s">
        <v>3014</v>
      </c>
      <c r="H112" s="257"/>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3267</v>
      </c>
    </row>
    <row r="113" spans="1:65" s="2" customFormat="1" ht="24.2" customHeight="1">
      <c r="A113" s="36"/>
      <c r="B113" s="37"/>
      <c r="C113" s="181" t="s">
        <v>430</v>
      </c>
      <c r="D113" s="181" t="s">
        <v>382</v>
      </c>
      <c r="E113" s="182" t="s">
        <v>3268</v>
      </c>
      <c r="F113" s="183" t="s">
        <v>3269</v>
      </c>
      <c r="G113" s="184" t="s">
        <v>3014</v>
      </c>
      <c r="H113" s="257"/>
      <c r="I113" s="186"/>
      <c r="J113" s="187">
        <f>ROUND(I113*H113,2)</f>
        <v>0</v>
      </c>
      <c r="K113" s="183" t="s">
        <v>3239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3270</v>
      </c>
    </row>
    <row r="114" spans="1:65" s="12" customFormat="1" ht="22.9" customHeight="1">
      <c r="B114" s="165"/>
      <c r="C114" s="166"/>
      <c r="D114" s="167" t="s">
        <v>71</v>
      </c>
      <c r="E114" s="179" t="s">
        <v>3271</v>
      </c>
      <c r="F114" s="179" t="s">
        <v>3272</v>
      </c>
      <c r="G114" s="166"/>
      <c r="H114" s="166"/>
      <c r="I114" s="169"/>
      <c r="J114" s="180">
        <f>BK114</f>
        <v>0</v>
      </c>
      <c r="K114" s="166"/>
      <c r="L114" s="171"/>
      <c r="M114" s="172"/>
      <c r="N114" s="173"/>
      <c r="O114" s="173"/>
      <c r="P114" s="174">
        <f>SUM(P115:P248)</f>
        <v>0</v>
      </c>
      <c r="Q114" s="173"/>
      <c r="R114" s="174">
        <f>SUM(R115:R248)</f>
        <v>2.1028480000000003</v>
      </c>
      <c r="S114" s="173"/>
      <c r="T114" s="175">
        <f>SUM(T115:T248)</f>
        <v>0</v>
      </c>
      <c r="AR114" s="176" t="s">
        <v>82</v>
      </c>
      <c r="AT114" s="177" t="s">
        <v>71</v>
      </c>
      <c r="AU114" s="177" t="s">
        <v>79</v>
      </c>
      <c r="AY114" s="176" t="s">
        <v>380</v>
      </c>
      <c r="BK114" s="178">
        <f>SUM(BK115:BK248)</f>
        <v>0</v>
      </c>
    </row>
    <row r="115" spans="1:65" s="2" customFormat="1" ht="16.5" customHeight="1">
      <c r="A115" s="36"/>
      <c r="B115" s="37"/>
      <c r="C115" s="181" t="s">
        <v>122</v>
      </c>
      <c r="D115" s="181" t="s">
        <v>382</v>
      </c>
      <c r="E115" s="182" t="s">
        <v>3273</v>
      </c>
      <c r="F115" s="183" t="s">
        <v>3274</v>
      </c>
      <c r="G115" s="184" t="s">
        <v>641</v>
      </c>
      <c r="H115" s="185">
        <v>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3275</v>
      </c>
    </row>
    <row r="116" spans="1:65" s="2" customFormat="1" ht="16.5" customHeight="1">
      <c r="A116" s="36"/>
      <c r="B116" s="37"/>
      <c r="C116" s="227" t="s">
        <v>125</v>
      </c>
      <c r="D116" s="227" t="s">
        <v>465</v>
      </c>
      <c r="E116" s="228" t="s">
        <v>3276</v>
      </c>
      <c r="F116" s="229" t="s">
        <v>3277</v>
      </c>
      <c r="G116" s="230" t="s">
        <v>3278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3279</v>
      </c>
    </row>
    <row r="117" spans="1:65" s="2" customFormat="1" ht="19.5">
      <c r="A117" s="36"/>
      <c r="B117" s="37"/>
      <c r="C117" s="38"/>
      <c r="D117" s="196" t="s">
        <v>1226</v>
      </c>
      <c r="E117" s="38"/>
      <c r="F117" s="248" t="s">
        <v>3280</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227" t="s">
        <v>128</v>
      </c>
      <c r="D118" s="227" t="s">
        <v>465</v>
      </c>
      <c r="E118" s="228" t="s">
        <v>3281</v>
      </c>
      <c r="F118" s="229" t="s">
        <v>3282</v>
      </c>
      <c r="G118" s="230" t="s">
        <v>3278</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3283</v>
      </c>
    </row>
    <row r="119" spans="1:65" s="2" customFormat="1" ht="19.5">
      <c r="A119" s="36"/>
      <c r="B119" s="37"/>
      <c r="C119" s="38"/>
      <c r="D119" s="196" t="s">
        <v>1226</v>
      </c>
      <c r="E119" s="38"/>
      <c r="F119" s="248" t="s">
        <v>3280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21.75" customHeight="1">
      <c r="A120" s="36"/>
      <c r="B120" s="37"/>
      <c r="C120" s="181" t="s">
        <v>131</v>
      </c>
      <c r="D120" s="181" t="s">
        <v>382</v>
      </c>
      <c r="E120" s="182" t="s">
        <v>3284</v>
      </c>
      <c r="F120" s="183" t="s">
        <v>3285</v>
      </c>
      <c r="G120" s="184" t="s">
        <v>641</v>
      </c>
      <c r="H120" s="185">
        <v>39</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3286</v>
      </c>
    </row>
    <row r="121" spans="1:65" s="2" customFormat="1" ht="16.5" customHeight="1">
      <c r="A121" s="36"/>
      <c r="B121" s="37"/>
      <c r="C121" s="227" t="s">
        <v>134</v>
      </c>
      <c r="D121" s="227" t="s">
        <v>465</v>
      </c>
      <c r="E121" s="228" t="s">
        <v>3287</v>
      </c>
      <c r="F121" s="229" t="s">
        <v>3288</v>
      </c>
      <c r="G121" s="230" t="s">
        <v>3278</v>
      </c>
      <c r="H121" s="231">
        <v>19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3289</v>
      </c>
    </row>
    <row r="122" spans="1:65" s="2" customFormat="1" ht="29.25">
      <c r="A122" s="36"/>
      <c r="B122" s="37"/>
      <c r="C122" s="38"/>
      <c r="D122" s="196" t="s">
        <v>1226</v>
      </c>
      <c r="E122" s="38"/>
      <c r="F122" s="248" t="s">
        <v>3290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16.5" customHeight="1">
      <c r="A123" s="36"/>
      <c r="B123" s="37"/>
      <c r="C123" s="227" t="s">
        <v>8</v>
      </c>
      <c r="D123" s="227" t="s">
        <v>465</v>
      </c>
      <c r="E123" s="228" t="s">
        <v>3291</v>
      </c>
      <c r="F123" s="229" t="s">
        <v>3292</v>
      </c>
      <c r="G123" s="230" t="s">
        <v>3278</v>
      </c>
      <c r="H123" s="231">
        <v>18</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546</v>
      </c>
      <c r="AT123" s="192" t="s">
        <v>465</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3293</v>
      </c>
    </row>
    <row r="124" spans="1:65" s="2" customFormat="1" ht="29.25">
      <c r="A124" s="36"/>
      <c r="B124" s="37"/>
      <c r="C124" s="38"/>
      <c r="D124" s="196" t="s">
        <v>1226</v>
      </c>
      <c r="E124" s="38"/>
      <c r="F124" s="248" t="s">
        <v>3290</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2" customFormat="1" ht="16.5" customHeight="1">
      <c r="A125" s="36"/>
      <c r="B125" s="37"/>
      <c r="C125" s="227" t="s">
        <v>281</v>
      </c>
      <c r="D125" s="227" t="s">
        <v>465</v>
      </c>
      <c r="E125" s="228" t="s">
        <v>3294</v>
      </c>
      <c r="F125" s="229" t="s">
        <v>3295</v>
      </c>
      <c r="G125" s="230" t="s">
        <v>3278</v>
      </c>
      <c r="H125" s="231">
        <v>1</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546</v>
      </c>
      <c r="AT125" s="192" t="s">
        <v>465</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3296</v>
      </c>
    </row>
    <row r="126" spans="1:65" s="2" customFormat="1" ht="29.25">
      <c r="A126" s="36"/>
      <c r="B126" s="37"/>
      <c r="C126" s="38"/>
      <c r="D126" s="196" t="s">
        <v>1226</v>
      </c>
      <c r="E126" s="38"/>
      <c r="F126" s="248" t="s">
        <v>3297</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2" customFormat="1" ht="16.5" customHeight="1">
      <c r="A127" s="36"/>
      <c r="B127" s="37"/>
      <c r="C127" s="227" t="s">
        <v>471</v>
      </c>
      <c r="D127" s="227" t="s">
        <v>465</v>
      </c>
      <c r="E127" s="228" t="s">
        <v>3298</v>
      </c>
      <c r="F127" s="229" t="s">
        <v>3299</v>
      </c>
      <c r="G127" s="230" t="s">
        <v>3278</v>
      </c>
      <c r="H127" s="231">
        <v>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546</v>
      </c>
      <c r="AT127" s="192" t="s">
        <v>465</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3300</v>
      </c>
    </row>
    <row r="128" spans="1:65" s="2" customFormat="1" ht="29.25">
      <c r="A128" s="36"/>
      <c r="B128" s="37"/>
      <c r="C128" s="38"/>
      <c r="D128" s="196" t="s">
        <v>1226</v>
      </c>
      <c r="E128" s="38"/>
      <c r="F128" s="248" t="s">
        <v>3297</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2" customFormat="1" ht="16.5" customHeight="1">
      <c r="A129" s="36"/>
      <c r="B129" s="37"/>
      <c r="C129" s="181" t="s">
        <v>477</v>
      </c>
      <c r="D129" s="181" t="s">
        <v>382</v>
      </c>
      <c r="E129" s="182" t="s">
        <v>3301</v>
      </c>
      <c r="F129" s="183" t="s">
        <v>3302</v>
      </c>
      <c r="G129" s="184" t="s">
        <v>641</v>
      </c>
      <c r="H129" s="185">
        <v>2</v>
      </c>
      <c r="I129" s="186"/>
      <c r="J129" s="187">
        <f>ROUND(I129*H129,2)</f>
        <v>0</v>
      </c>
      <c r="K129" s="183" t="s">
        <v>3239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3303</v>
      </c>
    </row>
    <row r="130" spans="1:65" s="2" customFormat="1" ht="16.5" customHeight="1">
      <c r="A130" s="36"/>
      <c r="B130" s="37"/>
      <c r="C130" s="227" t="s">
        <v>284</v>
      </c>
      <c r="D130" s="227" t="s">
        <v>465</v>
      </c>
      <c r="E130" s="228" t="s">
        <v>3304</v>
      </c>
      <c r="F130" s="229" t="s">
        <v>3305</v>
      </c>
      <c r="G130" s="230" t="s">
        <v>3278</v>
      </c>
      <c r="H130" s="231">
        <v>2</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546</v>
      </c>
      <c r="AT130" s="192" t="s">
        <v>465</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3306</v>
      </c>
    </row>
    <row r="131" spans="1:65" s="2" customFormat="1" ht="39">
      <c r="A131" s="36"/>
      <c r="B131" s="37"/>
      <c r="C131" s="38"/>
      <c r="D131" s="196" t="s">
        <v>1226</v>
      </c>
      <c r="E131" s="38"/>
      <c r="F131" s="248" t="s">
        <v>3307</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1226</v>
      </c>
      <c r="AU131" s="19" t="s">
        <v>82</v>
      </c>
    </row>
    <row r="132" spans="1:65" s="2" customFormat="1" ht="16.5" customHeight="1">
      <c r="A132" s="36"/>
      <c r="B132" s="37"/>
      <c r="C132" s="181" t="s">
        <v>486</v>
      </c>
      <c r="D132" s="181" t="s">
        <v>382</v>
      </c>
      <c r="E132" s="182" t="s">
        <v>3308</v>
      </c>
      <c r="F132" s="183" t="s">
        <v>3309</v>
      </c>
      <c r="G132" s="184" t="s">
        <v>641</v>
      </c>
      <c r="H132" s="185">
        <v>2</v>
      </c>
      <c r="I132" s="186"/>
      <c r="J132" s="187">
        <f>ROUND(I132*H132,2)</f>
        <v>0</v>
      </c>
      <c r="K132" s="183" t="s">
        <v>3239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3310</v>
      </c>
    </row>
    <row r="133" spans="1:65" s="2" customFormat="1" ht="16.5" customHeight="1">
      <c r="A133" s="36"/>
      <c r="B133" s="37"/>
      <c r="C133" s="227" t="s">
        <v>7</v>
      </c>
      <c r="D133" s="227" t="s">
        <v>465</v>
      </c>
      <c r="E133" s="228" t="s">
        <v>3311</v>
      </c>
      <c r="F133" s="229" t="s">
        <v>3312</v>
      </c>
      <c r="G133" s="230" t="s">
        <v>3278</v>
      </c>
      <c r="H133" s="231">
        <v>2</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546</v>
      </c>
      <c r="AT133" s="192" t="s">
        <v>465</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3313</v>
      </c>
    </row>
    <row r="134" spans="1:65" s="2" customFormat="1" ht="48.75">
      <c r="A134" s="36"/>
      <c r="B134" s="37"/>
      <c r="C134" s="38"/>
      <c r="D134" s="196" t="s">
        <v>1226</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2" customFormat="1" ht="21.75" customHeight="1">
      <c r="A135" s="36"/>
      <c r="B135" s="37"/>
      <c r="C135" s="181" t="s">
        <v>495</v>
      </c>
      <c r="D135" s="181" t="s">
        <v>382</v>
      </c>
      <c r="E135" s="182" t="s">
        <v>3315</v>
      </c>
      <c r="F135" s="183" t="s">
        <v>3316</v>
      </c>
      <c r="G135" s="184" t="s">
        <v>452</v>
      </c>
      <c r="H135" s="185">
        <v>124.15</v>
      </c>
      <c r="I135" s="186"/>
      <c r="J135" s="187">
        <f>ROUND(I135*H135,2)</f>
        <v>0</v>
      </c>
      <c r="K135" s="183" t="s">
        <v>3239</v>
      </c>
      <c r="L135" s="41"/>
      <c r="M135" s="188" t="s">
        <v>19</v>
      </c>
      <c r="N135" s="189" t="s">
        <v>43</v>
      </c>
      <c r="O135" s="66"/>
      <c r="P135" s="190">
        <f>O135*H135</f>
        <v>0</v>
      </c>
      <c r="Q135" s="190">
        <v>6.0899999999999999E-3</v>
      </c>
      <c r="R135" s="190">
        <f>Q135*H135</f>
        <v>0.75607350000000006</v>
      </c>
      <c r="S135" s="190">
        <v>0</v>
      </c>
      <c r="T135" s="191">
        <f>S135*H135</f>
        <v>0</v>
      </c>
      <c r="U135" s="36"/>
      <c r="V135" s="36"/>
      <c r="W135" s="36"/>
      <c r="X135" s="36"/>
      <c r="Y135" s="36"/>
      <c r="Z135" s="36"/>
      <c r="AA135" s="36"/>
      <c r="AB135" s="36"/>
      <c r="AC135" s="36"/>
      <c r="AD135" s="36"/>
      <c r="AE135" s="36"/>
      <c r="AR135" s="192" t="s">
        <v>281</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3317</v>
      </c>
    </row>
    <row r="136" spans="1:65" s="2" customFormat="1" ht="29.25">
      <c r="A136" s="36"/>
      <c r="B136" s="37"/>
      <c r="C136" s="38"/>
      <c r="D136" s="196" t="s">
        <v>1226</v>
      </c>
      <c r="E136" s="38"/>
      <c r="F136" s="248" t="s">
        <v>3318</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13" customFormat="1" ht="11.25">
      <c r="B137" s="194"/>
      <c r="C137" s="195"/>
      <c r="D137" s="196" t="s">
        <v>388</v>
      </c>
      <c r="E137" s="197" t="s">
        <v>19</v>
      </c>
      <c r="F137" s="198" t="s">
        <v>3319</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3320</v>
      </c>
      <c r="G138" s="206"/>
      <c r="H138" s="209">
        <v>68.900000000000006</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3" customFormat="1" ht="11.25">
      <c r="B139" s="194"/>
      <c r="C139" s="195"/>
      <c r="D139" s="196" t="s">
        <v>388</v>
      </c>
      <c r="E139" s="197" t="s">
        <v>19</v>
      </c>
      <c r="F139" s="198" t="s">
        <v>3321</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3322</v>
      </c>
      <c r="G140" s="206"/>
      <c r="H140" s="209">
        <v>12.35</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3" customFormat="1" ht="11.25">
      <c r="B141" s="194"/>
      <c r="C141" s="195"/>
      <c r="D141" s="196" t="s">
        <v>388</v>
      </c>
      <c r="E141" s="197" t="s">
        <v>19</v>
      </c>
      <c r="F141" s="198" t="s">
        <v>3323</v>
      </c>
      <c r="G141" s="195"/>
      <c r="H141" s="197" t="s">
        <v>19</v>
      </c>
      <c r="I141" s="199"/>
      <c r="J141" s="195"/>
      <c r="K141" s="195"/>
      <c r="L141" s="200"/>
      <c r="M141" s="201"/>
      <c r="N141" s="202"/>
      <c r="O141" s="202"/>
      <c r="P141" s="202"/>
      <c r="Q141" s="202"/>
      <c r="R141" s="202"/>
      <c r="S141" s="202"/>
      <c r="T141" s="203"/>
      <c r="AT141" s="204" t="s">
        <v>388</v>
      </c>
      <c r="AU141" s="204" t="s">
        <v>82</v>
      </c>
      <c r="AV141" s="13" t="s">
        <v>79</v>
      </c>
      <c r="AW141" s="13" t="s">
        <v>33</v>
      </c>
      <c r="AX141" s="13" t="s">
        <v>72</v>
      </c>
      <c r="AY141" s="204" t="s">
        <v>380</v>
      </c>
    </row>
    <row r="142" spans="1:65" s="14" customFormat="1" ht="11.25">
      <c r="B142" s="205"/>
      <c r="C142" s="206"/>
      <c r="D142" s="196" t="s">
        <v>388</v>
      </c>
      <c r="E142" s="207" t="s">
        <v>19</v>
      </c>
      <c r="F142" s="208" t="s">
        <v>3324</v>
      </c>
      <c r="G142" s="206"/>
      <c r="H142" s="209">
        <v>22.75</v>
      </c>
      <c r="I142" s="210"/>
      <c r="J142" s="206"/>
      <c r="K142" s="206"/>
      <c r="L142" s="211"/>
      <c r="M142" s="212"/>
      <c r="N142" s="213"/>
      <c r="O142" s="213"/>
      <c r="P142" s="213"/>
      <c r="Q142" s="213"/>
      <c r="R142" s="213"/>
      <c r="S142" s="213"/>
      <c r="T142" s="214"/>
      <c r="AT142" s="215" t="s">
        <v>388</v>
      </c>
      <c r="AU142" s="215" t="s">
        <v>82</v>
      </c>
      <c r="AV142" s="14" t="s">
        <v>82</v>
      </c>
      <c r="AW142" s="14" t="s">
        <v>33</v>
      </c>
      <c r="AX142" s="14" t="s">
        <v>72</v>
      </c>
      <c r="AY142" s="215" t="s">
        <v>380</v>
      </c>
    </row>
    <row r="143" spans="1:65" s="13" customFormat="1" ht="11.25">
      <c r="B143" s="194"/>
      <c r="C143" s="195"/>
      <c r="D143" s="196" t="s">
        <v>388</v>
      </c>
      <c r="E143" s="197" t="s">
        <v>19</v>
      </c>
      <c r="F143" s="198" t="s">
        <v>3325</v>
      </c>
      <c r="G143" s="195"/>
      <c r="H143" s="197" t="s">
        <v>19</v>
      </c>
      <c r="I143" s="199"/>
      <c r="J143" s="195"/>
      <c r="K143" s="195"/>
      <c r="L143" s="200"/>
      <c r="M143" s="201"/>
      <c r="N143" s="202"/>
      <c r="O143" s="202"/>
      <c r="P143" s="202"/>
      <c r="Q143" s="202"/>
      <c r="R143" s="202"/>
      <c r="S143" s="202"/>
      <c r="T143" s="203"/>
      <c r="AT143" s="204" t="s">
        <v>388</v>
      </c>
      <c r="AU143" s="204" t="s">
        <v>82</v>
      </c>
      <c r="AV143" s="13" t="s">
        <v>79</v>
      </c>
      <c r="AW143" s="13" t="s">
        <v>33</v>
      </c>
      <c r="AX143" s="13" t="s">
        <v>72</v>
      </c>
      <c r="AY143" s="204" t="s">
        <v>380</v>
      </c>
    </row>
    <row r="144" spans="1:65" s="14" customFormat="1" ht="11.25">
      <c r="B144" s="205"/>
      <c r="C144" s="206"/>
      <c r="D144" s="196" t="s">
        <v>388</v>
      </c>
      <c r="E144" s="207" t="s">
        <v>19</v>
      </c>
      <c r="F144" s="208" t="s">
        <v>3326</v>
      </c>
      <c r="G144" s="206"/>
      <c r="H144" s="209">
        <v>8.4499999999999993</v>
      </c>
      <c r="I144" s="210"/>
      <c r="J144" s="206"/>
      <c r="K144" s="206"/>
      <c r="L144" s="211"/>
      <c r="M144" s="212"/>
      <c r="N144" s="213"/>
      <c r="O144" s="213"/>
      <c r="P144" s="213"/>
      <c r="Q144" s="213"/>
      <c r="R144" s="213"/>
      <c r="S144" s="213"/>
      <c r="T144" s="214"/>
      <c r="AT144" s="215" t="s">
        <v>388</v>
      </c>
      <c r="AU144" s="215" t="s">
        <v>82</v>
      </c>
      <c r="AV144" s="14" t="s">
        <v>82</v>
      </c>
      <c r="AW144" s="14" t="s">
        <v>33</v>
      </c>
      <c r="AX144" s="14" t="s">
        <v>72</v>
      </c>
      <c r="AY144" s="215" t="s">
        <v>380</v>
      </c>
    </row>
    <row r="145" spans="1:65" s="13" customFormat="1" ht="11.25">
      <c r="B145" s="194"/>
      <c r="C145" s="195"/>
      <c r="D145" s="196" t="s">
        <v>388</v>
      </c>
      <c r="E145" s="197" t="s">
        <v>19</v>
      </c>
      <c r="F145" s="198" t="s">
        <v>3327</v>
      </c>
      <c r="G145" s="195"/>
      <c r="H145" s="197" t="s">
        <v>19</v>
      </c>
      <c r="I145" s="199"/>
      <c r="J145" s="195"/>
      <c r="K145" s="195"/>
      <c r="L145" s="200"/>
      <c r="M145" s="201"/>
      <c r="N145" s="202"/>
      <c r="O145" s="202"/>
      <c r="P145" s="202"/>
      <c r="Q145" s="202"/>
      <c r="R145" s="202"/>
      <c r="S145" s="202"/>
      <c r="T145" s="203"/>
      <c r="AT145" s="204" t="s">
        <v>388</v>
      </c>
      <c r="AU145" s="204" t="s">
        <v>82</v>
      </c>
      <c r="AV145" s="13" t="s">
        <v>79</v>
      </c>
      <c r="AW145" s="13" t="s">
        <v>33</v>
      </c>
      <c r="AX145" s="13" t="s">
        <v>72</v>
      </c>
      <c r="AY145" s="204" t="s">
        <v>380</v>
      </c>
    </row>
    <row r="146" spans="1:65" s="14" customFormat="1" ht="11.25">
      <c r="B146" s="205"/>
      <c r="C146" s="206"/>
      <c r="D146" s="196" t="s">
        <v>388</v>
      </c>
      <c r="E146" s="207" t="s">
        <v>19</v>
      </c>
      <c r="F146" s="208" t="s">
        <v>3326</v>
      </c>
      <c r="G146" s="206"/>
      <c r="H146" s="209">
        <v>8.4499999999999993</v>
      </c>
      <c r="I146" s="210"/>
      <c r="J146" s="206"/>
      <c r="K146" s="206"/>
      <c r="L146" s="211"/>
      <c r="M146" s="212"/>
      <c r="N146" s="213"/>
      <c r="O146" s="213"/>
      <c r="P146" s="213"/>
      <c r="Q146" s="213"/>
      <c r="R146" s="213"/>
      <c r="S146" s="213"/>
      <c r="T146" s="214"/>
      <c r="AT146" s="215" t="s">
        <v>388</v>
      </c>
      <c r="AU146" s="215" t="s">
        <v>82</v>
      </c>
      <c r="AV146" s="14" t="s">
        <v>82</v>
      </c>
      <c r="AW146" s="14" t="s">
        <v>33</v>
      </c>
      <c r="AX146" s="14" t="s">
        <v>72</v>
      </c>
      <c r="AY146" s="215" t="s">
        <v>380</v>
      </c>
    </row>
    <row r="147" spans="1:65" s="13" customFormat="1" ht="11.25">
      <c r="B147" s="194"/>
      <c r="C147" s="195"/>
      <c r="D147" s="196" t="s">
        <v>388</v>
      </c>
      <c r="E147" s="197" t="s">
        <v>19</v>
      </c>
      <c r="F147" s="198" t="s">
        <v>3328</v>
      </c>
      <c r="G147" s="195"/>
      <c r="H147" s="197" t="s">
        <v>19</v>
      </c>
      <c r="I147" s="199"/>
      <c r="J147" s="195"/>
      <c r="K147" s="195"/>
      <c r="L147" s="200"/>
      <c r="M147" s="201"/>
      <c r="N147" s="202"/>
      <c r="O147" s="202"/>
      <c r="P147" s="202"/>
      <c r="Q147" s="202"/>
      <c r="R147" s="202"/>
      <c r="S147" s="202"/>
      <c r="T147" s="203"/>
      <c r="AT147" s="204" t="s">
        <v>388</v>
      </c>
      <c r="AU147" s="204" t="s">
        <v>82</v>
      </c>
      <c r="AV147" s="13" t="s">
        <v>79</v>
      </c>
      <c r="AW147" s="13" t="s">
        <v>33</v>
      </c>
      <c r="AX147" s="13" t="s">
        <v>72</v>
      </c>
      <c r="AY147" s="204" t="s">
        <v>380</v>
      </c>
    </row>
    <row r="148" spans="1:65" s="14" customFormat="1" ht="11.25">
      <c r="B148" s="205"/>
      <c r="C148" s="206"/>
      <c r="D148" s="196" t="s">
        <v>388</v>
      </c>
      <c r="E148" s="207" t="s">
        <v>19</v>
      </c>
      <c r="F148" s="208" t="s">
        <v>3329</v>
      </c>
      <c r="G148" s="206"/>
      <c r="H148" s="209">
        <v>3.25</v>
      </c>
      <c r="I148" s="210"/>
      <c r="J148" s="206"/>
      <c r="K148" s="206"/>
      <c r="L148" s="211"/>
      <c r="M148" s="212"/>
      <c r="N148" s="213"/>
      <c r="O148" s="213"/>
      <c r="P148" s="213"/>
      <c r="Q148" s="213"/>
      <c r="R148" s="213"/>
      <c r="S148" s="213"/>
      <c r="T148" s="214"/>
      <c r="AT148" s="215" t="s">
        <v>388</v>
      </c>
      <c r="AU148" s="215" t="s">
        <v>82</v>
      </c>
      <c r="AV148" s="14" t="s">
        <v>82</v>
      </c>
      <c r="AW148" s="14" t="s">
        <v>33</v>
      </c>
      <c r="AX148" s="14" t="s">
        <v>72</v>
      </c>
      <c r="AY148" s="215" t="s">
        <v>380</v>
      </c>
    </row>
    <row r="149" spans="1:65" s="15" customFormat="1" ht="11.25">
      <c r="B149" s="216"/>
      <c r="C149" s="217"/>
      <c r="D149" s="196" t="s">
        <v>388</v>
      </c>
      <c r="E149" s="218" t="s">
        <v>19</v>
      </c>
      <c r="F149" s="219" t="s">
        <v>419</v>
      </c>
      <c r="G149" s="217"/>
      <c r="H149" s="220">
        <v>124.15</v>
      </c>
      <c r="I149" s="221"/>
      <c r="J149" s="217"/>
      <c r="K149" s="217"/>
      <c r="L149" s="222"/>
      <c r="M149" s="223"/>
      <c r="N149" s="224"/>
      <c r="O149" s="224"/>
      <c r="P149" s="224"/>
      <c r="Q149" s="224"/>
      <c r="R149" s="224"/>
      <c r="S149" s="224"/>
      <c r="T149" s="225"/>
      <c r="AT149" s="226" t="s">
        <v>388</v>
      </c>
      <c r="AU149" s="226" t="s">
        <v>82</v>
      </c>
      <c r="AV149" s="15" t="s">
        <v>386</v>
      </c>
      <c r="AW149" s="15" t="s">
        <v>33</v>
      </c>
      <c r="AX149" s="15" t="s">
        <v>79</v>
      </c>
      <c r="AY149" s="226" t="s">
        <v>380</v>
      </c>
    </row>
    <row r="150" spans="1:65" s="2" customFormat="1" ht="21.75" customHeight="1">
      <c r="A150" s="36"/>
      <c r="B150" s="37"/>
      <c r="C150" s="181" t="s">
        <v>500</v>
      </c>
      <c r="D150" s="181" t="s">
        <v>382</v>
      </c>
      <c r="E150" s="182" t="s">
        <v>3330</v>
      </c>
      <c r="F150" s="183" t="s">
        <v>3331</v>
      </c>
      <c r="G150" s="184" t="s">
        <v>452</v>
      </c>
      <c r="H150" s="185">
        <v>25.35</v>
      </c>
      <c r="I150" s="186"/>
      <c r="J150" s="187">
        <f>ROUND(I150*H150,2)</f>
        <v>0</v>
      </c>
      <c r="K150" s="183" t="s">
        <v>3239</v>
      </c>
      <c r="L150" s="41"/>
      <c r="M150" s="188" t="s">
        <v>19</v>
      </c>
      <c r="N150" s="189" t="s">
        <v>43</v>
      </c>
      <c r="O150" s="66"/>
      <c r="P150" s="190">
        <f>O150*H150</f>
        <v>0</v>
      </c>
      <c r="Q150" s="190">
        <v>8.26E-3</v>
      </c>
      <c r="R150" s="190">
        <f>Q150*H150</f>
        <v>0.20939100000000002</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3332</v>
      </c>
    </row>
    <row r="151" spans="1:65" s="2" customFormat="1" ht="29.25">
      <c r="A151" s="36"/>
      <c r="B151" s="37"/>
      <c r="C151" s="38"/>
      <c r="D151" s="196" t="s">
        <v>1226</v>
      </c>
      <c r="E151" s="38"/>
      <c r="F151" s="248" t="s">
        <v>3318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82</v>
      </c>
    </row>
    <row r="152" spans="1:65" s="13" customFormat="1" ht="11.25">
      <c r="B152" s="194"/>
      <c r="C152" s="195"/>
      <c r="D152" s="196" t="s">
        <v>388</v>
      </c>
      <c r="E152" s="197" t="s">
        <v>19</v>
      </c>
      <c r="F152" s="198" t="s">
        <v>3333</v>
      </c>
      <c r="G152" s="195"/>
      <c r="H152" s="197" t="s">
        <v>19</v>
      </c>
      <c r="I152" s="199"/>
      <c r="J152" s="195"/>
      <c r="K152" s="195"/>
      <c r="L152" s="200"/>
      <c r="M152" s="201"/>
      <c r="N152" s="202"/>
      <c r="O152" s="202"/>
      <c r="P152" s="202"/>
      <c r="Q152" s="202"/>
      <c r="R152" s="202"/>
      <c r="S152" s="202"/>
      <c r="T152" s="203"/>
      <c r="AT152" s="204" t="s">
        <v>388</v>
      </c>
      <c r="AU152" s="204" t="s">
        <v>82</v>
      </c>
      <c r="AV152" s="13" t="s">
        <v>79</v>
      </c>
      <c r="AW152" s="13" t="s">
        <v>33</v>
      </c>
      <c r="AX152" s="13" t="s">
        <v>72</v>
      </c>
      <c r="AY152" s="204" t="s">
        <v>380</v>
      </c>
    </row>
    <row r="153" spans="1:65" s="14" customFormat="1" ht="11.25">
      <c r="B153" s="205"/>
      <c r="C153" s="206"/>
      <c r="D153" s="196" t="s">
        <v>388</v>
      </c>
      <c r="E153" s="207" t="s">
        <v>19</v>
      </c>
      <c r="F153" s="208" t="s">
        <v>3334</v>
      </c>
      <c r="G153" s="206"/>
      <c r="H153" s="209">
        <v>14.95</v>
      </c>
      <c r="I153" s="210"/>
      <c r="J153" s="206"/>
      <c r="K153" s="206"/>
      <c r="L153" s="211"/>
      <c r="M153" s="212"/>
      <c r="N153" s="213"/>
      <c r="O153" s="213"/>
      <c r="P153" s="213"/>
      <c r="Q153" s="213"/>
      <c r="R153" s="213"/>
      <c r="S153" s="213"/>
      <c r="T153" s="214"/>
      <c r="AT153" s="215" t="s">
        <v>388</v>
      </c>
      <c r="AU153" s="215" t="s">
        <v>82</v>
      </c>
      <c r="AV153" s="14" t="s">
        <v>82</v>
      </c>
      <c r="AW153" s="14" t="s">
        <v>33</v>
      </c>
      <c r="AX153" s="14" t="s">
        <v>72</v>
      </c>
      <c r="AY153" s="215" t="s">
        <v>380</v>
      </c>
    </row>
    <row r="154" spans="1:65" s="13" customFormat="1" ht="11.25">
      <c r="B154" s="194"/>
      <c r="C154" s="195"/>
      <c r="D154" s="196" t="s">
        <v>388</v>
      </c>
      <c r="E154" s="197" t="s">
        <v>19</v>
      </c>
      <c r="F154" s="198" t="s">
        <v>3335</v>
      </c>
      <c r="G154" s="195"/>
      <c r="H154" s="197" t="s">
        <v>19</v>
      </c>
      <c r="I154" s="199"/>
      <c r="J154" s="195"/>
      <c r="K154" s="195"/>
      <c r="L154" s="200"/>
      <c r="M154" s="201"/>
      <c r="N154" s="202"/>
      <c r="O154" s="202"/>
      <c r="P154" s="202"/>
      <c r="Q154" s="202"/>
      <c r="R154" s="202"/>
      <c r="S154" s="202"/>
      <c r="T154" s="203"/>
      <c r="AT154" s="204" t="s">
        <v>388</v>
      </c>
      <c r="AU154" s="204" t="s">
        <v>82</v>
      </c>
      <c r="AV154" s="13" t="s">
        <v>79</v>
      </c>
      <c r="AW154" s="13" t="s">
        <v>33</v>
      </c>
      <c r="AX154" s="13" t="s">
        <v>72</v>
      </c>
      <c r="AY154" s="204" t="s">
        <v>380</v>
      </c>
    </row>
    <row r="155" spans="1:65" s="14" customFormat="1" ht="11.25">
      <c r="B155" s="205"/>
      <c r="C155" s="206"/>
      <c r="D155" s="196" t="s">
        <v>388</v>
      </c>
      <c r="E155" s="207" t="s">
        <v>19</v>
      </c>
      <c r="F155" s="208" t="s">
        <v>3336</v>
      </c>
      <c r="G155" s="206"/>
      <c r="H155" s="209">
        <v>2.6</v>
      </c>
      <c r="I155" s="210"/>
      <c r="J155" s="206"/>
      <c r="K155" s="206"/>
      <c r="L155" s="211"/>
      <c r="M155" s="212"/>
      <c r="N155" s="213"/>
      <c r="O155" s="213"/>
      <c r="P155" s="213"/>
      <c r="Q155" s="213"/>
      <c r="R155" s="213"/>
      <c r="S155" s="213"/>
      <c r="T155" s="214"/>
      <c r="AT155" s="215" t="s">
        <v>388</v>
      </c>
      <c r="AU155" s="215" t="s">
        <v>82</v>
      </c>
      <c r="AV155" s="14" t="s">
        <v>82</v>
      </c>
      <c r="AW155" s="14" t="s">
        <v>33</v>
      </c>
      <c r="AX155" s="14" t="s">
        <v>72</v>
      </c>
      <c r="AY155" s="215" t="s">
        <v>380</v>
      </c>
    </row>
    <row r="156" spans="1:65" s="13" customFormat="1" ht="11.25">
      <c r="B156" s="194"/>
      <c r="C156" s="195"/>
      <c r="D156" s="196" t="s">
        <v>388</v>
      </c>
      <c r="E156" s="197" t="s">
        <v>19</v>
      </c>
      <c r="F156" s="198" t="s">
        <v>3337</v>
      </c>
      <c r="G156" s="195"/>
      <c r="H156" s="197" t="s">
        <v>19</v>
      </c>
      <c r="I156" s="199"/>
      <c r="J156" s="195"/>
      <c r="K156" s="195"/>
      <c r="L156" s="200"/>
      <c r="M156" s="201"/>
      <c r="N156" s="202"/>
      <c r="O156" s="202"/>
      <c r="P156" s="202"/>
      <c r="Q156" s="202"/>
      <c r="R156" s="202"/>
      <c r="S156" s="202"/>
      <c r="T156" s="203"/>
      <c r="AT156" s="204" t="s">
        <v>388</v>
      </c>
      <c r="AU156" s="204" t="s">
        <v>82</v>
      </c>
      <c r="AV156" s="13" t="s">
        <v>79</v>
      </c>
      <c r="AW156" s="13" t="s">
        <v>33</v>
      </c>
      <c r="AX156" s="13" t="s">
        <v>72</v>
      </c>
      <c r="AY156" s="204" t="s">
        <v>380</v>
      </c>
    </row>
    <row r="157" spans="1:65" s="14" customFormat="1" ht="11.25">
      <c r="B157" s="205"/>
      <c r="C157" s="206"/>
      <c r="D157" s="196" t="s">
        <v>388</v>
      </c>
      <c r="E157" s="207" t="s">
        <v>19</v>
      </c>
      <c r="F157" s="208" t="s">
        <v>3338</v>
      </c>
      <c r="G157" s="206"/>
      <c r="H157" s="209">
        <v>7.8</v>
      </c>
      <c r="I157" s="210"/>
      <c r="J157" s="206"/>
      <c r="K157" s="206"/>
      <c r="L157" s="211"/>
      <c r="M157" s="212"/>
      <c r="N157" s="213"/>
      <c r="O157" s="213"/>
      <c r="P157" s="213"/>
      <c r="Q157" s="213"/>
      <c r="R157" s="213"/>
      <c r="S157" s="213"/>
      <c r="T157" s="214"/>
      <c r="AT157" s="215" t="s">
        <v>388</v>
      </c>
      <c r="AU157" s="215" t="s">
        <v>82</v>
      </c>
      <c r="AV157" s="14" t="s">
        <v>82</v>
      </c>
      <c r="AW157" s="14" t="s">
        <v>33</v>
      </c>
      <c r="AX157" s="14" t="s">
        <v>72</v>
      </c>
      <c r="AY157" s="215" t="s">
        <v>380</v>
      </c>
    </row>
    <row r="158" spans="1:65" s="15" customFormat="1" ht="11.25">
      <c r="B158" s="216"/>
      <c r="C158" s="217"/>
      <c r="D158" s="196" t="s">
        <v>388</v>
      </c>
      <c r="E158" s="218" t="s">
        <v>19</v>
      </c>
      <c r="F158" s="219" t="s">
        <v>419</v>
      </c>
      <c r="G158" s="217"/>
      <c r="H158" s="220">
        <v>25.35</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21.75" customHeight="1">
      <c r="A159" s="36"/>
      <c r="B159" s="37"/>
      <c r="C159" s="181" t="s">
        <v>505</v>
      </c>
      <c r="D159" s="181" t="s">
        <v>382</v>
      </c>
      <c r="E159" s="182" t="s">
        <v>3339</v>
      </c>
      <c r="F159" s="183" t="s">
        <v>3340</v>
      </c>
      <c r="G159" s="184" t="s">
        <v>452</v>
      </c>
      <c r="H159" s="185">
        <v>1.95</v>
      </c>
      <c r="I159" s="186"/>
      <c r="J159" s="187">
        <f>ROUND(I159*H159,2)</f>
        <v>0</v>
      </c>
      <c r="K159" s="183" t="s">
        <v>3239</v>
      </c>
      <c r="L159" s="41"/>
      <c r="M159" s="188" t="s">
        <v>19</v>
      </c>
      <c r="N159" s="189" t="s">
        <v>43</v>
      </c>
      <c r="O159" s="66"/>
      <c r="P159" s="190">
        <f>O159*H159</f>
        <v>0</v>
      </c>
      <c r="Q159" s="190">
        <v>1.3010000000000001E-2</v>
      </c>
      <c r="R159" s="190">
        <f>Q159*H159</f>
        <v>2.53695E-2</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3341</v>
      </c>
    </row>
    <row r="160" spans="1:65" s="2" customFormat="1" ht="29.25">
      <c r="A160" s="36"/>
      <c r="B160" s="37"/>
      <c r="C160" s="38"/>
      <c r="D160" s="196" t="s">
        <v>1226</v>
      </c>
      <c r="E160" s="38"/>
      <c r="F160" s="248" t="s">
        <v>3318</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82</v>
      </c>
    </row>
    <row r="161" spans="1:65" s="13" customFormat="1" ht="11.25">
      <c r="B161" s="194"/>
      <c r="C161" s="195"/>
      <c r="D161" s="196" t="s">
        <v>388</v>
      </c>
      <c r="E161" s="197" t="s">
        <v>19</v>
      </c>
      <c r="F161" s="198" t="s">
        <v>3342</v>
      </c>
      <c r="G161" s="195"/>
      <c r="H161" s="197" t="s">
        <v>19</v>
      </c>
      <c r="I161" s="199"/>
      <c r="J161" s="195"/>
      <c r="K161" s="195"/>
      <c r="L161" s="200"/>
      <c r="M161" s="201"/>
      <c r="N161" s="202"/>
      <c r="O161" s="202"/>
      <c r="P161" s="202"/>
      <c r="Q161" s="202"/>
      <c r="R161" s="202"/>
      <c r="S161" s="202"/>
      <c r="T161" s="203"/>
      <c r="AT161" s="204" t="s">
        <v>388</v>
      </c>
      <c r="AU161" s="204" t="s">
        <v>82</v>
      </c>
      <c r="AV161" s="13" t="s">
        <v>79</v>
      </c>
      <c r="AW161" s="13" t="s">
        <v>33</v>
      </c>
      <c r="AX161" s="13" t="s">
        <v>72</v>
      </c>
      <c r="AY161" s="204" t="s">
        <v>380</v>
      </c>
    </row>
    <row r="162" spans="1:65" s="14" customFormat="1" ht="11.25">
      <c r="B162" s="205"/>
      <c r="C162" s="206"/>
      <c r="D162" s="196" t="s">
        <v>388</v>
      </c>
      <c r="E162" s="207" t="s">
        <v>19</v>
      </c>
      <c r="F162" s="208" t="s">
        <v>3343</v>
      </c>
      <c r="G162" s="206"/>
      <c r="H162" s="209">
        <v>1.95</v>
      </c>
      <c r="I162" s="210"/>
      <c r="J162" s="206"/>
      <c r="K162" s="206"/>
      <c r="L162" s="211"/>
      <c r="M162" s="212"/>
      <c r="N162" s="213"/>
      <c r="O162" s="213"/>
      <c r="P162" s="213"/>
      <c r="Q162" s="213"/>
      <c r="R162" s="213"/>
      <c r="S162" s="213"/>
      <c r="T162" s="214"/>
      <c r="AT162" s="215" t="s">
        <v>388</v>
      </c>
      <c r="AU162" s="215" t="s">
        <v>82</v>
      </c>
      <c r="AV162" s="14" t="s">
        <v>82</v>
      </c>
      <c r="AW162" s="14" t="s">
        <v>33</v>
      </c>
      <c r="AX162" s="14" t="s">
        <v>72</v>
      </c>
      <c r="AY162" s="215" t="s">
        <v>380</v>
      </c>
    </row>
    <row r="163" spans="1:65" s="15" customFormat="1" ht="11.25">
      <c r="B163" s="216"/>
      <c r="C163" s="217"/>
      <c r="D163" s="196" t="s">
        <v>388</v>
      </c>
      <c r="E163" s="218" t="s">
        <v>19</v>
      </c>
      <c r="F163" s="219" t="s">
        <v>419</v>
      </c>
      <c r="G163" s="217"/>
      <c r="H163" s="220">
        <v>1.95</v>
      </c>
      <c r="I163" s="221"/>
      <c r="J163" s="217"/>
      <c r="K163" s="217"/>
      <c r="L163" s="222"/>
      <c r="M163" s="223"/>
      <c r="N163" s="224"/>
      <c r="O163" s="224"/>
      <c r="P163" s="224"/>
      <c r="Q163" s="224"/>
      <c r="R163" s="224"/>
      <c r="S163" s="224"/>
      <c r="T163" s="225"/>
      <c r="AT163" s="226" t="s">
        <v>388</v>
      </c>
      <c r="AU163" s="226" t="s">
        <v>82</v>
      </c>
      <c r="AV163" s="15" t="s">
        <v>386</v>
      </c>
      <c r="AW163" s="15" t="s">
        <v>33</v>
      </c>
      <c r="AX163" s="15" t="s">
        <v>79</v>
      </c>
      <c r="AY163" s="226" t="s">
        <v>380</v>
      </c>
    </row>
    <row r="164" spans="1:65" s="2" customFormat="1" ht="24.2" customHeight="1">
      <c r="A164" s="36"/>
      <c r="B164" s="37"/>
      <c r="C164" s="181" t="s">
        <v>509</v>
      </c>
      <c r="D164" s="181" t="s">
        <v>382</v>
      </c>
      <c r="E164" s="182" t="s">
        <v>3344</v>
      </c>
      <c r="F164" s="183" t="s">
        <v>3345</v>
      </c>
      <c r="G164" s="184" t="s">
        <v>452</v>
      </c>
      <c r="H164" s="185">
        <v>191.75</v>
      </c>
      <c r="I164" s="186"/>
      <c r="J164" s="187">
        <f>ROUND(I164*H164,2)</f>
        <v>0</v>
      </c>
      <c r="K164" s="183" t="s">
        <v>3239</v>
      </c>
      <c r="L164" s="41"/>
      <c r="M164" s="188" t="s">
        <v>19</v>
      </c>
      <c r="N164" s="189" t="s">
        <v>43</v>
      </c>
      <c r="O164" s="66"/>
      <c r="P164" s="190">
        <f>O164*H164</f>
        <v>0</v>
      </c>
      <c r="Q164" s="190">
        <v>3.1199999999999999E-3</v>
      </c>
      <c r="R164" s="190">
        <f>Q164*H164</f>
        <v>0.59826000000000001</v>
      </c>
      <c r="S164" s="190">
        <v>0</v>
      </c>
      <c r="T164" s="191">
        <f>S164*H164</f>
        <v>0</v>
      </c>
      <c r="U164" s="36"/>
      <c r="V164" s="36"/>
      <c r="W164" s="36"/>
      <c r="X164" s="36"/>
      <c r="Y164" s="36"/>
      <c r="Z164" s="36"/>
      <c r="AA164" s="36"/>
      <c r="AB164" s="36"/>
      <c r="AC164" s="36"/>
      <c r="AD164" s="36"/>
      <c r="AE164" s="36"/>
      <c r="AR164" s="192" t="s">
        <v>281</v>
      </c>
      <c r="AT164" s="192" t="s">
        <v>382</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3346</v>
      </c>
    </row>
    <row r="165" spans="1:65" s="2" customFormat="1" ht="29.25">
      <c r="A165" s="36"/>
      <c r="B165" s="37"/>
      <c r="C165" s="38"/>
      <c r="D165" s="196" t="s">
        <v>1226</v>
      </c>
      <c r="E165" s="38"/>
      <c r="F165" s="248" t="s">
        <v>3318</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1226</v>
      </c>
      <c r="AU165" s="19" t="s">
        <v>82</v>
      </c>
    </row>
    <row r="166" spans="1:65" s="13" customFormat="1" ht="11.25">
      <c r="B166" s="194"/>
      <c r="C166" s="195"/>
      <c r="D166" s="196" t="s">
        <v>388</v>
      </c>
      <c r="E166" s="197" t="s">
        <v>19</v>
      </c>
      <c r="F166" s="198" t="s">
        <v>3347</v>
      </c>
      <c r="G166" s="195"/>
      <c r="H166" s="197" t="s">
        <v>19</v>
      </c>
      <c r="I166" s="199"/>
      <c r="J166" s="195"/>
      <c r="K166" s="195"/>
      <c r="L166" s="200"/>
      <c r="M166" s="201"/>
      <c r="N166" s="202"/>
      <c r="O166" s="202"/>
      <c r="P166" s="202"/>
      <c r="Q166" s="202"/>
      <c r="R166" s="202"/>
      <c r="S166" s="202"/>
      <c r="T166" s="203"/>
      <c r="AT166" s="204" t="s">
        <v>388</v>
      </c>
      <c r="AU166" s="204" t="s">
        <v>82</v>
      </c>
      <c r="AV166" s="13" t="s">
        <v>79</v>
      </c>
      <c r="AW166" s="13" t="s">
        <v>33</v>
      </c>
      <c r="AX166" s="13" t="s">
        <v>72</v>
      </c>
      <c r="AY166" s="204" t="s">
        <v>380</v>
      </c>
    </row>
    <row r="167" spans="1:65" s="14" customFormat="1" ht="11.25">
      <c r="B167" s="205"/>
      <c r="C167" s="206"/>
      <c r="D167" s="196" t="s">
        <v>388</v>
      </c>
      <c r="E167" s="207" t="s">
        <v>19</v>
      </c>
      <c r="F167" s="208" t="s">
        <v>3348</v>
      </c>
      <c r="G167" s="206"/>
      <c r="H167" s="209">
        <v>117.65</v>
      </c>
      <c r="I167" s="210"/>
      <c r="J167" s="206"/>
      <c r="K167" s="206"/>
      <c r="L167" s="211"/>
      <c r="M167" s="212"/>
      <c r="N167" s="213"/>
      <c r="O167" s="213"/>
      <c r="P167" s="213"/>
      <c r="Q167" s="213"/>
      <c r="R167" s="213"/>
      <c r="S167" s="213"/>
      <c r="T167" s="214"/>
      <c r="AT167" s="215" t="s">
        <v>388</v>
      </c>
      <c r="AU167" s="215" t="s">
        <v>82</v>
      </c>
      <c r="AV167" s="14" t="s">
        <v>82</v>
      </c>
      <c r="AW167" s="14" t="s">
        <v>33</v>
      </c>
      <c r="AX167" s="14" t="s">
        <v>72</v>
      </c>
      <c r="AY167" s="215" t="s">
        <v>380</v>
      </c>
    </row>
    <row r="168" spans="1:65" s="13" customFormat="1" ht="11.25">
      <c r="B168" s="194"/>
      <c r="C168" s="195"/>
      <c r="D168" s="196" t="s">
        <v>388</v>
      </c>
      <c r="E168" s="197" t="s">
        <v>19</v>
      </c>
      <c r="F168" s="198" t="s">
        <v>3349</v>
      </c>
      <c r="G168" s="195"/>
      <c r="H168" s="197" t="s">
        <v>19</v>
      </c>
      <c r="I168" s="199"/>
      <c r="J168" s="195"/>
      <c r="K168" s="195"/>
      <c r="L168" s="200"/>
      <c r="M168" s="201"/>
      <c r="N168" s="202"/>
      <c r="O168" s="202"/>
      <c r="P168" s="202"/>
      <c r="Q168" s="202"/>
      <c r="R168" s="202"/>
      <c r="S168" s="202"/>
      <c r="T168" s="203"/>
      <c r="AT168" s="204" t="s">
        <v>388</v>
      </c>
      <c r="AU168" s="204" t="s">
        <v>82</v>
      </c>
      <c r="AV168" s="13" t="s">
        <v>79</v>
      </c>
      <c r="AW168" s="13" t="s">
        <v>33</v>
      </c>
      <c r="AX168" s="13" t="s">
        <v>72</v>
      </c>
      <c r="AY168" s="204" t="s">
        <v>380</v>
      </c>
    </row>
    <row r="169" spans="1:65" s="14" customFormat="1" ht="11.25">
      <c r="B169" s="205"/>
      <c r="C169" s="206"/>
      <c r="D169" s="196" t="s">
        <v>388</v>
      </c>
      <c r="E169" s="207" t="s">
        <v>19</v>
      </c>
      <c r="F169" s="208" t="s">
        <v>3350</v>
      </c>
      <c r="G169" s="206"/>
      <c r="H169" s="209">
        <v>61.75</v>
      </c>
      <c r="I169" s="210"/>
      <c r="J169" s="206"/>
      <c r="K169" s="206"/>
      <c r="L169" s="211"/>
      <c r="M169" s="212"/>
      <c r="N169" s="213"/>
      <c r="O169" s="213"/>
      <c r="P169" s="213"/>
      <c r="Q169" s="213"/>
      <c r="R169" s="213"/>
      <c r="S169" s="213"/>
      <c r="T169" s="214"/>
      <c r="AT169" s="215" t="s">
        <v>388</v>
      </c>
      <c r="AU169" s="215" t="s">
        <v>82</v>
      </c>
      <c r="AV169" s="14" t="s">
        <v>82</v>
      </c>
      <c r="AW169" s="14" t="s">
        <v>33</v>
      </c>
      <c r="AX169" s="14" t="s">
        <v>72</v>
      </c>
      <c r="AY169" s="215" t="s">
        <v>380</v>
      </c>
    </row>
    <row r="170" spans="1:65" s="13" customFormat="1" ht="11.25">
      <c r="B170" s="194"/>
      <c r="C170" s="195"/>
      <c r="D170" s="196" t="s">
        <v>388</v>
      </c>
      <c r="E170" s="197" t="s">
        <v>19</v>
      </c>
      <c r="F170" s="198" t="s">
        <v>3351</v>
      </c>
      <c r="G170" s="195"/>
      <c r="H170" s="197" t="s">
        <v>19</v>
      </c>
      <c r="I170" s="199"/>
      <c r="J170" s="195"/>
      <c r="K170" s="195"/>
      <c r="L170" s="200"/>
      <c r="M170" s="201"/>
      <c r="N170" s="202"/>
      <c r="O170" s="202"/>
      <c r="P170" s="202"/>
      <c r="Q170" s="202"/>
      <c r="R170" s="202"/>
      <c r="S170" s="202"/>
      <c r="T170" s="203"/>
      <c r="AT170" s="204" t="s">
        <v>388</v>
      </c>
      <c r="AU170" s="204" t="s">
        <v>82</v>
      </c>
      <c r="AV170" s="13" t="s">
        <v>79</v>
      </c>
      <c r="AW170" s="13" t="s">
        <v>33</v>
      </c>
      <c r="AX170" s="13" t="s">
        <v>72</v>
      </c>
      <c r="AY170" s="204" t="s">
        <v>380</v>
      </c>
    </row>
    <row r="171" spans="1:65" s="14" customFormat="1" ht="11.25">
      <c r="B171" s="205"/>
      <c r="C171" s="206"/>
      <c r="D171" s="196" t="s">
        <v>388</v>
      </c>
      <c r="E171" s="207" t="s">
        <v>19</v>
      </c>
      <c r="F171" s="208" t="s">
        <v>3352</v>
      </c>
      <c r="G171" s="206"/>
      <c r="H171" s="209">
        <v>12.35</v>
      </c>
      <c r="I171" s="210"/>
      <c r="J171" s="206"/>
      <c r="K171" s="206"/>
      <c r="L171" s="211"/>
      <c r="M171" s="212"/>
      <c r="N171" s="213"/>
      <c r="O171" s="213"/>
      <c r="P171" s="213"/>
      <c r="Q171" s="213"/>
      <c r="R171" s="213"/>
      <c r="S171" s="213"/>
      <c r="T171" s="214"/>
      <c r="AT171" s="215" t="s">
        <v>388</v>
      </c>
      <c r="AU171" s="215" t="s">
        <v>82</v>
      </c>
      <c r="AV171" s="14" t="s">
        <v>82</v>
      </c>
      <c r="AW171" s="14" t="s">
        <v>33</v>
      </c>
      <c r="AX171" s="14" t="s">
        <v>72</v>
      </c>
      <c r="AY171" s="215" t="s">
        <v>380</v>
      </c>
    </row>
    <row r="172" spans="1:65" s="15" customFormat="1" ht="11.25">
      <c r="B172" s="216"/>
      <c r="C172" s="217"/>
      <c r="D172" s="196" t="s">
        <v>388</v>
      </c>
      <c r="E172" s="218" t="s">
        <v>19</v>
      </c>
      <c r="F172" s="219" t="s">
        <v>419</v>
      </c>
      <c r="G172" s="217"/>
      <c r="H172" s="220">
        <v>191.75</v>
      </c>
      <c r="I172" s="221"/>
      <c r="J172" s="217"/>
      <c r="K172" s="217"/>
      <c r="L172" s="222"/>
      <c r="M172" s="223"/>
      <c r="N172" s="224"/>
      <c r="O172" s="224"/>
      <c r="P172" s="224"/>
      <c r="Q172" s="224"/>
      <c r="R172" s="224"/>
      <c r="S172" s="224"/>
      <c r="T172" s="225"/>
      <c r="AT172" s="226" t="s">
        <v>388</v>
      </c>
      <c r="AU172" s="226" t="s">
        <v>82</v>
      </c>
      <c r="AV172" s="15" t="s">
        <v>386</v>
      </c>
      <c r="AW172" s="15" t="s">
        <v>33</v>
      </c>
      <c r="AX172" s="15" t="s">
        <v>79</v>
      </c>
      <c r="AY172" s="226" t="s">
        <v>380</v>
      </c>
    </row>
    <row r="173" spans="1:65" s="2" customFormat="1" ht="24.2" customHeight="1">
      <c r="A173" s="36"/>
      <c r="B173" s="37"/>
      <c r="C173" s="181" t="s">
        <v>514</v>
      </c>
      <c r="D173" s="181" t="s">
        <v>382</v>
      </c>
      <c r="E173" s="182" t="s">
        <v>3353</v>
      </c>
      <c r="F173" s="183" t="s">
        <v>3354</v>
      </c>
      <c r="G173" s="184" t="s">
        <v>452</v>
      </c>
      <c r="H173" s="185">
        <v>7.8</v>
      </c>
      <c r="I173" s="186"/>
      <c r="J173" s="187">
        <f>ROUND(I173*H173,2)</f>
        <v>0</v>
      </c>
      <c r="K173" s="183" t="s">
        <v>3239</v>
      </c>
      <c r="L173" s="41"/>
      <c r="M173" s="188" t="s">
        <v>19</v>
      </c>
      <c r="N173" s="189" t="s">
        <v>43</v>
      </c>
      <c r="O173" s="66"/>
      <c r="P173" s="190">
        <f>O173*H173</f>
        <v>0</v>
      </c>
      <c r="Q173" s="190">
        <v>6.5300000000000002E-3</v>
      </c>
      <c r="R173" s="190">
        <f>Q173*H173</f>
        <v>5.0934E-2</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3355</v>
      </c>
    </row>
    <row r="174" spans="1:65" s="2" customFormat="1" ht="29.25">
      <c r="A174" s="36"/>
      <c r="B174" s="37"/>
      <c r="C174" s="38"/>
      <c r="D174" s="196" t="s">
        <v>1226</v>
      </c>
      <c r="E174" s="38"/>
      <c r="F174" s="248" t="s">
        <v>3318</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1226</v>
      </c>
      <c r="AU174" s="19" t="s">
        <v>82</v>
      </c>
    </row>
    <row r="175" spans="1:65" s="13" customFormat="1" ht="11.25">
      <c r="B175" s="194"/>
      <c r="C175" s="195"/>
      <c r="D175" s="196" t="s">
        <v>388</v>
      </c>
      <c r="E175" s="197" t="s">
        <v>19</v>
      </c>
      <c r="F175" s="198" t="s">
        <v>3356</v>
      </c>
      <c r="G175" s="195"/>
      <c r="H175" s="197" t="s">
        <v>19</v>
      </c>
      <c r="I175" s="199"/>
      <c r="J175" s="195"/>
      <c r="K175" s="195"/>
      <c r="L175" s="200"/>
      <c r="M175" s="201"/>
      <c r="N175" s="202"/>
      <c r="O175" s="202"/>
      <c r="P175" s="202"/>
      <c r="Q175" s="202"/>
      <c r="R175" s="202"/>
      <c r="S175" s="202"/>
      <c r="T175" s="203"/>
      <c r="AT175" s="204" t="s">
        <v>388</v>
      </c>
      <c r="AU175" s="204" t="s">
        <v>82</v>
      </c>
      <c r="AV175" s="13" t="s">
        <v>79</v>
      </c>
      <c r="AW175" s="13" t="s">
        <v>33</v>
      </c>
      <c r="AX175" s="13" t="s">
        <v>72</v>
      </c>
      <c r="AY175" s="204" t="s">
        <v>380</v>
      </c>
    </row>
    <row r="176" spans="1:65" s="14" customFormat="1" ht="11.25">
      <c r="B176" s="205"/>
      <c r="C176" s="206"/>
      <c r="D176" s="196" t="s">
        <v>388</v>
      </c>
      <c r="E176" s="207" t="s">
        <v>19</v>
      </c>
      <c r="F176" s="208" t="s">
        <v>3357</v>
      </c>
      <c r="G176" s="206"/>
      <c r="H176" s="209">
        <v>7.8</v>
      </c>
      <c r="I176" s="210"/>
      <c r="J176" s="206"/>
      <c r="K176" s="206"/>
      <c r="L176" s="211"/>
      <c r="M176" s="212"/>
      <c r="N176" s="213"/>
      <c r="O176" s="213"/>
      <c r="P176" s="213"/>
      <c r="Q176" s="213"/>
      <c r="R176" s="213"/>
      <c r="S176" s="213"/>
      <c r="T176" s="214"/>
      <c r="AT176" s="215" t="s">
        <v>388</v>
      </c>
      <c r="AU176" s="215" t="s">
        <v>82</v>
      </c>
      <c r="AV176" s="14" t="s">
        <v>82</v>
      </c>
      <c r="AW176" s="14" t="s">
        <v>33</v>
      </c>
      <c r="AX176" s="14" t="s">
        <v>72</v>
      </c>
      <c r="AY176" s="215" t="s">
        <v>380</v>
      </c>
    </row>
    <row r="177" spans="1:65" s="15" customFormat="1" ht="11.25">
      <c r="B177" s="216"/>
      <c r="C177" s="217"/>
      <c r="D177" s="196" t="s">
        <v>388</v>
      </c>
      <c r="E177" s="218" t="s">
        <v>19</v>
      </c>
      <c r="F177" s="219" t="s">
        <v>419</v>
      </c>
      <c r="G177" s="217"/>
      <c r="H177" s="220">
        <v>7.8</v>
      </c>
      <c r="I177" s="221"/>
      <c r="J177" s="217"/>
      <c r="K177" s="217"/>
      <c r="L177" s="222"/>
      <c r="M177" s="223"/>
      <c r="N177" s="224"/>
      <c r="O177" s="224"/>
      <c r="P177" s="224"/>
      <c r="Q177" s="224"/>
      <c r="R177" s="224"/>
      <c r="S177" s="224"/>
      <c r="T177" s="225"/>
      <c r="AT177" s="226" t="s">
        <v>388</v>
      </c>
      <c r="AU177" s="226" t="s">
        <v>82</v>
      </c>
      <c r="AV177" s="15" t="s">
        <v>386</v>
      </c>
      <c r="AW177" s="15" t="s">
        <v>33</v>
      </c>
      <c r="AX177" s="15" t="s">
        <v>79</v>
      </c>
      <c r="AY177" s="226" t="s">
        <v>380</v>
      </c>
    </row>
    <row r="178" spans="1:65" s="2" customFormat="1" ht="24.2" customHeight="1">
      <c r="A178" s="36"/>
      <c r="B178" s="37"/>
      <c r="C178" s="181" t="s">
        <v>520</v>
      </c>
      <c r="D178" s="181" t="s">
        <v>382</v>
      </c>
      <c r="E178" s="182" t="s">
        <v>3358</v>
      </c>
      <c r="F178" s="183" t="s">
        <v>3359</v>
      </c>
      <c r="G178" s="184" t="s">
        <v>641</v>
      </c>
      <c r="H178" s="185">
        <v>1</v>
      </c>
      <c r="I178" s="186"/>
      <c r="J178" s="187">
        <f>ROUND(I178*H178,2)</f>
        <v>0</v>
      </c>
      <c r="K178" s="183" t="s">
        <v>3239</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281</v>
      </c>
      <c r="AT178" s="192" t="s">
        <v>382</v>
      </c>
      <c r="AU178" s="192" t="s">
        <v>82</v>
      </c>
      <c r="AY178" s="19" t="s">
        <v>380</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281</v>
      </c>
      <c r="BM178" s="192" t="s">
        <v>3360</v>
      </c>
    </row>
    <row r="179" spans="1:65" s="2" customFormat="1" ht="16.5" customHeight="1">
      <c r="A179" s="36"/>
      <c r="B179" s="37"/>
      <c r="C179" s="227" t="s">
        <v>525</v>
      </c>
      <c r="D179" s="227" t="s">
        <v>465</v>
      </c>
      <c r="E179" s="228" t="s">
        <v>3361</v>
      </c>
      <c r="F179" s="229" t="s">
        <v>3362</v>
      </c>
      <c r="G179" s="230" t="s">
        <v>3278</v>
      </c>
      <c r="H179" s="231">
        <v>1</v>
      </c>
      <c r="I179" s="232"/>
      <c r="J179" s="233">
        <f>ROUND(I179*H179,2)</f>
        <v>0</v>
      </c>
      <c r="K179" s="229" t="s">
        <v>19</v>
      </c>
      <c r="L179" s="234"/>
      <c r="M179" s="235" t="s">
        <v>19</v>
      </c>
      <c r="N179" s="236"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546</v>
      </c>
      <c r="AT179" s="192" t="s">
        <v>465</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3363</v>
      </c>
    </row>
    <row r="180" spans="1:65" s="2" customFormat="1" ht="19.5">
      <c r="A180" s="36"/>
      <c r="B180" s="37"/>
      <c r="C180" s="38"/>
      <c r="D180" s="196" t="s">
        <v>1226</v>
      </c>
      <c r="E180" s="38"/>
      <c r="F180" s="248" t="s">
        <v>3364</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1226</v>
      </c>
      <c r="AU180" s="19" t="s">
        <v>82</v>
      </c>
    </row>
    <row r="181" spans="1:65" s="2" customFormat="1" ht="24.2" customHeight="1">
      <c r="A181" s="36"/>
      <c r="B181" s="37"/>
      <c r="C181" s="181" t="s">
        <v>529</v>
      </c>
      <c r="D181" s="181" t="s">
        <v>382</v>
      </c>
      <c r="E181" s="182" t="s">
        <v>3365</v>
      </c>
      <c r="F181" s="183" t="s">
        <v>3366</v>
      </c>
      <c r="G181" s="184" t="s">
        <v>641</v>
      </c>
      <c r="H181" s="185">
        <v>1</v>
      </c>
      <c r="I181" s="186"/>
      <c r="J181" s="187">
        <f>ROUND(I181*H181,2)</f>
        <v>0</v>
      </c>
      <c r="K181" s="183" t="s">
        <v>3239</v>
      </c>
      <c r="L181" s="41"/>
      <c r="M181" s="188" t="s">
        <v>19</v>
      </c>
      <c r="N181" s="189"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281</v>
      </c>
      <c r="AT181" s="192" t="s">
        <v>382</v>
      </c>
      <c r="AU181" s="192" t="s">
        <v>82</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281</v>
      </c>
      <c r="BM181" s="192" t="s">
        <v>3367</v>
      </c>
    </row>
    <row r="182" spans="1:65" s="2" customFormat="1" ht="16.5" customHeight="1">
      <c r="A182" s="36"/>
      <c r="B182" s="37"/>
      <c r="C182" s="227" t="s">
        <v>534</v>
      </c>
      <c r="D182" s="227" t="s">
        <v>465</v>
      </c>
      <c r="E182" s="228" t="s">
        <v>3368</v>
      </c>
      <c r="F182" s="229" t="s">
        <v>3369</v>
      </c>
      <c r="G182" s="230" t="s">
        <v>3278</v>
      </c>
      <c r="H182" s="231">
        <v>1</v>
      </c>
      <c r="I182" s="232"/>
      <c r="J182" s="233">
        <f>ROUND(I182*H182,2)</f>
        <v>0</v>
      </c>
      <c r="K182" s="229" t="s">
        <v>19</v>
      </c>
      <c r="L182" s="234"/>
      <c r="M182" s="235" t="s">
        <v>19</v>
      </c>
      <c r="N182" s="236"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546</v>
      </c>
      <c r="AT182" s="192" t="s">
        <v>465</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281</v>
      </c>
      <c r="BM182" s="192" t="s">
        <v>3370</v>
      </c>
    </row>
    <row r="183" spans="1:65" s="2" customFormat="1" ht="19.5">
      <c r="A183" s="36"/>
      <c r="B183" s="37"/>
      <c r="C183" s="38"/>
      <c r="D183" s="196" t="s">
        <v>1226</v>
      </c>
      <c r="E183" s="38"/>
      <c r="F183" s="248" t="s">
        <v>3371</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1226</v>
      </c>
      <c r="AU183" s="19" t="s">
        <v>82</v>
      </c>
    </row>
    <row r="184" spans="1:65" s="2" customFormat="1" ht="21.75" customHeight="1">
      <c r="A184" s="36"/>
      <c r="B184" s="37"/>
      <c r="C184" s="181" t="s">
        <v>540</v>
      </c>
      <c r="D184" s="181" t="s">
        <v>382</v>
      </c>
      <c r="E184" s="182" t="s">
        <v>3372</v>
      </c>
      <c r="F184" s="183" t="s">
        <v>3373</v>
      </c>
      <c r="G184" s="184" t="s">
        <v>452</v>
      </c>
      <c r="H184" s="185">
        <v>22.75</v>
      </c>
      <c r="I184" s="186"/>
      <c r="J184" s="187">
        <f>ROUND(I184*H184,2)</f>
        <v>0</v>
      </c>
      <c r="K184" s="183" t="s">
        <v>3239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281</v>
      </c>
      <c r="AT184" s="192" t="s">
        <v>382</v>
      </c>
      <c r="AU184" s="192" t="s">
        <v>82</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281</v>
      </c>
      <c r="BM184" s="192" t="s">
        <v>3374</v>
      </c>
    </row>
    <row r="185" spans="1:65" s="2" customFormat="1" ht="16.5" customHeight="1">
      <c r="A185" s="36"/>
      <c r="B185" s="37"/>
      <c r="C185" s="227" t="s">
        <v>546</v>
      </c>
      <c r="D185" s="227" t="s">
        <v>465</v>
      </c>
      <c r="E185" s="228" t="s">
        <v>3375</v>
      </c>
      <c r="F185" s="229" t="s">
        <v>3376</v>
      </c>
      <c r="G185" s="230" t="s">
        <v>452</v>
      </c>
      <c r="H185" s="231">
        <v>21.45</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546</v>
      </c>
      <c r="AT185" s="192" t="s">
        <v>465</v>
      </c>
      <c r="AU185" s="192" t="s">
        <v>82</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281</v>
      </c>
      <c r="BM185" s="192" t="s">
        <v>3377</v>
      </c>
    </row>
    <row r="186" spans="1:65" s="2" customFormat="1" ht="117">
      <c r="A186" s="36"/>
      <c r="B186" s="37"/>
      <c r="C186" s="38"/>
      <c r="D186" s="196" t="s">
        <v>1226</v>
      </c>
      <c r="E186" s="38"/>
      <c r="F186" s="248" t="s">
        <v>3378</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1226</v>
      </c>
      <c r="AU186" s="19" t="s">
        <v>82</v>
      </c>
    </row>
    <row r="187" spans="1:65" s="14" customFormat="1" ht="11.25">
      <c r="B187" s="205"/>
      <c r="C187" s="206"/>
      <c r="D187" s="196" t="s">
        <v>388</v>
      </c>
      <c r="E187" s="207" t="s">
        <v>19</v>
      </c>
      <c r="F187" s="208" t="s">
        <v>3379</v>
      </c>
      <c r="G187" s="206"/>
      <c r="H187" s="209">
        <v>21.45</v>
      </c>
      <c r="I187" s="210"/>
      <c r="J187" s="206"/>
      <c r="K187" s="206"/>
      <c r="L187" s="211"/>
      <c r="M187" s="212"/>
      <c r="N187" s="213"/>
      <c r="O187" s="213"/>
      <c r="P187" s="213"/>
      <c r="Q187" s="213"/>
      <c r="R187" s="213"/>
      <c r="S187" s="213"/>
      <c r="T187" s="214"/>
      <c r="AT187" s="215" t="s">
        <v>388</v>
      </c>
      <c r="AU187" s="215" t="s">
        <v>82</v>
      </c>
      <c r="AV187" s="14" t="s">
        <v>82</v>
      </c>
      <c r="AW187" s="14" t="s">
        <v>33</v>
      </c>
      <c r="AX187" s="14" t="s">
        <v>72</v>
      </c>
      <c r="AY187" s="215" t="s">
        <v>380</v>
      </c>
    </row>
    <row r="188" spans="1:65" s="15" customFormat="1" ht="11.25">
      <c r="B188" s="216"/>
      <c r="C188" s="217"/>
      <c r="D188" s="196" t="s">
        <v>388</v>
      </c>
      <c r="E188" s="218" t="s">
        <v>19</v>
      </c>
      <c r="F188" s="219" t="s">
        <v>419</v>
      </c>
      <c r="G188" s="217"/>
      <c r="H188" s="220">
        <v>21.45</v>
      </c>
      <c r="I188" s="221"/>
      <c r="J188" s="217"/>
      <c r="K188" s="217"/>
      <c r="L188" s="222"/>
      <c r="M188" s="223"/>
      <c r="N188" s="224"/>
      <c r="O188" s="224"/>
      <c r="P188" s="224"/>
      <c r="Q188" s="224"/>
      <c r="R188" s="224"/>
      <c r="S188" s="224"/>
      <c r="T188" s="225"/>
      <c r="AT188" s="226" t="s">
        <v>388</v>
      </c>
      <c r="AU188" s="226" t="s">
        <v>82</v>
      </c>
      <c r="AV188" s="15" t="s">
        <v>386</v>
      </c>
      <c r="AW188" s="15" t="s">
        <v>33</v>
      </c>
      <c r="AX188" s="15" t="s">
        <v>79</v>
      </c>
      <c r="AY188" s="226" t="s">
        <v>380</v>
      </c>
    </row>
    <row r="189" spans="1:65" s="2" customFormat="1" ht="16.5" customHeight="1">
      <c r="A189" s="36"/>
      <c r="B189" s="37"/>
      <c r="C189" s="227" t="s">
        <v>552</v>
      </c>
      <c r="D189" s="227" t="s">
        <v>465</v>
      </c>
      <c r="E189" s="228" t="s">
        <v>3380</v>
      </c>
      <c r="F189" s="229" t="s">
        <v>3381</v>
      </c>
      <c r="G189" s="230" t="s">
        <v>452</v>
      </c>
      <c r="H189" s="231">
        <v>1.3</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546</v>
      </c>
      <c r="AT189" s="192" t="s">
        <v>465</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281</v>
      </c>
      <c r="BM189" s="192" t="s">
        <v>3382</v>
      </c>
    </row>
    <row r="190" spans="1:65" s="2" customFormat="1" ht="117">
      <c r="A190" s="36"/>
      <c r="B190" s="37"/>
      <c r="C190" s="38"/>
      <c r="D190" s="196" t="s">
        <v>1226</v>
      </c>
      <c r="E190" s="38"/>
      <c r="F190" s="248" t="s">
        <v>3378</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1226</v>
      </c>
      <c r="AU190" s="19" t="s">
        <v>82</v>
      </c>
    </row>
    <row r="191" spans="1:65" s="14" customFormat="1" ht="11.25">
      <c r="B191" s="205"/>
      <c r="C191" s="206"/>
      <c r="D191" s="196" t="s">
        <v>388</v>
      </c>
      <c r="E191" s="207" t="s">
        <v>19</v>
      </c>
      <c r="F191" s="208" t="s">
        <v>3383</v>
      </c>
      <c r="G191" s="206"/>
      <c r="H191" s="209">
        <v>1.3</v>
      </c>
      <c r="I191" s="210"/>
      <c r="J191" s="206"/>
      <c r="K191" s="206"/>
      <c r="L191" s="211"/>
      <c r="M191" s="212"/>
      <c r="N191" s="213"/>
      <c r="O191" s="213"/>
      <c r="P191" s="213"/>
      <c r="Q191" s="213"/>
      <c r="R191" s="213"/>
      <c r="S191" s="213"/>
      <c r="T191" s="214"/>
      <c r="AT191" s="215" t="s">
        <v>388</v>
      </c>
      <c r="AU191" s="215" t="s">
        <v>82</v>
      </c>
      <c r="AV191" s="14" t="s">
        <v>82</v>
      </c>
      <c r="AW191" s="14" t="s">
        <v>33</v>
      </c>
      <c r="AX191" s="14" t="s">
        <v>72</v>
      </c>
      <c r="AY191" s="215" t="s">
        <v>380</v>
      </c>
    </row>
    <row r="192" spans="1:65" s="15" customFormat="1" ht="11.25">
      <c r="B192" s="216"/>
      <c r="C192" s="217"/>
      <c r="D192" s="196" t="s">
        <v>388</v>
      </c>
      <c r="E192" s="218" t="s">
        <v>19</v>
      </c>
      <c r="F192" s="219" t="s">
        <v>419</v>
      </c>
      <c r="G192" s="217"/>
      <c r="H192" s="220">
        <v>1.3</v>
      </c>
      <c r="I192" s="221"/>
      <c r="J192" s="217"/>
      <c r="K192" s="217"/>
      <c r="L192" s="222"/>
      <c r="M192" s="223"/>
      <c r="N192" s="224"/>
      <c r="O192" s="224"/>
      <c r="P192" s="224"/>
      <c r="Q192" s="224"/>
      <c r="R192" s="224"/>
      <c r="S192" s="224"/>
      <c r="T192" s="225"/>
      <c r="AT192" s="226" t="s">
        <v>388</v>
      </c>
      <c r="AU192" s="226" t="s">
        <v>82</v>
      </c>
      <c r="AV192" s="15" t="s">
        <v>386</v>
      </c>
      <c r="AW192" s="15" t="s">
        <v>33</v>
      </c>
      <c r="AX192" s="15" t="s">
        <v>79</v>
      </c>
      <c r="AY192" s="226" t="s">
        <v>380</v>
      </c>
    </row>
    <row r="193" spans="1:65" s="2" customFormat="1" ht="24.2" customHeight="1">
      <c r="A193" s="36"/>
      <c r="B193" s="37"/>
      <c r="C193" s="181" t="s">
        <v>556</v>
      </c>
      <c r="D193" s="181" t="s">
        <v>382</v>
      </c>
      <c r="E193" s="182" t="s">
        <v>3384</v>
      </c>
      <c r="F193" s="183" t="s">
        <v>3385</v>
      </c>
      <c r="G193" s="184" t="s">
        <v>452</v>
      </c>
      <c r="H193" s="185">
        <v>125</v>
      </c>
      <c r="I193" s="186"/>
      <c r="J193" s="187">
        <f t="shared" ref="J193:J198" si="0">ROUND(I193*H193,2)</f>
        <v>0</v>
      </c>
      <c r="K193" s="183" t="s">
        <v>3239</v>
      </c>
      <c r="L193" s="41"/>
      <c r="M193" s="188" t="s">
        <v>19</v>
      </c>
      <c r="N193" s="189" t="s">
        <v>43</v>
      </c>
      <c r="O193" s="66"/>
      <c r="P193" s="190">
        <f t="shared" ref="P193:P198" si="1">O193*H193</f>
        <v>0</v>
      </c>
      <c r="Q193" s="190">
        <v>8.9999999999999998E-4</v>
      </c>
      <c r="R193" s="190">
        <f t="shared" ref="R193:R198" si="2">Q193*H193</f>
        <v>0.1125</v>
      </c>
      <c r="S193" s="190">
        <v>0</v>
      </c>
      <c r="T193" s="191">
        <f t="shared" ref="T193:T198" si="3">S193*H193</f>
        <v>0</v>
      </c>
      <c r="U193" s="36"/>
      <c r="V193" s="36"/>
      <c r="W193" s="36"/>
      <c r="X193" s="36"/>
      <c r="Y193" s="36"/>
      <c r="Z193" s="36"/>
      <c r="AA193" s="36"/>
      <c r="AB193" s="36"/>
      <c r="AC193" s="36"/>
      <c r="AD193" s="36"/>
      <c r="AE193" s="36"/>
      <c r="AR193" s="192" t="s">
        <v>281</v>
      </c>
      <c r="AT193" s="192" t="s">
        <v>382</v>
      </c>
      <c r="AU193" s="192" t="s">
        <v>82</v>
      </c>
      <c r="AY193" s="19" t="s">
        <v>380</v>
      </c>
      <c r="BE193" s="193">
        <f t="shared" ref="BE193:BE198" si="4">IF(N193="základní",J193,0)</f>
        <v>0</v>
      </c>
      <c r="BF193" s="193">
        <f t="shared" ref="BF193:BF198" si="5">IF(N193="snížená",J193,0)</f>
        <v>0</v>
      </c>
      <c r="BG193" s="193">
        <f t="shared" ref="BG193:BG198" si="6">IF(N193="zákl. přenesená",J193,0)</f>
        <v>0</v>
      </c>
      <c r="BH193" s="193">
        <f t="shared" ref="BH193:BH198" si="7">IF(N193="sníž. přenesená",J193,0)</f>
        <v>0</v>
      </c>
      <c r="BI193" s="193">
        <f t="shared" ref="BI193:BI198" si="8">IF(N193="nulová",J193,0)</f>
        <v>0</v>
      </c>
      <c r="BJ193" s="19" t="s">
        <v>79</v>
      </c>
      <c r="BK193" s="193">
        <f t="shared" ref="BK193:BK198" si="9">ROUND(I193*H193,2)</f>
        <v>0</v>
      </c>
      <c r="BL193" s="19" t="s">
        <v>281</v>
      </c>
      <c r="BM193" s="192" t="s">
        <v>3386</v>
      </c>
    </row>
    <row r="194" spans="1:65" s="2" customFormat="1" ht="24.2" customHeight="1">
      <c r="A194" s="36"/>
      <c r="B194" s="37"/>
      <c r="C194" s="181" t="s">
        <v>565</v>
      </c>
      <c r="D194" s="181" t="s">
        <v>382</v>
      </c>
      <c r="E194" s="182" t="s">
        <v>3387</v>
      </c>
      <c r="F194" s="183" t="s">
        <v>3388</v>
      </c>
      <c r="G194" s="184" t="s">
        <v>452</v>
      </c>
      <c r="H194" s="185">
        <v>26</v>
      </c>
      <c r="I194" s="186"/>
      <c r="J194" s="187">
        <f t="shared" si="0"/>
        <v>0</v>
      </c>
      <c r="K194" s="183" t="s">
        <v>3239</v>
      </c>
      <c r="L194" s="41"/>
      <c r="M194" s="188" t="s">
        <v>19</v>
      </c>
      <c r="N194" s="189" t="s">
        <v>43</v>
      </c>
      <c r="O194" s="66"/>
      <c r="P194" s="190">
        <f t="shared" si="1"/>
        <v>0</v>
      </c>
      <c r="Q194" s="190">
        <v>1.34E-3</v>
      </c>
      <c r="R194" s="190">
        <f t="shared" si="2"/>
        <v>3.4840000000000003E-2</v>
      </c>
      <c r="S194" s="190">
        <v>0</v>
      </c>
      <c r="T194" s="191">
        <f t="shared" si="3"/>
        <v>0</v>
      </c>
      <c r="U194" s="36"/>
      <c r="V194" s="36"/>
      <c r="W194" s="36"/>
      <c r="X194" s="36"/>
      <c r="Y194" s="36"/>
      <c r="Z194" s="36"/>
      <c r="AA194" s="36"/>
      <c r="AB194" s="36"/>
      <c r="AC194" s="36"/>
      <c r="AD194" s="36"/>
      <c r="AE194" s="36"/>
      <c r="AR194" s="192" t="s">
        <v>281</v>
      </c>
      <c r="AT194" s="192" t="s">
        <v>382</v>
      </c>
      <c r="AU194" s="192" t="s">
        <v>82</v>
      </c>
      <c r="AY194" s="19" t="s">
        <v>380</v>
      </c>
      <c r="BE194" s="193">
        <f t="shared" si="4"/>
        <v>0</v>
      </c>
      <c r="BF194" s="193">
        <f t="shared" si="5"/>
        <v>0</v>
      </c>
      <c r="BG194" s="193">
        <f t="shared" si="6"/>
        <v>0</v>
      </c>
      <c r="BH194" s="193">
        <f t="shared" si="7"/>
        <v>0</v>
      </c>
      <c r="BI194" s="193">
        <f t="shared" si="8"/>
        <v>0</v>
      </c>
      <c r="BJ194" s="19" t="s">
        <v>79</v>
      </c>
      <c r="BK194" s="193">
        <f t="shared" si="9"/>
        <v>0</v>
      </c>
      <c r="BL194" s="19" t="s">
        <v>281</v>
      </c>
      <c r="BM194" s="192" t="s">
        <v>3389</v>
      </c>
    </row>
    <row r="195" spans="1:65" s="2" customFormat="1" ht="24.2" customHeight="1">
      <c r="A195" s="36"/>
      <c r="B195" s="37"/>
      <c r="C195" s="181" t="s">
        <v>579</v>
      </c>
      <c r="D195" s="181" t="s">
        <v>382</v>
      </c>
      <c r="E195" s="182" t="s">
        <v>3390</v>
      </c>
      <c r="F195" s="183" t="s">
        <v>3391</v>
      </c>
      <c r="G195" s="184" t="s">
        <v>452</v>
      </c>
      <c r="H195" s="185">
        <v>2</v>
      </c>
      <c r="I195" s="186"/>
      <c r="J195" s="187">
        <f t="shared" si="0"/>
        <v>0</v>
      </c>
      <c r="K195" s="183" t="s">
        <v>3239</v>
      </c>
      <c r="L195" s="41"/>
      <c r="M195" s="188" t="s">
        <v>19</v>
      </c>
      <c r="N195" s="189" t="s">
        <v>43</v>
      </c>
      <c r="O195" s="66"/>
      <c r="P195" s="190">
        <f t="shared" si="1"/>
        <v>0</v>
      </c>
      <c r="Q195" s="190">
        <v>1.56E-3</v>
      </c>
      <c r="R195" s="190">
        <f t="shared" si="2"/>
        <v>3.1199999999999999E-3</v>
      </c>
      <c r="S195" s="190">
        <v>0</v>
      </c>
      <c r="T195" s="191">
        <f t="shared" si="3"/>
        <v>0</v>
      </c>
      <c r="U195" s="36"/>
      <c r="V195" s="36"/>
      <c r="W195" s="36"/>
      <c r="X195" s="36"/>
      <c r="Y195" s="36"/>
      <c r="Z195" s="36"/>
      <c r="AA195" s="36"/>
      <c r="AB195" s="36"/>
      <c r="AC195" s="36"/>
      <c r="AD195" s="36"/>
      <c r="AE195" s="36"/>
      <c r="AR195" s="192" t="s">
        <v>281</v>
      </c>
      <c r="AT195" s="192" t="s">
        <v>382</v>
      </c>
      <c r="AU195" s="192" t="s">
        <v>82</v>
      </c>
      <c r="AY195" s="19" t="s">
        <v>380</v>
      </c>
      <c r="BE195" s="193">
        <f t="shared" si="4"/>
        <v>0</v>
      </c>
      <c r="BF195" s="193">
        <f t="shared" si="5"/>
        <v>0</v>
      </c>
      <c r="BG195" s="193">
        <f t="shared" si="6"/>
        <v>0</v>
      </c>
      <c r="BH195" s="193">
        <f t="shared" si="7"/>
        <v>0</v>
      </c>
      <c r="BI195" s="193">
        <f t="shared" si="8"/>
        <v>0</v>
      </c>
      <c r="BJ195" s="19" t="s">
        <v>79</v>
      </c>
      <c r="BK195" s="193">
        <f t="shared" si="9"/>
        <v>0</v>
      </c>
      <c r="BL195" s="19" t="s">
        <v>281</v>
      </c>
      <c r="BM195" s="192" t="s">
        <v>3392</v>
      </c>
    </row>
    <row r="196" spans="1:65" s="2" customFormat="1" ht="24.2" customHeight="1">
      <c r="A196" s="36"/>
      <c r="B196" s="37"/>
      <c r="C196" s="181" t="s">
        <v>600</v>
      </c>
      <c r="D196" s="181" t="s">
        <v>382</v>
      </c>
      <c r="E196" s="182" t="s">
        <v>3393</v>
      </c>
      <c r="F196" s="183" t="s">
        <v>3394</v>
      </c>
      <c r="G196" s="184" t="s">
        <v>452</v>
      </c>
      <c r="H196" s="185">
        <v>192</v>
      </c>
      <c r="I196" s="186"/>
      <c r="J196" s="187">
        <f t="shared" si="0"/>
        <v>0</v>
      </c>
      <c r="K196" s="183" t="s">
        <v>3239</v>
      </c>
      <c r="L196" s="41"/>
      <c r="M196" s="188" t="s">
        <v>19</v>
      </c>
      <c r="N196" s="189" t="s">
        <v>43</v>
      </c>
      <c r="O196" s="66"/>
      <c r="P196" s="190">
        <f t="shared" si="1"/>
        <v>0</v>
      </c>
      <c r="Q196" s="190">
        <v>6.9999999999999999E-4</v>
      </c>
      <c r="R196" s="190">
        <f t="shared" si="2"/>
        <v>0.13439999999999999</v>
      </c>
      <c r="S196" s="190">
        <v>0</v>
      </c>
      <c r="T196" s="191">
        <f t="shared" si="3"/>
        <v>0</v>
      </c>
      <c r="U196" s="36"/>
      <c r="V196" s="36"/>
      <c r="W196" s="36"/>
      <c r="X196" s="36"/>
      <c r="Y196" s="36"/>
      <c r="Z196" s="36"/>
      <c r="AA196" s="36"/>
      <c r="AB196" s="36"/>
      <c r="AC196" s="36"/>
      <c r="AD196" s="36"/>
      <c r="AE196" s="36"/>
      <c r="AR196" s="192" t="s">
        <v>281</v>
      </c>
      <c r="AT196" s="192" t="s">
        <v>382</v>
      </c>
      <c r="AU196" s="192" t="s">
        <v>82</v>
      </c>
      <c r="AY196" s="19" t="s">
        <v>380</v>
      </c>
      <c r="BE196" s="193">
        <f t="shared" si="4"/>
        <v>0</v>
      </c>
      <c r="BF196" s="193">
        <f t="shared" si="5"/>
        <v>0</v>
      </c>
      <c r="BG196" s="193">
        <f t="shared" si="6"/>
        <v>0</v>
      </c>
      <c r="BH196" s="193">
        <f t="shared" si="7"/>
        <v>0</v>
      </c>
      <c r="BI196" s="193">
        <f t="shared" si="8"/>
        <v>0</v>
      </c>
      <c r="BJ196" s="19" t="s">
        <v>79</v>
      </c>
      <c r="BK196" s="193">
        <f t="shared" si="9"/>
        <v>0</v>
      </c>
      <c r="BL196" s="19" t="s">
        <v>281</v>
      </c>
      <c r="BM196" s="192" t="s">
        <v>3395</v>
      </c>
    </row>
    <row r="197" spans="1:65" s="2" customFormat="1" ht="24.2" customHeight="1">
      <c r="A197" s="36"/>
      <c r="B197" s="37"/>
      <c r="C197" s="181" t="s">
        <v>619</v>
      </c>
      <c r="D197" s="181" t="s">
        <v>382</v>
      </c>
      <c r="E197" s="182" t="s">
        <v>3396</v>
      </c>
      <c r="F197" s="183" t="s">
        <v>3397</v>
      </c>
      <c r="G197" s="184" t="s">
        <v>452</v>
      </c>
      <c r="H197" s="185">
        <v>8</v>
      </c>
      <c r="I197" s="186"/>
      <c r="J197" s="187">
        <f t="shared" si="0"/>
        <v>0</v>
      </c>
      <c r="K197" s="183" t="s">
        <v>3239</v>
      </c>
      <c r="L197" s="41"/>
      <c r="M197" s="188" t="s">
        <v>19</v>
      </c>
      <c r="N197" s="189" t="s">
        <v>43</v>
      </c>
      <c r="O197" s="66"/>
      <c r="P197" s="190">
        <f t="shared" si="1"/>
        <v>0</v>
      </c>
      <c r="Q197" s="190">
        <v>8.3000000000000001E-4</v>
      </c>
      <c r="R197" s="190">
        <f t="shared" si="2"/>
        <v>6.6400000000000001E-3</v>
      </c>
      <c r="S197" s="190">
        <v>0</v>
      </c>
      <c r="T197" s="191">
        <f t="shared" si="3"/>
        <v>0</v>
      </c>
      <c r="U197" s="36"/>
      <c r="V197" s="36"/>
      <c r="W197" s="36"/>
      <c r="X197" s="36"/>
      <c r="Y197" s="36"/>
      <c r="Z197" s="36"/>
      <c r="AA197" s="36"/>
      <c r="AB197" s="36"/>
      <c r="AC197" s="36"/>
      <c r="AD197" s="36"/>
      <c r="AE197" s="36"/>
      <c r="AR197" s="192" t="s">
        <v>281</v>
      </c>
      <c r="AT197" s="192" t="s">
        <v>382</v>
      </c>
      <c r="AU197" s="192" t="s">
        <v>82</v>
      </c>
      <c r="AY197" s="19" t="s">
        <v>380</v>
      </c>
      <c r="BE197" s="193">
        <f t="shared" si="4"/>
        <v>0</v>
      </c>
      <c r="BF197" s="193">
        <f t="shared" si="5"/>
        <v>0</v>
      </c>
      <c r="BG197" s="193">
        <f t="shared" si="6"/>
        <v>0</v>
      </c>
      <c r="BH197" s="193">
        <f t="shared" si="7"/>
        <v>0</v>
      </c>
      <c r="BI197" s="193">
        <f t="shared" si="8"/>
        <v>0</v>
      </c>
      <c r="BJ197" s="19" t="s">
        <v>79</v>
      </c>
      <c r="BK197" s="193">
        <f t="shared" si="9"/>
        <v>0</v>
      </c>
      <c r="BL197" s="19" t="s">
        <v>281</v>
      </c>
      <c r="BM197" s="192" t="s">
        <v>3398</v>
      </c>
    </row>
    <row r="198" spans="1:65" s="2" customFormat="1" ht="24.2" customHeight="1">
      <c r="A198" s="36"/>
      <c r="B198" s="37"/>
      <c r="C198" s="181" t="s">
        <v>623</v>
      </c>
      <c r="D198" s="181" t="s">
        <v>382</v>
      </c>
      <c r="E198" s="182" t="s">
        <v>3399</v>
      </c>
      <c r="F198" s="183" t="s">
        <v>3400</v>
      </c>
      <c r="G198" s="184" t="s">
        <v>641</v>
      </c>
      <c r="H198" s="185">
        <v>10</v>
      </c>
      <c r="I198" s="186"/>
      <c r="J198" s="187">
        <f t="shared" si="0"/>
        <v>0</v>
      </c>
      <c r="K198" s="183" t="s">
        <v>3239</v>
      </c>
      <c r="L198" s="41"/>
      <c r="M198" s="188" t="s">
        <v>19</v>
      </c>
      <c r="N198" s="189" t="s">
        <v>43</v>
      </c>
      <c r="O198" s="66"/>
      <c r="P198" s="190">
        <f t="shared" si="1"/>
        <v>0</v>
      </c>
      <c r="Q198" s="190">
        <v>8.1999999999999998E-4</v>
      </c>
      <c r="R198" s="190">
        <f t="shared" si="2"/>
        <v>8.199999999999999E-3</v>
      </c>
      <c r="S198" s="190">
        <v>0</v>
      </c>
      <c r="T198" s="191">
        <f t="shared" si="3"/>
        <v>0</v>
      </c>
      <c r="U198" s="36"/>
      <c r="V198" s="36"/>
      <c r="W198" s="36"/>
      <c r="X198" s="36"/>
      <c r="Y198" s="36"/>
      <c r="Z198" s="36"/>
      <c r="AA198" s="36"/>
      <c r="AB198" s="36"/>
      <c r="AC198" s="36"/>
      <c r="AD198" s="36"/>
      <c r="AE198" s="36"/>
      <c r="AR198" s="192" t="s">
        <v>281</v>
      </c>
      <c r="AT198" s="192" t="s">
        <v>382</v>
      </c>
      <c r="AU198" s="192" t="s">
        <v>82</v>
      </c>
      <c r="AY198" s="19" t="s">
        <v>380</v>
      </c>
      <c r="BE198" s="193">
        <f t="shared" si="4"/>
        <v>0</v>
      </c>
      <c r="BF198" s="193">
        <f t="shared" si="5"/>
        <v>0</v>
      </c>
      <c r="BG198" s="193">
        <f t="shared" si="6"/>
        <v>0</v>
      </c>
      <c r="BH198" s="193">
        <f t="shared" si="7"/>
        <v>0</v>
      </c>
      <c r="BI198" s="193">
        <f t="shared" si="8"/>
        <v>0</v>
      </c>
      <c r="BJ198" s="19" t="s">
        <v>79</v>
      </c>
      <c r="BK198" s="193">
        <f t="shared" si="9"/>
        <v>0</v>
      </c>
      <c r="BL198" s="19" t="s">
        <v>281</v>
      </c>
      <c r="BM198" s="192" t="s">
        <v>3401</v>
      </c>
    </row>
    <row r="199" spans="1:65" s="13" customFormat="1" ht="11.25">
      <c r="B199" s="194"/>
      <c r="C199" s="195"/>
      <c r="D199" s="196" t="s">
        <v>388</v>
      </c>
      <c r="E199" s="197" t="s">
        <v>19</v>
      </c>
      <c r="F199" s="198" t="s">
        <v>3402</v>
      </c>
      <c r="G199" s="195"/>
      <c r="H199" s="197" t="s">
        <v>19</v>
      </c>
      <c r="I199" s="199"/>
      <c r="J199" s="195"/>
      <c r="K199" s="195"/>
      <c r="L199" s="200"/>
      <c r="M199" s="201"/>
      <c r="N199" s="202"/>
      <c r="O199" s="202"/>
      <c r="P199" s="202"/>
      <c r="Q199" s="202"/>
      <c r="R199" s="202"/>
      <c r="S199" s="202"/>
      <c r="T199" s="203"/>
      <c r="AT199" s="204" t="s">
        <v>388</v>
      </c>
      <c r="AU199" s="204" t="s">
        <v>82</v>
      </c>
      <c r="AV199" s="13" t="s">
        <v>79</v>
      </c>
      <c r="AW199" s="13" t="s">
        <v>33</v>
      </c>
      <c r="AX199" s="13" t="s">
        <v>72</v>
      </c>
      <c r="AY199" s="204" t="s">
        <v>380</v>
      </c>
    </row>
    <row r="200" spans="1:65" s="14" customFormat="1" ht="11.25">
      <c r="B200" s="205"/>
      <c r="C200" s="206"/>
      <c r="D200" s="196" t="s">
        <v>388</v>
      </c>
      <c r="E200" s="207" t="s">
        <v>19</v>
      </c>
      <c r="F200" s="208" t="s">
        <v>3403</v>
      </c>
      <c r="G200" s="206"/>
      <c r="H200" s="209">
        <v>2</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6" customFormat="1" ht="11.25">
      <c r="B201" s="237"/>
      <c r="C201" s="238"/>
      <c r="D201" s="196" t="s">
        <v>388</v>
      </c>
      <c r="E201" s="239" t="s">
        <v>19</v>
      </c>
      <c r="F201" s="240" t="s">
        <v>572</v>
      </c>
      <c r="G201" s="238"/>
      <c r="H201" s="241">
        <v>2</v>
      </c>
      <c r="I201" s="242"/>
      <c r="J201" s="238"/>
      <c r="K201" s="238"/>
      <c r="L201" s="243"/>
      <c r="M201" s="244"/>
      <c r="N201" s="245"/>
      <c r="O201" s="245"/>
      <c r="P201" s="245"/>
      <c r="Q201" s="245"/>
      <c r="R201" s="245"/>
      <c r="S201" s="245"/>
      <c r="T201" s="246"/>
      <c r="AT201" s="247" t="s">
        <v>388</v>
      </c>
      <c r="AU201" s="247" t="s">
        <v>82</v>
      </c>
      <c r="AV201" s="16" t="s">
        <v>99</v>
      </c>
      <c r="AW201" s="16" t="s">
        <v>33</v>
      </c>
      <c r="AX201" s="16" t="s">
        <v>72</v>
      </c>
      <c r="AY201" s="247" t="s">
        <v>380</v>
      </c>
    </row>
    <row r="202" spans="1:65" s="13" customFormat="1" ht="11.25">
      <c r="B202" s="194"/>
      <c r="C202" s="195"/>
      <c r="D202" s="196" t="s">
        <v>388</v>
      </c>
      <c r="E202" s="197" t="s">
        <v>19</v>
      </c>
      <c r="F202" s="198" t="s">
        <v>3404</v>
      </c>
      <c r="G202" s="195"/>
      <c r="H202" s="197" t="s">
        <v>19</v>
      </c>
      <c r="I202" s="199"/>
      <c r="J202" s="195"/>
      <c r="K202" s="195"/>
      <c r="L202" s="200"/>
      <c r="M202" s="201"/>
      <c r="N202" s="202"/>
      <c r="O202" s="202"/>
      <c r="P202" s="202"/>
      <c r="Q202" s="202"/>
      <c r="R202" s="202"/>
      <c r="S202" s="202"/>
      <c r="T202" s="203"/>
      <c r="AT202" s="204" t="s">
        <v>388</v>
      </c>
      <c r="AU202" s="204" t="s">
        <v>82</v>
      </c>
      <c r="AV202" s="13" t="s">
        <v>79</v>
      </c>
      <c r="AW202" s="13" t="s">
        <v>33</v>
      </c>
      <c r="AX202" s="13" t="s">
        <v>72</v>
      </c>
      <c r="AY202" s="204" t="s">
        <v>380</v>
      </c>
    </row>
    <row r="203" spans="1:65" s="14" customFormat="1" ht="11.25">
      <c r="B203" s="205"/>
      <c r="C203" s="206"/>
      <c r="D203" s="196" t="s">
        <v>388</v>
      </c>
      <c r="E203" s="207" t="s">
        <v>19</v>
      </c>
      <c r="F203" s="208" t="s">
        <v>3403</v>
      </c>
      <c r="G203" s="206"/>
      <c r="H203" s="209">
        <v>2</v>
      </c>
      <c r="I203" s="210"/>
      <c r="J203" s="206"/>
      <c r="K203" s="206"/>
      <c r="L203" s="211"/>
      <c r="M203" s="212"/>
      <c r="N203" s="213"/>
      <c r="O203" s="213"/>
      <c r="P203" s="213"/>
      <c r="Q203" s="213"/>
      <c r="R203" s="213"/>
      <c r="S203" s="213"/>
      <c r="T203" s="214"/>
      <c r="AT203" s="215" t="s">
        <v>388</v>
      </c>
      <c r="AU203" s="215" t="s">
        <v>82</v>
      </c>
      <c r="AV203" s="14" t="s">
        <v>82</v>
      </c>
      <c r="AW203" s="14" t="s">
        <v>33</v>
      </c>
      <c r="AX203" s="14" t="s">
        <v>72</v>
      </c>
      <c r="AY203" s="215" t="s">
        <v>380</v>
      </c>
    </row>
    <row r="204" spans="1:65" s="16" customFormat="1" ht="11.25">
      <c r="B204" s="237"/>
      <c r="C204" s="238"/>
      <c r="D204" s="196" t="s">
        <v>388</v>
      </c>
      <c r="E204" s="239" t="s">
        <v>19</v>
      </c>
      <c r="F204" s="240" t="s">
        <v>572</v>
      </c>
      <c r="G204" s="238"/>
      <c r="H204" s="241">
        <v>2</v>
      </c>
      <c r="I204" s="242"/>
      <c r="J204" s="238"/>
      <c r="K204" s="238"/>
      <c r="L204" s="243"/>
      <c r="M204" s="244"/>
      <c r="N204" s="245"/>
      <c r="O204" s="245"/>
      <c r="P204" s="245"/>
      <c r="Q204" s="245"/>
      <c r="R204" s="245"/>
      <c r="S204" s="245"/>
      <c r="T204" s="246"/>
      <c r="AT204" s="247" t="s">
        <v>388</v>
      </c>
      <c r="AU204" s="247" t="s">
        <v>82</v>
      </c>
      <c r="AV204" s="16" t="s">
        <v>99</v>
      </c>
      <c r="AW204" s="16" t="s">
        <v>33</v>
      </c>
      <c r="AX204" s="16" t="s">
        <v>72</v>
      </c>
      <c r="AY204" s="247" t="s">
        <v>380</v>
      </c>
    </row>
    <row r="205" spans="1:65" s="13" customFormat="1" ht="11.25">
      <c r="B205" s="194"/>
      <c r="C205" s="195"/>
      <c r="D205" s="196" t="s">
        <v>388</v>
      </c>
      <c r="E205" s="197" t="s">
        <v>19</v>
      </c>
      <c r="F205" s="198" t="s">
        <v>3405</v>
      </c>
      <c r="G205" s="195"/>
      <c r="H205" s="197" t="s">
        <v>19</v>
      </c>
      <c r="I205" s="199"/>
      <c r="J205" s="195"/>
      <c r="K205" s="195"/>
      <c r="L205" s="200"/>
      <c r="M205" s="201"/>
      <c r="N205" s="202"/>
      <c r="O205" s="202"/>
      <c r="P205" s="202"/>
      <c r="Q205" s="202"/>
      <c r="R205" s="202"/>
      <c r="S205" s="202"/>
      <c r="T205" s="203"/>
      <c r="AT205" s="204" t="s">
        <v>388</v>
      </c>
      <c r="AU205" s="204" t="s">
        <v>82</v>
      </c>
      <c r="AV205" s="13" t="s">
        <v>79</v>
      </c>
      <c r="AW205" s="13" t="s">
        <v>33</v>
      </c>
      <c r="AX205" s="13" t="s">
        <v>72</v>
      </c>
      <c r="AY205" s="204" t="s">
        <v>380</v>
      </c>
    </row>
    <row r="206" spans="1:65" s="14" customFormat="1" ht="11.25">
      <c r="B206" s="205"/>
      <c r="C206" s="206"/>
      <c r="D206" s="196" t="s">
        <v>388</v>
      </c>
      <c r="E206" s="207" t="s">
        <v>19</v>
      </c>
      <c r="F206" s="208" t="s">
        <v>3403</v>
      </c>
      <c r="G206" s="206"/>
      <c r="H206" s="209">
        <v>2</v>
      </c>
      <c r="I206" s="210"/>
      <c r="J206" s="206"/>
      <c r="K206" s="206"/>
      <c r="L206" s="211"/>
      <c r="M206" s="212"/>
      <c r="N206" s="213"/>
      <c r="O206" s="213"/>
      <c r="P206" s="213"/>
      <c r="Q206" s="213"/>
      <c r="R206" s="213"/>
      <c r="S206" s="213"/>
      <c r="T206" s="214"/>
      <c r="AT206" s="215" t="s">
        <v>388</v>
      </c>
      <c r="AU206" s="215" t="s">
        <v>82</v>
      </c>
      <c r="AV206" s="14" t="s">
        <v>82</v>
      </c>
      <c r="AW206" s="14" t="s">
        <v>33</v>
      </c>
      <c r="AX206" s="14" t="s">
        <v>72</v>
      </c>
      <c r="AY206" s="215" t="s">
        <v>380</v>
      </c>
    </row>
    <row r="207" spans="1:65" s="16" customFormat="1" ht="11.25">
      <c r="B207" s="237"/>
      <c r="C207" s="238"/>
      <c r="D207" s="196" t="s">
        <v>388</v>
      </c>
      <c r="E207" s="239" t="s">
        <v>19</v>
      </c>
      <c r="F207" s="240" t="s">
        <v>572</v>
      </c>
      <c r="G207" s="238"/>
      <c r="H207" s="241">
        <v>2</v>
      </c>
      <c r="I207" s="242"/>
      <c r="J207" s="238"/>
      <c r="K207" s="238"/>
      <c r="L207" s="243"/>
      <c r="M207" s="244"/>
      <c r="N207" s="245"/>
      <c r="O207" s="245"/>
      <c r="P207" s="245"/>
      <c r="Q207" s="245"/>
      <c r="R207" s="245"/>
      <c r="S207" s="245"/>
      <c r="T207" s="246"/>
      <c r="AT207" s="247" t="s">
        <v>388</v>
      </c>
      <c r="AU207" s="247" t="s">
        <v>82</v>
      </c>
      <c r="AV207" s="16" t="s">
        <v>99</v>
      </c>
      <c r="AW207" s="16" t="s">
        <v>33</v>
      </c>
      <c r="AX207" s="16" t="s">
        <v>72</v>
      </c>
      <c r="AY207" s="247" t="s">
        <v>380</v>
      </c>
    </row>
    <row r="208" spans="1:65" s="13" customFormat="1" ht="11.25">
      <c r="B208" s="194"/>
      <c r="C208" s="195"/>
      <c r="D208" s="196" t="s">
        <v>388</v>
      </c>
      <c r="E208" s="197" t="s">
        <v>19</v>
      </c>
      <c r="F208" s="198" t="s">
        <v>3406</v>
      </c>
      <c r="G208" s="195"/>
      <c r="H208" s="197" t="s">
        <v>19</v>
      </c>
      <c r="I208" s="199"/>
      <c r="J208" s="195"/>
      <c r="K208" s="195"/>
      <c r="L208" s="200"/>
      <c r="M208" s="201"/>
      <c r="N208" s="202"/>
      <c r="O208" s="202"/>
      <c r="P208" s="202"/>
      <c r="Q208" s="202"/>
      <c r="R208" s="202"/>
      <c r="S208" s="202"/>
      <c r="T208" s="203"/>
      <c r="AT208" s="204" t="s">
        <v>388</v>
      </c>
      <c r="AU208" s="204" t="s">
        <v>82</v>
      </c>
      <c r="AV208" s="13" t="s">
        <v>79</v>
      </c>
      <c r="AW208" s="13" t="s">
        <v>33</v>
      </c>
      <c r="AX208" s="13" t="s">
        <v>72</v>
      </c>
      <c r="AY208" s="204" t="s">
        <v>380</v>
      </c>
    </row>
    <row r="209" spans="1:65" s="14" customFormat="1" ht="11.25">
      <c r="B209" s="205"/>
      <c r="C209" s="206"/>
      <c r="D209" s="196" t="s">
        <v>388</v>
      </c>
      <c r="E209" s="207" t="s">
        <v>19</v>
      </c>
      <c r="F209" s="208" t="s">
        <v>3403</v>
      </c>
      <c r="G209" s="206"/>
      <c r="H209" s="209">
        <v>2</v>
      </c>
      <c r="I209" s="210"/>
      <c r="J209" s="206"/>
      <c r="K209" s="206"/>
      <c r="L209" s="211"/>
      <c r="M209" s="212"/>
      <c r="N209" s="213"/>
      <c r="O209" s="213"/>
      <c r="P209" s="213"/>
      <c r="Q209" s="213"/>
      <c r="R209" s="213"/>
      <c r="S209" s="213"/>
      <c r="T209" s="214"/>
      <c r="AT209" s="215" t="s">
        <v>388</v>
      </c>
      <c r="AU209" s="215" t="s">
        <v>82</v>
      </c>
      <c r="AV209" s="14" t="s">
        <v>82</v>
      </c>
      <c r="AW209" s="14" t="s">
        <v>33</v>
      </c>
      <c r="AX209" s="14" t="s">
        <v>72</v>
      </c>
      <c r="AY209" s="215" t="s">
        <v>380</v>
      </c>
    </row>
    <row r="210" spans="1:65" s="16" customFormat="1" ht="11.25">
      <c r="B210" s="237"/>
      <c r="C210" s="238"/>
      <c r="D210" s="196" t="s">
        <v>388</v>
      </c>
      <c r="E210" s="239" t="s">
        <v>19</v>
      </c>
      <c r="F210" s="240" t="s">
        <v>572</v>
      </c>
      <c r="G210" s="238"/>
      <c r="H210" s="241">
        <v>2</v>
      </c>
      <c r="I210" s="242"/>
      <c r="J210" s="238"/>
      <c r="K210" s="238"/>
      <c r="L210" s="243"/>
      <c r="M210" s="244"/>
      <c r="N210" s="245"/>
      <c r="O210" s="245"/>
      <c r="P210" s="245"/>
      <c r="Q210" s="245"/>
      <c r="R210" s="245"/>
      <c r="S210" s="245"/>
      <c r="T210" s="246"/>
      <c r="AT210" s="247" t="s">
        <v>388</v>
      </c>
      <c r="AU210" s="247" t="s">
        <v>82</v>
      </c>
      <c r="AV210" s="16" t="s">
        <v>99</v>
      </c>
      <c r="AW210" s="16" t="s">
        <v>33</v>
      </c>
      <c r="AX210" s="16" t="s">
        <v>72</v>
      </c>
      <c r="AY210" s="247" t="s">
        <v>380</v>
      </c>
    </row>
    <row r="211" spans="1:65" s="13" customFormat="1" ht="11.25">
      <c r="B211" s="194"/>
      <c r="C211" s="195"/>
      <c r="D211" s="196" t="s">
        <v>388</v>
      </c>
      <c r="E211" s="197" t="s">
        <v>19</v>
      </c>
      <c r="F211" s="198" t="s">
        <v>3407</v>
      </c>
      <c r="G211" s="195"/>
      <c r="H211" s="197" t="s">
        <v>19</v>
      </c>
      <c r="I211" s="199"/>
      <c r="J211" s="195"/>
      <c r="K211" s="195"/>
      <c r="L211" s="200"/>
      <c r="M211" s="201"/>
      <c r="N211" s="202"/>
      <c r="O211" s="202"/>
      <c r="P211" s="202"/>
      <c r="Q211" s="202"/>
      <c r="R211" s="202"/>
      <c r="S211" s="202"/>
      <c r="T211" s="203"/>
      <c r="AT211" s="204" t="s">
        <v>388</v>
      </c>
      <c r="AU211" s="204" t="s">
        <v>82</v>
      </c>
      <c r="AV211" s="13" t="s">
        <v>79</v>
      </c>
      <c r="AW211" s="13" t="s">
        <v>33</v>
      </c>
      <c r="AX211" s="13" t="s">
        <v>72</v>
      </c>
      <c r="AY211" s="204" t="s">
        <v>380</v>
      </c>
    </row>
    <row r="212" spans="1:65" s="14" customFormat="1" ht="11.25">
      <c r="B212" s="205"/>
      <c r="C212" s="206"/>
      <c r="D212" s="196" t="s">
        <v>388</v>
      </c>
      <c r="E212" s="207" t="s">
        <v>19</v>
      </c>
      <c r="F212" s="208" t="s">
        <v>3403</v>
      </c>
      <c r="G212" s="206"/>
      <c r="H212" s="209">
        <v>2</v>
      </c>
      <c r="I212" s="210"/>
      <c r="J212" s="206"/>
      <c r="K212" s="206"/>
      <c r="L212" s="211"/>
      <c r="M212" s="212"/>
      <c r="N212" s="213"/>
      <c r="O212" s="213"/>
      <c r="P212" s="213"/>
      <c r="Q212" s="213"/>
      <c r="R212" s="213"/>
      <c r="S212" s="213"/>
      <c r="T212" s="214"/>
      <c r="AT212" s="215" t="s">
        <v>388</v>
      </c>
      <c r="AU212" s="215" t="s">
        <v>82</v>
      </c>
      <c r="AV212" s="14" t="s">
        <v>82</v>
      </c>
      <c r="AW212" s="14" t="s">
        <v>33</v>
      </c>
      <c r="AX212" s="14" t="s">
        <v>72</v>
      </c>
      <c r="AY212" s="215" t="s">
        <v>380</v>
      </c>
    </row>
    <row r="213" spans="1:65" s="16" customFormat="1" ht="11.25">
      <c r="B213" s="237"/>
      <c r="C213" s="238"/>
      <c r="D213" s="196" t="s">
        <v>388</v>
      </c>
      <c r="E213" s="239" t="s">
        <v>19</v>
      </c>
      <c r="F213" s="240" t="s">
        <v>572</v>
      </c>
      <c r="G213" s="238"/>
      <c r="H213" s="241">
        <v>2</v>
      </c>
      <c r="I213" s="242"/>
      <c r="J213" s="238"/>
      <c r="K213" s="238"/>
      <c r="L213" s="243"/>
      <c r="M213" s="244"/>
      <c r="N213" s="245"/>
      <c r="O213" s="245"/>
      <c r="P213" s="245"/>
      <c r="Q213" s="245"/>
      <c r="R213" s="245"/>
      <c r="S213" s="245"/>
      <c r="T213" s="246"/>
      <c r="AT213" s="247" t="s">
        <v>388</v>
      </c>
      <c r="AU213" s="247" t="s">
        <v>82</v>
      </c>
      <c r="AV213" s="16" t="s">
        <v>99</v>
      </c>
      <c r="AW213" s="16" t="s">
        <v>33</v>
      </c>
      <c r="AX213" s="16" t="s">
        <v>72</v>
      </c>
      <c r="AY213" s="247" t="s">
        <v>380</v>
      </c>
    </row>
    <row r="214" spans="1:65" s="15" customFormat="1" ht="11.25">
      <c r="B214" s="216"/>
      <c r="C214" s="217"/>
      <c r="D214" s="196" t="s">
        <v>388</v>
      </c>
      <c r="E214" s="218" t="s">
        <v>19</v>
      </c>
      <c r="F214" s="219" t="s">
        <v>419</v>
      </c>
      <c r="G214" s="217"/>
      <c r="H214" s="220">
        <v>10</v>
      </c>
      <c r="I214" s="221"/>
      <c r="J214" s="217"/>
      <c r="K214" s="217"/>
      <c r="L214" s="222"/>
      <c r="M214" s="223"/>
      <c r="N214" s="224"/>
      <c r="O214" s="224"/>
      <c r="P214" s="224"/>
      <c r="Q214" s="224"/>
      <c r="R214" s="224"/>
      <c r="S214" s="224"/>
      <c r="T214" s="225"/>
      <c r="AT214" s="226" t="s">
        <v>388</v>
      </c>
      <c r="AU214" s="226" t="s">
        <v>82</v>
      </c>
      <c r="AV214" s="15" t="s">
        <v>386</v>
      </c>
      <c r="AW214" s="15" t="s">
        <v>33</v>
      </c>
      <c r="AX214" s="15" t="s">
        <v>79</v>
      </c>
      <c r="AY214" s="226" t="s">
        <v>380</v>
      </c>
    </row>
    <row r="215" spans="1:65" s="2" customFormat="1" ht="24.2" customHeight="1">
      <c r="A215" s="36"/>
      <c r="B215" s="37"/>
      <c r="C215" s="181" t="s">
        <v>631</v>
      </c>
      <c r="D215" s="181" t="s">
        <v>382</v>
      </c>
      <c r="E215" s="182" t="s">
        <v>3408</v>
      </c>
      <c r="F215" s="183" t="s">
        <v>3409</v>
      </c>
      <c r="G215" s="184" t="s">
        <v>641</v>
      </c>
      <c r="H215" s="185">
        <v>4</v>
      </c>
      <c r="I215" s="186"/>
      <c r="J215" s="187">
        <f>ROUND(I215*H215,2)</f>
        <v>0</v>
      </c>
      <c r="K215" s="183" t="s">
        <v>3239</v>
      </c>
      <c r="L215" s="41"/>
      <c r="M215" s="188" t="s">
        <v>19</v>
      </c>
      <c r="N215" s="189" t="s">
        <v>43</v>
      </c>
      <c r="O215" s="66"/>
      <c r="P215" s="190">
        <f>O215*H215</f>
        <v>0</v>
      </c>
      <c r="Q215" s="190">
        <v>1.0200000000000001E-3</v>
      </c>
      <c r="R215" s="190">
        <f>Q215*H215</f>
        <v>4.0800000000000003E-3</v>
      </c>
      <c r="S215" s="190">
        <v>0</v>
      </c>
      <c r="T215" s="191">
        <f>S215*H215</f>
        <v>0</v>
      </c>
      <c r="U215" s="36"/>
      <c r="V215" s="36"/>
      <c r="W215" s="36"/>
      <c r="X215" s="36"/>
      <c r="Y215" s="36"/>
      <c r="Z215" s="36"/>
      <c r="AA215" s="36"/>
      <c r="AB215" s="36"/>
      <c r="AC215" s="36"/>
      <c r="AD215" s="36"/>
      <c r="AE215" s="36"/>
      <c r="AR215" s="192" t="s">
        <v>281</v>
      </c>
      <c r="AT215" s="192" t="s">
        <v>382</v>
      </c>
      <c r="AU215" s="192" t="s">
        <v>82</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281</v>
      </c>
      <c r="BM215" s="192" t="s">
        <v>3410</v>
      </c>
    </row>
    <row r="216" spans="1:65" s="13" customFormat="1" ht="11.25">
      <c r="B216" s="194"/>
      <c r="C216" s="195"/>
      <c r="D216" s="196" t="s">
        <v>388</v>
      </c>
      <c r="E216" s="197" t="s">
        <v>19</v>
      </c>
      <c r="F216" s="198" t="s">
        <v>3411</v>
      </c>
      <c r="G216" s="195"/>
      <c r="H216" s="197" t="s">
        <v>19</v>
      </c>
      <c r="I216" s="199"/>
      <c r="J216" s="195"/>
      <c r="K216" s="195"/>
      <c r="L216" s="200"/>
      <c r="M216" s="201"/>
      <c r="N216" s="202"/>
      <c r="O216" s="202"/>
      <c r="P216" s="202"/>
      <c r="Q216" s="202"/>
      <c r="R216" s="202"/>
      <c r="S216" s="202"/>
      <c r="T216" s="203"/>
      <c r="AT216" s="204" t="s">
        <v>388</v>
      </c>
      <c r="AU216" s="204" t="s">
        <v>82</v>
      </c>
      <c r="AV216" s="13" t="s">
        <v>79</v>
      </c>
      <c r="AW216" s="13" t="s">
        <v>33</v>
      </c>
      <c r="AX216" s="13" t="s">
        <v>72</v>
      </c>
      <c r="AY216" s="204" t="s">
        <v>380</v>
      </c>
    </row>
    <row r="217" spans="1:65" s="14" customFormat="1" ht="11.25">
      <c r="B217" s="205"/>
      <c r="C217" s="206"/>
      <c r="D217" s="196" t="s">
        <v>388</v>
      </c>
      <c r="E217" s="207" t="s">
        <v>19</v>
      </c>
      <c r="F217" s="208" t="s">
        <v>3403</v>
      </c>
      <c r="G217" s="206"/>
      <c r="H217" s="209">
        <v>2</v>
      </c>
      <c r="I217" s="210"/>
      <c r="J217" s="206"/>
      <c r="K217" s="206"/>
      <c r="L217" s="211"/>
      <c r="M217" s="212"/>
      <c r="N217" s="213"/>
      <c r="O217" s="213"/>
      <c r="P217" s="213"/>
      <c r="Q217" s="213"/>
      <c r="R217" s="213"/>
      <c r="S217" s="213"/>
      <c r="T217" s="214"/>
      <c r="AT217" s="215" t="s">
        <v>388</v>
      </c>
      <c r="AU217" s="215" t="s">
        <v>82</v>
      </c>
      <c r="AV217" s="14" t="s">
        <v>82</v>
      </c>
      <c r="AW217" s="14" t="s">
        <v>33</v>
      </c>
      <c r="AX217" s="14" t="s">
        <v>72</v>
      </c>
      <c r="AY217" s="215" t="s">
        <v>380</v>
      </c>
    </row>
    <row r="218" spans="1:65" s="16" customFormat="1" ht="11.25">
      <c r="B218" s="237"/>
      <c r="C218" s="238"/>
      <c r="D218" s="196" t="s">
        <v>388</v>
      </c>
      <c r="E218" s="239" t="s">
        <v>19</v>
      </c>
      <c r="F218" s="240" t="s">
        <v>572</v>
      </c>
      <c r="G218" s="238"/>
      <c r="H218" s="241">
        <v>2</v>
      </c>
      <c r="I218" s="242"/>
      <c r="J218" s="238"/>
      <c r="K218" s="238"/>
      <c r="L218" s="243"/>
      <c r="M218" s="244"/>
      <c r="N218" s="245"/>
      <c r="O218" s="245"/>
      <c r="P218" s="245"/>
      <c r="Q218" s="245"/>
      <c r="R218" s="245"/>
      <c r="S218" s="245"/>
      <c r="T218" s="246"/>
      <c r="AT218" s="247" t="s">
        <v>388</v>
      </c>
      <c r="AU218" s="247" t="s">
        <v>82</v>
      </c>
      <c r="AV218" s="16" t="s">
        <v>99</v>
      </c>
      <c r="AW218" s="16" t="s">
        <v>33</v>
      </c>
      <c r="AX218" s="16" t="s">
        <v>72</v>
      </c>
      <c r="AY218" s="247" t="s">
        <v>380</v>
      </c>
    </row>
    <row r="219" spans="1:65" s="13" customFormat="1" ht="11.25">
      <c r="B219" s="194"/>
      <c r="C219" s="195"/>
      <c r="D219" s="196" t="s">
        <v>388</v>
      </c>
      <c r="E219" s="197" t="s">
        <v>19</v>
      </c>
      <c r="F219" s="198" t="s">
        <v>3412</v>
      </c>
      <c r="G219" s="195"/>
      <c r="H219" s="197" t="s">
        <v>19</v>
      </c>
      <c r="I219" s="199"/>
      <c r="J219" s="195"/>
      <c r="K219" s="195"/>
      <c r="L219" s="200"/>
      <c r="M219" s="201"/>
      <c r="N219" s="202"/>
      <c r="O219" s="202"/>
      <c r="P219" s="202"/>
      <c r="Q219" s="202"/>
      <c r="R219" s="202"/>
      <c r="S219" s="202"/>
      <c r="T219" s="203"/>
      <c r="AT219" s="204" t="s">
        <v>388</v>
      </c>
      <c r="AU219" s="204" t="s">
        <v>82</v>
      </c>
      <c r="AV219" s="13" t="s">
        <v>79</v>
      </c>
      <c r="AW219" s="13" t="s">
        <v>33</v>
      </c>
      <c r="AX219" s="13" t="s">
        <v>72</v>
      </c>
      <c r="AY219" s="204" t="s">
        <v>380</v>
      </c>
    </row>
    <row r="220" spans="1:65" s="14" customFormat="1" ht="11.25">
      <c r="B220" s="205"/>
      <c r="C220" s="206"/>
      <c r="D220" s="196" t="s">
        <v>388</v>
      </c>
      <c r="E220" s="207" t="s">
        <v>19</v>
      </c>
      <c r="F220" s="208" t="s">
        <v>3403</v>
      </c>
      <c r="G220" s="206"/>
      <c r="H220" s="209">
        <v>2</v>
      </c>
      <c r="I220" s="210"/>
      <c r="J220" s="206"/>
      <c r="K220" s="206"/>
      <c r="L220" s="211"/>
      <c r="M220" s="212"/>
      <c r="N220" s="213"/>
      <c r="O220" s="213"/>
      <c r="P220" s="213"/>
      <c r="Q220" s="213"/>
      <c r="R220" s="213"/>
      <c r="S220" s="213"/>
      <c r="T220" s="214"/>
      <c r="AT220" s="215" t="s">
        <v>388</v>
      </c>
      <c r="AU220" s="215" t="s">
        <v>82</v>
      </c>
      <c r="AV220" s="14" t="s">
        <v>82</v>
      </c>
      <c r="AW220" s="14" t="s">
        <v>33</v>
      </c>
      <c r="AX220" s="14" t="s">
        <v>72</v>
      </c>
      <c r="AY220" s="215" t="s">
        <v>380</v>
      </c>
    </row>
    <row r="221" spans="1:65" s="16" customFormat="1" ht="11.25">
      <c r="B221" s="237"/>
      <c r="C221" s="238"/>
      <c r="D221" s="196" t="s">
        <v>388</v>
      </c>
      <c r="E221" s="239" t="s">
        <v>19</v>
      </c>
      <c r="F221" s="240" t="s">
        <v>572</v>
      </c>
      <c r="G221" s="238"/>
      <c r="H221" s="241">
        <v>2</v>
      </c>
      <c r="I221" s="242"/>
      <c r="J221" s="238"/>
      <c r="K221" s="238"/>
      <c r="L221" s="243"/>
      <c r="M221" s="244"/>
      <c r="N221" s="245"/>
      <c r="O221" s="245"/>
      <c r="P221" s="245"/>
      <c r="Q221" s="245"/>
      <c r="R221" s="245"/>
      <c r="S221" s="245"/>
      <c r="T221" s="246"/>
      <c r="AT221" s="247" t="s">
        <v>388</v>
      </c>
      <c r="AU221" s="247" t="s">
        <v>82</v>
      </c>
      <c r="AV221" s="16" t="s">
        <v>99</v>
      </c>
      <c r="AW221" s="16" t="s">
        <v>33</v>
      </c>
      <c r="AX221" s="16" t="s">
        <v>72</v>
      </c>
      <c r="AY221" s="247" t="s">
        <v>380</v>
      </c>
    </row>
    <row r="222" spans="1:65" s="15" customFormat="1" ht="11.25">
      <c r="B222" s="216"/>
      <c r="C222" s="217"/>
      <c r="D222" s="196" t="s">
        <v>388</v>
      </c>
      <c r="E222" s="218" t="s">
        <v>19</v>
      </c>
      <c r="F222" s="219" t="s">
        <v>419</v>
      </c>
      <c r="G222" s="217"/>
      <c r="H222" s="220">
        <v>4</v>
      </c>
      <c r="I222" s="221"/>
      <c r="J222" s="217"/>
      <c r="K222" s="217"/>
      <c r="L222" s="222"/>
      <c r="M222" s="223"/>
      <c r="N222" s="224"/>
      <c r="O222" s="224"/>
      <c r="P222" s="224"/>
      <c r="Q222" s="224"/>
      <c r="R222" s="224"/>
      <c r="S222" s="224"/>
      <c r="T222" s="225"/>
      <c r="AT222" s="226" t="s">
        <v>388</v>
      </c>
      <c r="AU222" s="226" t="s">
        <v>82</v>
      </c>
      <c r="AV222" s="15" t="s">
        <v>386</v>
      </c>
      <c r="AW222" s="15" t="s">
        <v>33</v>
      </c>
      <c r="AX222" s="15" t="s">
        <v>79</v>
      </c>
      <c r="AY222" s="226" t="s">
        <v>380</v>
      </c>
    </row>
    <row r="223" spans="1:65" s="2" customFormat="1" ht="24.2" customHeight="1">
      <c r="A223" s="36"/>
      <c r="B223" s="37"/>
      <c r="C223" s="181" t="s">
        <v>638</v>
      </c>
      <c r="D223" s="181" t="s">
        <v>382</v>
      </c>
      <c r="E223" s="182" t="s">
        <v>3413</v>
      </c>
      <c r="F223" s="183" t="s">
        <v>3414</v>
      </c>
      <c r="G223" s="184" t="s">
        <v>641</v>
      </c>
      <c r="H223" s="185">
        <v>2</v>
      </c>
      <c r="I223" s="186"/>
      <c r="J223" s="187">
        <f>ROUND(I223*H223,2)</f>
        <v>0</v>
      </c>
      <c r="K223" s="183" t="s">
        <v>3239</v>
      </c>
      <c r="L223" s="41"/>
      <c r="M223" s="188" t="s">
        <v>19</v>
      </c>
      <c r="N223" s="189" t="s">
        <v>43</v>
      </c>
      <c r="O223" s="66"/>
      <c r="P223" s="190">
        <f>O223*H223</f>
        <v>0</v>
      </c>
      <c r="Q223" s="190">
        <v>1.32E-3</v>
      </c>
      <c r="R223" s="190">
        <f>Q223*H223</f>
        <v>2.64E-3</v>
      </c>
      <c r="S223" s="190">
        <v>0</v>
      </c>
      <c r="T223" s="191">
        <f>S223*H223</f>
        <v>0</v>
      </c>
      <c r="U223" s="36"/>
      <c r="V223" s="36"/>
      <c r="W223" s="36"/>
      <c r="X223" s="36"/>
      <c r="Y223" s="36"/>
      <c r="Z223" s="36"/>
      <c r="AA223" s="36"/>
      <c r="AB223" s="36"/>
      <c r="AC223" s="36"/>
      <c r="AD223" s="36"/>
      <c r="AE223" s="36"/>
      <c r="AR223" s="192" t="s">
        <v>281</v>
      </c>
      <c r="AT223" s="192" t="s">
        <v>382</v>
      </c>
      <c r="AU223" s="192" t="s">
        <v>82</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281</v>
      </c>
      <c r="BM223" s="192" t="s">
        <v>3415</v>
      </c>
    </row>
    <row r="224" spans="1:65" s="13" customFormat="1" ht="11.25">
      <c r="B224" s="194"/>
      <c r="C224" s="195"/>
      <c r="D224" s="196" t="s">
        <v>388</v>
      </c>
      <c r="E224" s="197" t="s">
        <v>19</v>
      </c>
      <c r="F224" s="198" t="s">
        <v>3416</v>
      </c>
      <c r="G224" s="195"/>
      <c r="H224" s="197" t="s">
        <v>19</v>
      </c>
      <c r="I224" s="199"/>
      <c r="J224" s="195"/>
      <c r="K224" s="195"/>
      <c r="L224" s="200"/>
      <c r="M224" s="201"/>
      <c r="N224" s="202"/>
      <c r="O224" s="202"/>
      <c r="P224" s="202"/>
      <c r="Q224" s="202"/>
      <c r="R224" s="202"/>
      <c r="S224" s="202"/>
      <c r="T224" s="203"/>
      <c r="AT224" s="204" t="s">
        <v>388</v>
      </c>
      <c r="AU224" s="204" t="s">
        <v>82</v>
      </c>
      <c r="AV224" s="13" t="s">
        <v>79</v>
      </c>
      <c r="AW224" s="13" t="s">
        <v>33</v>
      </c>
      <c r="AX224" s="13" t="s">
        <v>72</v>
      </c>
      <c r="AY224" s="204" t="s">
        <v>380</v>
      </c>
    </row>
    <row r="225" spans="1:65" s="14" customFormat="1" ht="11.25">
      <c r="B225" s="205"/>
      <c r="C225" s="206"/>
      <c r="D225" s="196" t="s">
        <v>388</v>
      </c>
      <c r="E225" s="207" t="s">
        <v>19</v>
      </c>
      <c r="F225" s="208" t="s">
        <v>3403</v>
      </c>
      <c r="G225" s="206"/>
      <c r="H225" s="209">
        <v>2</v>
      </c>
      <c r="I225" s="210"/>
      <c r="J225" s="206"/>
      <c r="K225" s="206"/>
      <c r="L225" s="211"/>
      <c r="M225" s="212"/>
      <c r="N225" s="213"/>
      <c r="O225" s="213"/>
      <c r="P225" s="213"/>
      <c r="Q225" s="213"/>
      <c r="R225" s="213"/>
      <c r="S225" s="213"/>
      <c r="T225" s="214"/>
      <c r="AT225" s="215" t="s">
        <v>388</v>
      </c>
      <c r="AU225" s="215" t="s">
        <v>82</v>
      </c>
      <c r="AV225" s="14" t="s">
        <v>82</v>
      </c>
      <c r="AW225" s="14" t="s">
        <v>33</v>
      </c>
      <c r="AX225" s="14" t="s">
        <v>72</v>
      </c>
      <c r="AY225" s="215" t="s">
        <v>380</v>
      </c>
    </row>
    <row r="226" spans="1:65" s="15" customFormat="1" ht="11.25">
      <c r="B226" s="216"/>
      <c r="C226" s="217"/>
      <c r="D226" s="196" t="s">
        <v>388</v>
      </c>
      <c r="E226" s="218" t="s">
        <v>19</v>
      </c>
      <c r="F226" s="219" t="s">
        <v>419</v>
      </c>
      <c r="G226" s="217"/>
      <c r="H226" s="220">
        <v>2</v>
      </c>
      <c r="I226" s="221"/>
      <c r="J226" s="217"/>
      <c r="K226" s="217"/>
      <c r="L226" s="222"/>
      <c r="M226" s="223"/>
      <c r="N226" s="224"/>
      <c r="O226" s="224"/>
      <c r="P226" s="224"/>
      <c r="Q226" s="224"/>
      <c r="R226" s="224"/>
      <c r="S226" s="224"/>
      <c r="T226" s="225"/>
      <c r="AT226" s="226" t="s">
        <v>388</v>
      </c>
      <c r="AU226" s="226" t="s">
        <v>82</v>
      </c>
      <c r="AV226" s="15" t="s">
        <v>386</v>
      </c>
      <c r="AW226" s="15" t="s">
        <v>33</v>
      </c>
      <c r="AX226" s="15" t="s">
        <v>79</v>
      </c>
      <c r="AY226" s="226" t="s">
        <v>380</v>
      </c>
    </row>
    <row r="227" spans="1:65" s="2" customFormat="1" ht="24.2" customHeight="1">
      <c r="A227" s="36"/>
      <c r="B227" s="37"/>
      <c r="C227" s="181" t="s">
        <v>644</v>
      </c>
      <c r="D227" s="181" t="s">
        <v>382</v>
      </c>
      <c r="E227" s="182" t="s">
        <v>3417</v>
      </c>
      <c r="F227" s="183" t="s">
        <v>3418</v>
      </c>
      <c r="G227" s="184" t="s">
        <v>641</v>
      </c>
      <c r="H227" s="185">
        <v>20</v>
      </c>
      <c r="I227" s="186"/>
      <c r="J227" s="187">
        <f>ROUND(I227*H227,2)</f>
        <v>0</v>
      </c>
      <c r="K227" s="183" t="s">
        <v>3239</v>
      </c>
      <c r="L227" s="41"/>
      <c r="M227" s="188" t="s">
        <v>19</v>
      </c>
      <c r="N227" s="189" t="s">
        <v>43</v>
      </c>
      <c r="O227" s="66"/>
      <c r="P227" s="190">
        <f>O227*H227</f>
        <v>0</v>
      </c>
      <c r="Q227" s="190">
        <v>8.1999999999999998E-4</v>
      </c>
      <c r="R227" s="190">
        <f>Q227*H227</f>
        <v>1.6399999999999998E-2</v>
      </c>
      <c r="S227" s="190">
        <v>0</v>
      </c>
      <c r="T227" s="191">
        <f>S227*H227</f>
        <v>0</v>
      </c>
      <c r="U227" s="36"/>
      <c r="V227" s="36"/>
      <c r="W227" s="36"/>
      <c r="X227" s="36"/>
      <c r="Y227" s="36"/>
      <c r="Z227" s="36"/>
      <c r="AA227" s="36"/>
      <c r="AB227" s="36"/>
      <c r="AC227" s="36"/>
      <c r="AD227" s="36"/>
      <c r="AE227" s="36"/>
      <c r="AR227" s="192" t="s">
        <v>281</v>
      </c>
      <c r="AT227" s="192" t="s">
        <v>382</v>
      </c>
      <c r="AU227" s="192" t="s">
        <v>82</v>
      </c>
      <c r="AY227" s="19" t="s">
        <v>380</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281</v>
      </c>
      <c r="BM227" s="192" t="s">
        <v>3419</v>
      </c>
    </row>
    <row r="228" spans="1:65" s="13" customFormat="1" ht="11.25">
      <c r="B228" s="194"/>
      <c r="C228" s="195"/>
      <c r="D228" s="196" t="s">
        <v>388</v>
      </c>
      <c r="E228" s="197" t="s">
        <v>19</v>
      </c>
      <c r="F228" s="198" t="s">
        <v>3420</v>
      </c>
      <c r="G228" s="195"/>
      <c r="H228" s="197" t="s">
        <v>19</v>
      </c>
      <c r="I228" s="199"/>
      <c r="J228" s="195"/>
      <c r="K228" s="195"/>
      <c r="L228" s="200"/>
      <c r="M228" s="201"/>
      <c r="N228" s="202"/>
      <c r="O228" s="202"/>
      <c r="P228" s="202"/>
      <c r="Q228" s="202"/>
      <c r="R228" s="202"/>
      <c r="S228" s="202"/>
      <c r="T228" s="203"/>
      <c r="AT228" s="204" t="s">
        <v>388</v>
      </c>
      <c r="AU228" s="204" t="s">
        <v>82</v>
      </c>
      <c r="AV228" s="13" t="s">
        <v>79</v>
      </c>
      <c r="AW228" s="13" t="s">
        <v>33</v>
      </c>
      <c r="AX228" s="13" t="s">
        <v>72</v>
      </c>
      <c r="AY228" s="204" t="s">
        <v>380</v>
      </c>
    </row>
    <row r="229" spans="1:65" s="14" customFormat="1" ht="11.25">
      <c r="B229" s="205"/>
      <c r="C229" s="206"/>
      <c r="D229" s="196" t="s">
        <v>388</v>
      </c>
      <c r="E229" s="207" t="s">
        <v>19</v>
      </c>
      <c r="F229" s="208" t="s">
        <v>3403</v>
      </c>
      <c r="G229" s="206"/>
      <c r="H229" s="209">
        <v>2</v>
      </c>
      <c r="I229" s="210"/>
      <c r="J229" s="206"/>
      <c r="K229" s="206"/>
      <c r="L229" s="211"/>
      <c r="M229" s="212"/>
      <c r="N229" s="213"/>
      <c r="O229" s="213"/>
      <c r="P229" s="213"/>
      <c r="Q229" s="213"/>
      <c r="R229" s="213"/>
      <c r="S229" s="213"/>
      <c r="T229" s="214"/>
      <c r="AT229" s="215" t="s">
        <v>388</v>
      </c>
      <c r="AU229" s="215" t="s">
        <v>82</v>
      </c>
      <c r="AV229" s="14" t="s">
        <v>82</v>
      </c>
      <c r="AW229" s="14" t="s">
        <v>33</v>
      </c>
      <c r="AX229" s="14" t="s">
        <v>72</v>
      </c>
      <c r="AY229" s="215" t="s">
        <v>380</v>
      </c>
    </row>
    <row r="230" spans="1:65" s="16" customFormat="1" ht="11.25">
      <c r="B230" s="237"/>
      <c r="C230" s="238"/>
      <c r="D230" s="196" t="s">
        <v>388</v>
      </c>
      <c r="E230" s="239" t="s">
        <v>19</v>
      </c>
      <c r="F230" s="240" t="s">
        <v>572</v>
      </c>
      <c r="G230" s="238"/>
      <c r="H230" s="241">
        <v>2</v>
      </c>
      <c r="I230" s="242"/>
      <c r="J230" s="238"/>
      <c r="K230" s="238"/>
      <c r="L230" s="243"/>
      <c r="M230" s="244"/>
      <c r="N230" s="245"/>
      <c r="O230" s="245"/>
      <c r="P230" s="245"/>
      <c r="Q230" s="245"/>
      <c r="R230" s="245"/>
      <c r="S230" s="245"/>
      <c r="T230" s="246"/>
      <c r="AT230" s="247" t="s">
        <v>388</v>
      </c>
      <c r="AU230" s="247" t="s">
        <v>82</v>
      </c>
      <c r="AV230" s="16" t="s">
        <v>99</v>
      </c>
      <c r="AW230" s="16" t="s">
        <v>33</v>
      </c>
      <c r="AX230" s="16" t="s">
        <v>72</v>
      </c>
      <c r="AY230" s="247" t="s">
        <v>380</v>
      </c>
    </row>
    <row r="231" spans="1:65" s="13" customFormat="1" ht="11.25">
      <c r="B231" s="194"/>
      <c r="C231" s="195"/>
      <c r="D231" s="196" t="s">
        <v>388</v>
      </c>
      <c r="E231" s="197" t="s">
        <v>19</v>
      </c>
      <c r="F231" s="198" t="s">
        <v>3421</v>
      </c>
      <c r="G231" s="195"/>
      <c r="H231" s="197" t="s">
        <v>19</v>
      </c>
      <c r="I231" s="199"/>
      <c r="J231" s="195"/>
      <c r="K231" s="195"/>
      <c r="L231" s="200"/>
      <c r="M231" s="201"/>
      <c r="N231" s="202"/>
      <c r="O231" s="202"/>
      <c r="P231" s="202"/>
      <c r="Q231" s="202"/>
      <c r="R231" s="202"/>
      <c r="S231" s="202"/>
      <c r="T231" s="203"/>
      <c r="AT231" s="204" t="s">
        <v>388</v>
      </c>
      <c r="AU231" s="204" t="s">
        <v>82</v>
      </c>
      <c r="AV231" s="13" t="s">
        <v>79</v>
      </c>
      <c r="AW231" s="13" t="s">
        <v>33</v>
      </c>
      <c r="AX231" s="13" t="s">
        <v>72</v>
      </c>
      <c r="AY231" s="204" t="s">
        <v>380</v>
      </c>
    </row>
    <row r="232" spans="1:65" s="14" customFormat="1" ht="11.25">
      <c r="B232" s="205"/>
      <c r="C232" s="206"/>
      <c r="D232" s="196" t="s">
        <v>388</v>
      </c>
      <c r="E232" s="207" t="s">
        <v>19</v>
      </c>
      <c r="F232" s="208" t="s">
        <v>3422</v>
      </c>
      <c r="G232" s="206"/>
      <c r="H232" s="209">
        <v>14</v>
      </c>
      <c r="I232" s="210"/>
      <c r="J232" s="206"/>
      <c r="K232" s="206"/>
      <c r="L232" s="211"/>
      <c r="M232" s="212"/>
      <c r="N232" s="213"/>
      <c r="O232" s="213"/>
      <c r="P232" s="213"/>
      <c r="Q232" s="213"/>
      <c r="R232" s="213"/>
      <c r="S232" s="213"/>
      <c r="T232" s="214"/>
      <c r="AT232" s="215" t="s">
        <v>388</v>
      </c>
      <c r="AU232" s="215" t="s">
        <v>82</v>
      </c>
      <c r="AV232" s="14" t="s">
        <v>82</v>
      </c>
      <c r="AW232" s="14" t="s">
        <v>33</v>
      </c>
      <c r="AX232" s="14" t="s">
        <v>72</v>
      </c>
      <c r="AY232" s="215" t="s">
        <v>380</v>
      </c>
    </row>
    <row r="233" spans="1:65" s="16" customFormat="1" ht="11.25">
      <c r="B233" s="237"/>
      <c r="C233" s="238"/>
      <c r="D233" s="196" t="s">
        <v>388</v>
      </c>
      <c r="E233" s="239" t="s">
        <v>19</v>
      </c>
      <c r="F233" s="240" t="s">
        <v>572</v>
      </c>
      <c r="G233" s="238"/>
      <c r="H233" s="241">
        <v>14</v>
      </c>
      <c r="I233" s="242"/>
      <c r="J233" s="238"/>
      <c r="K233" s="238"/>
      <c r="L233" s="243"/>
      <c r="M233" s="244"/>
      <c r="N233" s="245"/>
      <c r="O233" s="245"/>
      <c r="P233" s="245"/>
      <c r="Q233" s="245"/>
      <c r="R233" s="245"/>
      <c r="S233" s="245"/>
      <c r="T233" s="246"/>
      <c r="AT233" s="247" t="s">
        <v>388</v>
      </c>
      <c r="AU233" s="247" t="s">
        <v>82</v>
      </c>
      <c r="AV233" s="16" t="s">
        <v>99</v>
      </c>
      <c r="AW233" s="16" t="s">
        <v>33</v>
      </c>
      <c r="AX233" s="16" t="s">
        <v>72</v>
      </c>
      <c r="AY233" s="247" t="s">
        <v>380</v>
      </c>
    </row>
    <row r="234" spans="1:65" s="13" customFormat="1" ht="11.25">
      <c r="B234" s="194"/>
      <c r="C234" s="195"/>
      <c r="D234" s="196" t="s">
        <v>388</v>
      </c>
      <c r="E234" s="197" t="s">
        <v>19</v>
      </c>
      <c r="F234" s="198" t="s">
        <v>3423</v>
      </c>
      <c r="G234" s="195"/>
      <c r="H234" s="197" t="s">
        <v>19</v>
      </c>
      <c r="I234" s="199"/>
      <c r="J234" s="195"/>
      <c r="K234" s="195"/>
      <c r="L234" s="200"/>
      <c r="M234" s="201"/>
      <c r="N234" s="202"/>
      <c r="O234" s="202"/>
      <c r="P234" s="202"/>
      <c r="Q234" s="202"/>
      <c r="R234" s="202"/>
      <c r="S234" s="202"/>
      <c r="T234" s="203"/>
      <c r="AT234" s="204" t="s">
        <v>388</v>
      </c>
      <c r="AU234" s="204" t="s">
        <v>82</v>
      </c>
      <c r="AV234" s="13" t="s">
        <v>79</v>
      </c>
      <c r="AW234" s="13" t="s">
        <v>33</v>
      </c>
      <c r="AX234" s="13" t="s">
        <v>72</v>
      </c>
      <c r="AY234" s="204" t="s">
        <v>380</v>
      </c>
    </row>
    <row r="235" spans="1:65" s="14" customFormat="1" ht="11.25">
      <c r="B235" s="205"/>
      <c r="C235" s="206"/>
      <c r="D235" s="196" t="s">
        <v>388</v>
      </c>
      <c r="E235" s="207" t="s">
        <v>19</v>
      </c>
      <c r="F235" s="208" t="s">
        <v>3424</v>
      </c>
      <c r="G235" s="206"/>
      <c r="H235" s="209">
        <v>4</v>
      </c>
      <c r="I235" s="210"/>
      <c r="J235" s="206"/>
      <c r="K235" s="206"/>
      <c r="L235" s="211"/>
      <c r="M235" s="212"/>
      <c r="N235" s="213"/>
      <c r="O235" s="213"/>
      <c r="P235" s="213"/>
      <c r="Q235" s="213"/>
      <c r="R235" s="213"/>
      <c r="S235" s="213"/>
      <c r="T235" s="214"/>
      <c r="AT235" s="215" t="s">
        <v>388</v>
      </c>
      <c r="AU235" s="215" t="s">
        <v>82</v>
      </c>
      <c r="AV235" s="14" t="s">
        <v>82</v>
      </c>
      <c r="AW235" s="14" t="s">
        <v>33</v>
      </c>
      <c r="AX235" s="14" t="s">
        <v>72</v>
      </c>
      <c r="AY235" s="215" t="s">
        <v>380</v>
      </c>
    </row>
    <row r="236" spans="1:65" s="16" customFormat="1" ht="11.25">
      <c r="B236" s="237"/>
      <c r="C236" s="238"/>
      <c r="D236" s="196" t="s">
        <v>388</v>
      </c>
      <c r="E236" s="239" t="s">
        <v>19</v>
      </c>
      <c r="F236" s="240" t="s">
        <v>572</v>
      </c>
      <c r="G236" s="238"/>
      <c r="H236" s="241">
        <v>4</v>
      </c>
      <c r="I236" s="242"/>
      <c r="J236" s="238"/>
      <c r="K236" s="238"/>
      <c r="L236" s="243"/>
      <c r="M236" s="244"/>
      <c r="N236" s="245"/>
      <c r="O236" s="245"/>
      <c r="P236" s="245"/>
      <c r="Q236" s="245"/>
      <c r="R236" s="245"/>
      <c r="S236" s="245"/>
      <c r="T236" s="246"/>
      <c r="AT236" s="247" t="s">
        <v>388</v>
      </c>
      <c r="AU236" s="247" t="s">
        <v>82</v>
      </c>
      <c r="AV236" s="16" t="s">
        <v>99</v>
      </c>
      <c r="AW236" s="16" t="s">
        <v>33</v>
      </c>
      <c r="AX236" s="16" t="s">
        <v>72</v>
      </c>
      <c r="AY236" s="247" t="s">
        <v>380</v>
      </c>
    </row>
    <row r="237" spans="1:65" s="15" customFormat="1" ht="11.25">
      <c r="B237" s="216"/>
      <c r="C237" s="217"/>
      <c r="D237" s="196" t="s">
        <v>388</v>
      </c>
      <c r="E237" s="218" t="s">
        <v>19</v>
      </c>
      <c r="F237" s="219" t="s">
        <v>419</v>
      </c>
      <c r="G237" s="217"/>
      <c r="H237" s="220">
        <v>20</v>
      </c>
      <c r="I237" s="221"/>
      <c r="J237" s="217"/>
      <c r="K237" s="217"/>
      <c r="L237" s="222"/>
      <c r="M237" s="223"/>
      <c r="N237" s="224"/>
      <c r="O237" s="224"/>
      <c r="P237" s="224"/>
      <c r="Q237" s="224"/>
      <c r="R237" s="224"/>
      <c r="S237" s="224"/>
      <c r="T237" s="225"/>
      <c r="AT237" s="226" t="s">
        <v>388</v>
      </c>
      <c r="AU237" s="226" t="s">
        <v>82</v>
      </c>
      <c r="AV237" s="15" t="s">
        <v>386</v>
      </c>
      <c r="AW237" s="15" t="s">
        <v>33</v>
      </c>
      <c r="AX237" s="15" t="s">
        <v>79</v>
      </c>
      <c r="AY237" s="226" t="s">
        <v>380</v>
      </c>
    </row>
    <row r="238" spans="1:65" s="2" customFormat="1" ht="16.5" customHeight="1">
      <c r="A238" s="36"/>
      <c r="B238" s="37"/>
      <c r="C238" s="181" t="s">
        <v>648</v>
      </c>
      <c r="D238" s="181" t="s">
        <v>382</v>
      </c>
      <c r="E238" s="182" t="s">
        <v>3425</v>
      </c>
      <c r="F238" s="183" t="s">
        <v>3426</v>
      </c>
      <c r="G238" s="184" t="s">
        <v>641</v>
      </c>
      <c r="H238" s="185">
        <v>1</v>
      </c>
      <c r="I238" s="186"/>
      <c r="J238" s="187">
        <f>ROUND(I238*H238,2)</f>
        <v>0</v>
      </c>
      <c r="K238" s="183" t="s">
        <v>3239</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281</v>
      </c>
      <c r="AT238" s="192" t="s">
        <v>382</v>
      </c>
      <c r="AU238" s="192" t="s">
        <v>82</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3427</v>
      </c>
    </row>
    <row r="239" spans="1:65" s="2" customFormat="1" ht="16.5" customHeight="1">
      <c r="A239" s="36"/>
      <c r="B239" s="37"/>
      <c r="C239" s="227" t="s">
        <v>652</v>
      </c>
      <c r="D239" s="227" t="s">
        <v>465</v>
      </c>
      <c r="E239" s="228" t="s">
        <v>3428</v>
      </c>
      <c r="F239" s="229" t="s">
        <v>3429</v>
      </c>
      <c r="G239" s="230" t="s">
        <v>3278</v>
      </c>
      <c r="H239" s="231">
        <v>1</v>
      </c>
      <c r="I239" s="232"/>
      <c r="J239" s="233">
        <f>ROUND(I239*H239,2)</f>
        <v>0</v>
      </c>
      <c r="K239" s="229" t="s">
        <v>19</v>
      </c>
      <c r="L239" s="234"/>
      <c r="M239" s="235" t="s">
        <v>19</v>
      </c>
      <c r="N239" s="236" t="s">
        <v>43</v>
      </c>
      <c r="O239" s="66"/>
      <c r="P239" s="190">
        <f>O239*H239</f>
        <v>0</v>
      </c>
      <c r="Q239" s="190">
        <v>0.14000000000000001</v>
      </c>
      <c r="R239" s="190">
        <f>Q239*H239</f>
        <v>0.14000000000000001</v>
      </c>
      <c r="S239" s="190">
        <v>0</v>
      </c>
      <c r="T239" s="191">
        <f>S239*H239</f>
        <v>0</v>
      </c>
      <c r="U239" s="36"/>
      <c r="V239" s="36"/>
      <c r="W239" s="36"/>
      <c r="X239" s="36"/>
      <c r="Y239" s="36"/>
      <c r="Z239" s="36"/>
      <c r="AA239" s="36"/>
      <c r="AB239" s="36"/>
      <c r="AC239" s="36"/>
      <c r="AD239" s="36"/>
      <c r="AE239" s="36"/>
      <c r="AR239" s="192" t="s">
        <v>546</v>
      </c>
      <c r="AT239" s="192" t="s">
        <v>465</v>
      </c>
      <c r="AU239" s="192" t="s">
        <v>82</v>
      </c>
      <c r="AY239" s="19" t="s">
        <v>380</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281</v>
      </c>
      <c r="BM239" s="192" t="s">
        <v>3430</v>
      </c>
    </row>
    <row r="240" spans="1:65" s="2" customFormat="1" ht="48.75">
      <c r="A240" s="36"/>
      <c r="B240" s="37"/>
      <c r="C240" s="38"/>
      <c r="D240" s="196" t="s">
        <v>1226</v>
      </c>
      <c r="E240" s="38"/>
      <c r="F240" s="248" t="s">
        <v>3431</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1226</v>
      </c>
      <c r="AU240" s="19" t="s">
        <v>82</v>
      </c>
    </row>
    <row r="241" spans="1:65" s="2" customFormat="1" ht="24.2" customHeight="1">
      <c r="A241" s="36"/>
      <c r="B241" s="37"/>
      <c r="C241" s="181" t="s">
        <v>656</v>
      </c>
      <c r="D241" s="181" t="s">
        <v>382</v>
      </c>
      <c r="E241" s="182" t="s">
        <v>3432</v>
      </c>
      <c r="F241" s="183" t="s">
        <v>3433</v>
      </c>
      <c r="G241" s="184" t="s">
        <v>3014</v>
      </c>
      <c r="H241" s="257"/>
      <c r="I241" s="186"/>
      <c r="J241" s="187">
        <f>ROUND(I241*H241,2)</f>
        <v>0</v>
      </c>
      <c r="K241" s="183" t="s">
        <v>3239</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281</v>
      </c>
      <c r="AT241" s="192" t="s">
        <v>382</v>
      </c>
      <c r="AU241" s="192" t="s">
        <v>82</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3434</v>
      </c>
    </row>
    <row r="242" spans="1:65" s="2" customFormat="1" ht="24.2" customHeight="1">
      <c r="A242" s="36"/>
      <c r="B242" s="37"/>
      <c r="C242" s="181" t="s">
        <v>660</v>
      </c>
      <c r="D242" s="181" t="s">
        <v>382</v>
      </c>
      <c r="E242" s="182" t="s">
        <v>3435</v>
      </c>
      <c r="F242" s="183" t="s">
        <v>3436</v>
      </c>
      <c r="G242" s="184" t="s">
        <v>3014</v>
      </c>
      <c r="H242" s="257"/>
      <c r="I242" s="186"/>
      <c r="J242" s="187">
        <f>ROUND(I242*H242,2)</f>
        <v>0</v>
      </c>
      <c r="K242" s="183" t="s">
        <v>3239</v>
      </c>
      <c r="L242" s="41"/>
      <c r="M242" s="188" t="s">
        <v>19</v>
      </c>
      <c r="N242" s="189" t="s">
        <v>43</v>
      </c>
      <c r="O242" s="66"/>
      <c r="P242" s="190">
        <f>O242*H242</f>
        <v>0</v>
      </c>
      <c r="Q242" s="190">
        <v>0</v>
      </c>
      <c r="R242" s="190">
        <f>Q242*H242</f>
        <v>0</v>
      </c>
      <c r="S242" s="190">
        <v>0</v>
      </c>
      <c r="T242" s="191">
        <f>S242*H242</f>
        <v>0</v>
      </c>
      <c r="U242" s="36"/>
      <c r="V242" s="36"/>
      <c r="W242" s="36"/>
      <c r="X242" s="36"/>
      <c r="Y242" s="36"/>
      <c r="Z242" s="36"/>
      <c r="AA242" s="36"/>
      <c r="AB242" s="36"/>
      <c r="AC242" s="36"/>
      <c r="AD242" s="36"/>
      <c r="AE242" s="36"/>
      <c r="AR242" s="192" t="s">
        <v>281</v>
      </c>
      <c r="AT242" s="192" t="s">
        <v>382</v>
      </c>
      <c r="AU242" s="192" t="s">
        <v>82</v>
      </c>
      <c r="AY242" s="19" t="s">
        <v>380</v>
      </c>
      <c r="BE242" s="193">
        <f>IF(N242="základní",J242,0)</f>
        <v>0</v>
      </c>
      <c r="BF242" s="193">
        <f>IF(N242="snížená",J242,0)</f>
        <v>0</v>
      </c>
      <c r="BG242" s="193">
        <f>IF(N242="zákl. přenesená",J242,0)</f>
        <v>0</v>
      </c>
      <c r="BH242" s="193">
        <f>IF(N242="sníž. přenesená",J242,0)</f>
        <v>0</v>
      </c>
      <c r="BI242" s="193">
        <f>IF(N242="nulová",J242,0)</f>
        <v>0</v>
      </c>
      <c r="BJ242" s="19" t="s">
        <v>79</v>
      </c>
      <c r="BK242" s="193">
        <f>ROUND(I242*H242,2)</f>
        <v>0</v>
      </c>
      <c r="BL242" s="19" t="s">
        <v>281</v>
      </c>
      <c r="BM242" s="192" t="s">
        <v>3437</v>
      </c>
    </row>
    <row r="243" spans="1:65" s="2" customFormat="1" ht="16.5" customHeight="1">
      <c r="A243" s="36"/>
      <c r="B243" s="37"/>
      <c r="C243" s="181" t="s">
        <v>664</v>
      </c>
      <c r="D243" s="181" t="s">
        <v>382</v>
      </c>
      <c r="E243" s="182" t="s">
        <v>3438</v>
      </c>
      <c r="F243" s="183" t="s">
        <v>3439</v>
      </c>
      <c r="G243" s="184" t="s">
        <v>2389</v>
      </c>
      <c r="H243" s="185">
        <v>54</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281</v>
      </c>
      <c r="AT243" s="192" t="s">
        <v>382</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3440</v>
      </c>
    </row>
    <row r="244" spans="1:65" s="14" customFormat="1" ht="11.25">
      <c r="B244" s="205"/>
      <c r="C244" s="206"/>
      <c r="D244" s="196" t="s">
        <v>388</v>
      </c>
      <c r="E244" s="207" t="s">
        <v>19</v>
      </c>
      <c r="F244" s="208" t="s">
        <v>3441</v>
      </c>
      <c r="G244" s="206"/>
      <c r="H244" s="209">
        <v>54</v>
      </c>
      <c r="I244" s="210"/>
      <c r="J244" s="206"/>
      <c r="K244" s="206"/>
      <c r="L244" s="211"/>
      <c r="M244" s="212"/>
      <c r="N244" s="213"/>
      <c r="O244" s="213"/>
      <c r="P244" s="213"/>
      <c r="Q244" s="213"/>
      <c r="R244" s="213"/>
      <c r="S244" s="213"/>
      <c r="T244" s="214"/>
      <c r="AT244" s="215" t="s">
        <v>388</v>
      </c>
      <c r="AU244" s="215" t="s">
        <v>82</v>
      </c>
      <c r="AV244" s="14" t="s">
        <v>82</v>
      </c>
      <c r="AW244" s="14" t="s">
        <v>33</v>
      </c>
      <c r="AX244" s="14" t="s">
        <v>79</v>
      </c>
      <c r="AY244" s="215" t="s">
        <v>380</v>
      </c>
    </row>
    <row r="245" spans="1:65" s="2" customFormat="1" ht="16.5" customHeight="1">
      <c r="A245" s="36"/>
      <c r="B245" s="37"/>
      <c r="C245" s="227" t="s">
        <v>668</v>
      </c>
      <c r="D245" s="227" t="s">
        <v>465</v>
      </c>
      <c r="E245" s="228" t="s">
        <v>3442</v>
      </c>
      <c r="F245" s="229" t="s">
        <v>3443</v>
      </c>
      <c r="G245" s="230" t="s">
        <v>3278</v>
      </c>
      <c r="H245" s="231">
        <v>7</v>
      </c>
      <c r="I245" s="232"/>
      <c r="J245" s="233">
        <f>ROUND(I245*H245,2)</f>
        <v>0</v>
      </c>
      <c r="K245" s="229" t="s">
        <v>19</v>
      </c>
      <c r="L245" s="234"/>
      <c r="M245" s="235" t="s">
        <v>19</v>
      </c>
      <c r="N245" s="236"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546</v>
      </c>
      <c r="AT245" s="192" t="s">
        <v>465</v>
      </c>
      <c r="AU245" s="192" t="s">
        <v>82</v>
      </c>
      <c r="AY245" s="19" t="s">
        <v>380</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281</v>
      </c>
      <c r="BM245" s="192" t="s">
        <v>3444</v>
      </c>
    </row>
    <row r="246" spans="1:65" s="2" customFormat="1" ht="48.75">
      <c r="A246" s="36"/>
      <c r="B246" s="37"/>
      <c r="C246" s="38"/>
      <c r="D246" s="196" t="s">
        <v>1226</v>
      </c>
      <c r="E246" s="38"/>
      <c r="F246" s="248" t="s">
        <v>3445</v>
      </c>
      <c r="G246" s="38"/>
      <c r="H246" s="38"/>
      <c r="I246" s="249"/>
      <c r="J246" s="38"/>
      <c r="K246" s="38"/>
      <c r="L246" s="41"/>
      <c r="M246" s="250"/>
      <c r="N246" s="251"/>
      <c r="O246" s="66"/>
      <c r="P246" s="66"/>
      <c r="Q246" s="66"/>
      <c r="R246" s="66"/>
      <c r="S246" s="66"/>
      <c r="T246" s="67"/>
      <c r="U246" s="36"/>
      <c r="V246" s="36"/>
      <c r="W246" s="36"/>
      <c r="X246" s="36"/>
      <c r="Y246" s="36"/>
      <c r="Z246" s="36"/>
      <c r="AA246" s="36"/>
      <c r="AB246" s="36"/>
      <c r="AC246" s="36"/>
      <c r="AD246" s="36"/>
      <c r="AE246" s="36"/>
      <c r="AT246" s="19" t="s">
        <v>1226</v>
      </c>
      <c r="AU246" s="19" t="s">
        <v>82</v>
      </c>
    </row>
    <row r="247" spans="1:65" s="2" customFormat="1" ht="16.5" customHeight="1">
      <c r="A247" s="36"/>
      <c r="B247" s="37"/>
      <c r="C247" s="227" t="s">
        <v>672</v>
      </c>
      <c r="D247" s="227" t="s">
        <v>465</v>
      </c>
      <c r="E247" s="228" t="s">
        <v>3446</v>
      </c>
      <c r="F247" s="229" t="s">
        <v>3447</v>
      </c>
      <c r="G247" s="230" t="s">
        <v>3278</v>
      </c>
      <c r="H247" s="231">
        <v>2</v>
      </c>
      <c r="I247" s="232"/>
      <c r="J247" s="233">
        <f>ROUND(I247*H247,2)</f>
        <v>0</v>
      </c>
      <c r="K247" s="229" t="s">
        <v>19</v>
      </c>
      <c r="L247" s="234"/>
      <c r="M247" s="235" t="s">
        <v>19</v>
      </c>
      <c r="N247" s="236" t="s">
        <v>43</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546</v>
      </c>
      <c r="AT247" s="192" t="s">
        <v>465</v>
      </c>
      <c r="AU247" s="192" t="s">
        <v>82</v>
      </c>
      <c r="AY247" s="19" t="s">
        <v>380</v>
      </c>
      <c r="BE247" s="193">
        <f>IF(N247="základní",J247,0)</f>
        <v>0</v>
      </c>
      <c r="BF247" s="193">
        <f>IF(N247="snížená",J247,0)</f>
        <v>0</v>
      </c>
      <c r="BG247" s="193">
        <f>IF(N247="zákl. přenesená",J247,0)</f>
        <v>0</v>
      </c>
      <c r="BH247" s="193">
        <f>IF(N247="sníž. přenesená",J247,0)</f>
        <v>0</v>
      </c>
      <c r="BI247" s="193">
        <f>IF(N247="nulová",J247,0)</f>
        <v>0</v>
      </c>
      <c r="BJ247" s="19" t="s">
        <v>79</v>
      </c>
      <c r="BK247" s="193">
        <f>ROUND(I247*H247,2)</f>
        <v>0</v>
      </c>
      <c r="BL247" s="19" t="s">
        <v>281</v>
      </c>
      <c r="BM247" s="192" t="s">
        <v>3448</v>
      </c>
    </row>
    <row r="248" spans="1:65" s="2" customFormat="1" ht="48.75">
      <c r="A248" s="36"/>
      <c r="B248" s="37"/>
      <c r="C248" s="38"/>
      <c r="D248" s="196" t="s">
        <v>1226</v>
      </c>
      <c r="E248" s="38"/>
      <c r="F248" s="248" t="s">
        <v>3449</v>
      </c>
      <c r="G248" s="38"/>
      <c r="H248" s="38"/>
      <c r="I248" s="249"/>
      <c r="J248" s="38"/>
      <c r="K248" s="38"/>
      <c r="L248" s="41"/>
      <c r="M248" s="250"/>
      <c r="N248" s="251"/>
      <c r="O248" s="66"/>
      <c r="P248" s="66"/>
      <c r="Q248" s="66"/>
      <c r="R248" s="66"/>
      <c r="S248" s="66"/>
      <c r="T248" s="67"/>
      <c r="U248" s="36"/>
      <c r="V248" s="36"/>
      <c r="W248" s="36"/>
      <c r="X248" s="36"/>
      <c r="Y248" s="36"/>
      <c r="Z248" s="36"/>
      <c r="AA248" s="36"/>
      <c r="AB248" s="36"/>
      <c r="AC248" s="36"/>
      <c r="AD248" s="36"/>
      <c r="AE248" s="36"/>
      <c r="AT248" s="19" t="s">
        <v>1226</v>
      </c>
      <c r="AU248" s="19" t="s">
        <v>82</v>
      </c>
    </row>
    <row r="249" spans="1:65" s="12" customFormat="1" ht="22.9" customHeight="1">
      <c r="B249" s="165"/>
      <c r="C249" s="166"/>
      <c r="D249" s="167" t="s">
        <v>71</v>
      </c>
      <c r="E249" s="179" t="s">
        <v>3450</v>
      </c>
      <c r="F249" s="179" t="s">
        <v>3451</v>
      </c>
      <c r="G249" s="166"/>
      <c r="H249" s="166"/>
      <c r="I249" s="169"/>
      <c r="J249" s="180">
        <f>BK249</f>
        <v>0</v>
      </c>
      <c r="K249" s="166"/>
      <c r="L249" s="171"/>
      <c r="M249" s="172"/>
      <c r="N249" s="173"/>
      <c r="O249" s="173"/>
      <c r="P249" s="174">
        <f>SUM(P250:P254)</f>
        <v>0</v>
      </c>
      <c r="Q249" s="173"/>
      <c r="R249" s="174">
        <f>SUM(R250:R254)</f>
        <v>0</v>
      </c>
      <c r="S249" s="173"/>
      <c r="T249" s="175">
        <f>SUM(T250:T254)</f>
        <v>0</v>
      </c>
      <c r="AR249" s="176" t="s">
        <v>82</v>
      </c>
      <c r="AT249" s="177" t="s">
        <v>71</v>
      </c>
      <c r="AU249" s="177" t="s">
        <v>79</v>
      </c>
      <c r="AY249" s="176" t="s">
        <v>380</v>
      </c>
      <c r="BK249" s="178">
        <f>SUM(BK250:BK254)</f>
        <v>0</v>
      </c>
    </row>
    <row r="250" spans="1:65" s="2" customFormat="1" ht="16.5" customHeight="1">
      <c r="A250" s="36"/>
      <c r="B250" s="37"/>
      <c r="C250" s="227" t="s">
        <v>677</v>
      </c>
      <c r="D250" s="227" t="s">
        <v>465</v>
      </c>
      <c r="E250" s="228" t="s">
        <v>3452</v>
      </c>
      <c r="F250" s="229" t="s">
        <v>3453</v>
      </c>
      <c r="G250" s="230" t="s">
        <v>2389</v>
      </c>
      <c r="H250" s="231">
        <v>40</v>
      </c>
      <c r="I250" s="232"/>
      <c r="J250" s="233">
        <f>ROUND(I250*H250,2)</f>
        <v>0</v>
      </c>
      <c r="K250" s="229" t="s">
        <v>19</v>
      </c>
      <c r="L250" s="234"/>
      <c r="M250" s="235" t="s">
        <v>19</v>
      </c>
      <c r="N250" s="236"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546</v>
      </c>
      <c r="AT250" s="192" t="s">
        <v>465</v>
      </c>
      <c r="AU250" s="192" t="s">
        <v>82</v>
      </c>
      <c r="AY250" s="19" t="s">
        <v>380</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281</v>
      </c>
      <c r="BM250" s="192" t="s">
        <v>3454</v>
      </c>
    </row>
    <row r="251" spans="1:65" s="14" customFormat="1" ht="11.25">
      <c r="B251" s="205"/>
      <c r="C251" s="206"/>
      <c r="D251" s="196" t="s">
        <v>388</v>
      </c>
      <c r="E251" s="207" t="s">
        <v>19</v>
      </c>
      <c r="F251" s="208" t="s">
        <v>3455</v>
      </c>
      <c r="G251" s="206"/>
      <c r="H251" s="209">
        <v>40</v>
      </c>
      <c r="I251" s="210"/>
      <c r="J251" s="206"/>
      <c r="K251" s="206"/>
      <c r="L251" s="211"/>
      <c r="M251" s="212"/>
      <c r="N251" s="213"/>
      <c r="O251" s="213"/>
      <c r="P251" s="213"/>
      <c r="Q251" s="213"/>
      <c r="R251" s="213"/>
      <c r="S251" s="213"/>
      <c r="T251" s="214"/>
      <c r="AT251" s="215" t="s">
        <v>388</v>
      </c>
      <c r="AU251" s="215" t="s">
        <v>82</v>
      </c>
      <c r="AV251" s="14" t="s">
        <v>82</v>
      </c>
      <c r="AW251" s="14" t="s">
        <v>33</v>
      </c>
      <c r="AX251" s="14" t="s">
        <v>79</v>
      </c>
      <c r="AY251" s="215" t="s">
        <v>380</v>
      </c>
    </row>
    <row r="252" spans="1:65" s="2" customFormat="1" ht="16.5" customHeight="1">
      <c r="A252" s="36"/>
      <c r="B252" s="37"/>
      <c r="C252" s="181" t="s">
        <v>688</v>
      </c>
      <c r="D252" s="181" t="s">
        <v>382</v>
      </c>
      <c r="E252" s="182" t="s">
        <v>3456</v>
      </c>
      <c r="F252" s="183" t="s">
        <v>2819</v>
      </c>
      <c r="G252" s="184" t="s">
        <v>2389</v>
      </c>
      <c r="H252" s="185">
        <v>36</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281</v>
      </c>
      <c r="AT252" s="192" t="s">
        <v>382</v>
      </c>
      <c r="AU252" s="192" t="s">
        <v>82</v>
      </c>
      <c r="AY252" s="19" t="s">
        <v>380</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281</v>
      </c>
      <c r="BM252" s="192" t="s">
        <v>3457</v>
      </c>
    </row>
    <row r="253" spans="1:65" s="2" customFormat="1" ht="16.5" customHeight="1">
      <c r="A253" s="36"/>
      <c r="B253" s="37"/>
      <c r="C253" s="181" t="s">
        <v>699</v>
      </c>
      <c r="D253" s="181" t="s">
        <v>382</v>
      </c>
      <c r="E253" s="182" t="s">
        <v>3458</v>
      </c>
      <c r="F253" s="183" t="s">
        <v>3459</v>
      </c>
      <c r="G253" s="184" t="s">
        <v>2389</v>
      </c>
      <c r="H253" s="185">
        <v>36</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281</v>
      </c>
      <c r="AT253" s="192" t="s">
        <v>382</v>
      </c>
      <c r="AU253" s="192" t="s">
        <v>82</v>
      </c>
      <c r="AY253" s="19" t="s">
        <v>380</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281</v>
      </c>
      <c r="BM253" s="192" t="s">
        <v>3460</v>
      </c>
    </row>
    <row r="254" spans="1:65" s="2" customFormat="1" ht="16.5" customHeight="1">
      <c r="A254" s="36"/>
      <c r="B254" s="37"/>
      <c r="C254" s="181" t="s">
        <v>703</v>
      </c>
      <c r="D254" s="181" t="s">
        <v>382</v>
      </c>
      <c r="E254" s="182" t="s">
        <v>3461</v>
      </c>
      <c r="F254" s="183" t="s">
        <v>3462</v>
      </c>
      <c r="G254" s="184" t="s">
        <v>2389</v>
      </c>
      <c r="H254" s="185">
        <v>36</v>
      </c>
      <c r="I254" s="186"/>
      <c r="J254" s="187">
        <f>ROUND(I254*H254,2)</f>
        <v>0</v>
      </c>
      <c r="K254" s="183" t="s">
        <v>19</v>
      </c>
      <c r="L254" s="41"/>
      <c r="M254" s="252" t="s">
        <v>19</v>
      </c>
      <c r="N254" s="253" t="s">
        <v>43</v>
      </c>
      <c r="O254" s="254"/>
      <c r="P254" s="255">
        <f>O254*H254</f>
        <v>0</v>
      </c>
      <c r="Q254" s="255">
        <v>0</v>
      </c>
      <c r="R254" s="255">
        <f>Q254*H254</f>
        <v>0</v>
      </c>
      <c r="S254" s="255">
        <v>0</v>
      </c>
      <c r="T254" s="256">
        <f>S254*H254</f>
        <v>0</v>
      </c>
      <c r="U254" s="36"/>
      <c r="V254" s="36"/>
      <c r="W254" s="36"/>
      <c r="X254" s="36"/>
      <c r="Y254" s="36"/>
      <c r="Z254" s="36"/>
      <c r="AA254" s="36"/>
      <c r="AB254" s="36"/>
      <c r="AC254" s="36"/>
      <c r="AD254" s="36"/>
      <c r="AE254" s="36"/>
      <c r="AR254" s="192" t="s">
        <v>281</v>
      </c>
      <c r="AT254" s="192" t="s">
        <v>382</v>
      </c>
      <c r="AU254" s="192" t="s">
        <v>82</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281</v>
      </c>
      <c r="BM254" s="192" t="s">
        <v>3463</v>
      </c>
    </row>
    <row r="255" spans="1:65" s="2" customFormat="1" ht="6.95" customHeight="1">
      <c r="A255" s="36"/>
      <c r="B255" s="49"/>
      <c r="C255" s="50"/>
      <c r="D255" s="50"/>
      <c r="E255" s="50"/>
      <c r="F255" s="50"/>
      <c r="G255" s="50"/>
      <c r="H255" s="50"/>
      <c r="I255" s="50"/>
      <c r="J255" s="50"/>
      <c r="K255" s="50"/>
      <c r="L255" s="41"/>
      <c r="M255" s="36"/>
      <c r="O255" s="36"/>
      <c r="P255" s="36"/>
      <c r="Q255" s="36"/>
      <c r="R255" s="36"/>
      <c r="S255" s="36"/>
      <c r="T255" s="36"/>
      <c r="U255" s="36"/>
      <c r="V255" s="36"/>
      <c r="W255" s="36"/>
      <c r="X255" s="36"/>
      <c r="Y255" s="36"/>
      <c r="Z255" s="36"/>
      <c r="AA255" s="36"/>
      <c r="AB255" s="36"/>
      <c r="AC255" s="36"/>
      <c r="AD255" s="36"/>
      <c r="AE255" s="36"/>
    </row>
  </sheetData>
  <sheetProtection algorithmName="SHA-512" hashValue="qfLO9wofbjHRo2Kr7zAFHX1U6CK0MB/XCe2+Q9i0owKZumd56wA327BfkfWIZWpFLZt6iVTR23SnSBZA1/4X9A==" saltValue="WlhYt6j3j8B+2gy35mtf0up+iTcd7XuoQ4TigXbrluFQYTFCLJS4rgx6+E/k+ZPzWb0OfSLhYN0ZoN6oV+O1jg==" spinCount="100000" sheet="1" objects="1" scenarios="1" formatColumns="0" formatRows="0" autoFilter="0"/>
  <autoFilter ref="C94:K25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3464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02 - Badatelna a kancelář</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347</v>
      </c>
      <c r="E69" s="151"/>
      <c r="F69" s="151"/>
      <c r="G69" s="151"/>
      <c r="H69" s="151"/>
      <c r="I69" s="151"/>
      <c r="J69" s="152">
        <f>J98</f>
        <v>0</v>
      </c>
      <c r="K69" s="99"/>
      <c r="L69" s="153"/>
    </row>
    <row r="70" spans="1:47" s="10" customFormat="1" ht="19.899999999999999" customHeight="1">
      <c r="B70" s="149"/>
      <c r="C70" s="99"/>
      <c r="D70" s="150" t="s">
        <v>3235</v>
      </c>
      <c r="E70" s="151"/>
      <c r="F70" s="151"/>
      <c r="G70" s="151"/>
      <c r="H70" s="151"/>
      <c r="I70" s="151"/>
      <c r="J70" s="152">
        <f>J109</f>
        <v>0</v>
      </c>
      <c r="K70" s="99"/>
      <c r="L70" s="153"/>
    </row>
    <row r="71" spans="1:47" s="10" customFormat="1" ht="19.899999999999999" customHeight="1">
      <c r="B71" s="149"/>
      <c r="C71" s="99"/>
      <c r="D71" s="150" t="s">
        <v>3236</v>
      </c>
      <c r="E71" s="151"/>
      <c r="F71" s="151"/>
      <c r="G71" s="151"/>
      <c r="H71" s="151"/>
      <c r="I71" s="151"/>
      <c r="J71" s="152">
        <f>J152</f>
        <v>0</v>
      </c>
      <c r="K71" s="99"/>
      <c r="L71" s="153"/>
    </row>
    <row r="72" spans="1:47" s="10" customFormat="1" ht="19.899999999999999" customHeight="1">
      <c r="B72" s="149"/>
      <c r="C72" s="99"/>
      <c r="D72" s="150" t="s">
        <v>3465</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3229</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02 - Badatelna a kancelář</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2.0889900000000003</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P98+P109+P152+P158</f>
        <v>0</v>
      </c>
      <c r="Q97" s="173"/>
      <c r="R97" s="174">
        <f>R98+R109+R152+R158</f>
        <v>2.0889900000000003</v>
      </c>
      <c r="S97" s="173"/>
      <c r="T97" s="175">
        <f>T98+T109+T152+T158</f>
        <v>0</v>
      </c>
      <c r="AR97" s="176" t="s">
        <v>82</v>
      </c>
      <c r="AT97" s="177" t="s">
        <v>71</v>
      </c>
      <c r="AU97" s="177" t="s">
        <v>72</v>
      </c>
      <c r="AY97" s="176" t="s">
        <v>380</v>
      </c>
      <c r="BK97" s="178">
        <f>BK98+BK109+BK152+BK158</f>
        <v>0</v>
      </c>
    </row>
    <row r="98" spans="1:65" s="12" customFormat="1" ht="22.9" customHeight="1">
      <c r="B98" s="165"/>
      <c r="C98" s="166"/>
      <c r="D98" s="167" t="s">
        <v>71</v>
      </c>
      <c r="E98" s="179" t="s">
        <v>1523</v>
      </c>
      <c r="F98" s="179" t="s">
        <v>1524</v>
      </c>
      <c r="G98" s="166"/>
      <c r="H98" s="166"/>
      <c r="I98" s="169"/>
      <c r="J98" s="180">
        <f>BK98</f>
        <v>0</v>
      </c>
      <c r="K98" s="166"/>
      <c r="L98" s="171"/>
      <c r="M98" s="172"/>
      <c r="N98" s="173"/>
      <c r="O98" s="173"/>
      <c r="P98" s="174">
        <f>SUM(P99:P108)</f>
        <v>0</v>
      </c>
      <c r="Q98" s="173"/>
      <c r="R98" s="174">
        <f>SUM(R99:R108)</f>
        <v>0.53619000000000006</v>
      </c>
      <c r="S98" s="173"/>
      <c r="T98" s="175">
        <f>SUM(T99:T108)</f>
        <v>0</v>
      </c>
      <c r="AR98" s="176" t="s">
        <v>82</v>
      </c>
      <c r="AT98" s="177" t="s">
        <v>71</v>
      </c>
      <c r="AU98" s="177" t="s">
        <v>79</v>
      </c>
      <c r="AY98" s="176" t="s">
        <v>380</v>
      </c>
      <c r="BK98" s="178">
        <f>SUM(BK99:BK108)</f>
        <v>0</v>
      </c>
    </row>
    <row r="99" spans="1:65" s="2" customFormat="1" ht="24.2" customHeight="1">
      <c r="A99" s="36"/>
      <c r="B99" s="37"/>
      <c r="C99" s="181" t="s">
        <v>79</v>
      </c>
      <c r="D99" s="181" t="s">
        <v>382</v>
      </c>
      <c r="E99" s="182" t="s">
        <v>3237</v>
      </c>
      <c r="F99" s="183" t="s">
        <v>3238</v>
      </c>
      <c r="G99" s="184" t="s">
        <v>398</v>
      </c>
      <c r="H99" s="185">
        <v>148.5</v>
      </c>
      <c r="I99" s="186"/>
      <c r="J99" s="187">
        <f>ROUND(I99*H99,2)</f>
        <v>0</v>
      </c>
      <c r="K99" s="183" t="s">
        <v>3239</v>
      </c>
      <c r="L99" s="41"/>
      <c r="M99" s="188" t="s">
        <v>19</v>
      </c>
      <c r="N99" s="189" t="s">
        <v>43</v>
      </c>
      <c r="O99" s="66"/>
      <c r="P99" s="190">
        <f>O99*H99</f>
        <v>0</v>
      </c>
      <c r="Q99" s="190">
        <v>1.5100000000000001E-3</v>
      </c>
      <c r="R99" s="190">
        <f>Q99*H99</f>
        <v>0.22423500000000002</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3466</v>
      </c>
    </row>
    <row r="100" spans="1:65" s="2" customFormat="1" ht="16.5" customHeight="1">
      <c r="A100" s="36"/>
      <c r="B100" s="37"/>
      <c r="C100" s="227" t="s">
        <v>82</v>
      </c>
      <c r="D100" s="227" t="s">
        <v>465</v>
      </c>
      <c r="E100" s="228" t="s">
        <v>3241</v>
      </c>
      <c r="F100" s="229" t="s">
        <v>3242</v>
      </c>
      <c r="G100" s="230" t="s">
        <v>398</v>
      </c>
      <c r="H100" s="231">
        <v>134</v>
      </c>
      <c r="I100" s="232"/>
      <c r="J100" s="233">
        <f>ROUND(I100*H100,2)</f>
        <v>0</v>
      </c>
      <c r="K100" s="229" t="s">
        <v>3239</v>
      </c>
      <c r="L100" s="234"/>
      <c r="M100" s="235" t="s">
        <v>19</v>
      </c>
      <c r="N100" s="236" t="s">
        <v>43</v>
      </c>
      <c r="O100" s="66"/>
      <c r="P100" s="190">
        <f>O100*H100</f>
        <v>0</v>
      </c>
      <c r="Q100" s="190">
        <v>2E-3</v>
      </c>
      <c r="R100" s="190">
        <f>Q100*H100</f>
        <v>0.26800000000000002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3467</v>
      </c>
    </row>
    <row r="101" spans="1:65" s="14" customFormat="1" ht="11.25">
      <c r="B101" s="205"/>
      <c r="C101" s="206"/>
      <c r="D101" s="196" t="s">
        <v>388</v>
      </c>
      <c r="E101" s="207" t="s">
        <v>19</v>
      </c>
      <c r="F101" s="208" t="s">
        <v>3468</v>
      </c>
      <c r="G101" s="206"/>
      <c r="H101" s="209">
        <v>134</v>
      </c>
      <c r="I101" s="210"/>
      <c r="J101" s="206"/>
      <c r="K101" s="206"/>
      <c r="L101" s="211"/>
      <c r="M101" s="212"/>
      <c r="N101" s="213"/>
      <c r="O101" s="213"/>
      <c r="P101" s="213"/>
      <c r="Q101" s="213"/>
      <c r="R101" s="213"/>
      <c r="S101" s="213"/>
      <c r="T101" s="214"/>
      <c r="AT101" s="215" t="s">
        <v>388</v>
      </c>
      <c r="AU101" s="215" t="s">
        <v>82</v>
      </c>
      <c r="AV101" s="14" t="s">
        <v>82</v>
      </c>
      <c r="AW101" s="14" t="s">
        <v>33</v>
      </c>
      <c r="AX101" s="14" t="s">
        <v>79</v>
      </c>
      <c r="AY101" s="215" t="s">
        <v>380</v>
      </c>
    </row>
    <row r="102" spans="1:65" s="2" customFormat="1" ht="16.5" customHeight="1">
      <c r="A102" s="36"/>
      <c r="B102" s="37"/>
      <c r="C102" s="227" t="s">
        <v>99</v>
      </c>
      <c r="D102" s="227" t="s">
        <v>465</v>
      </c>
      <c r="E102" s="228" t="s">
        <v>3245</v>
      </c>
      <c r="F102" s="229" t="s">
        <v>3246</v>
      </c>
      <c r="G102" s="230" t="s">
        <v>398</v>
      </c>
      <c r="H102" s="231">
        <v>14.5</v>
      </c>
      <c r="I102" s="232"/>
      <c r="J102" s="233">
        <f>ROUND(I102*H102,2)</f>
        <v>0</v>
      </c>
      <c r="K102" s="229" t="s">
        <v>3239</v>
      </c>
      <c r="L102" s="234"/>
      <c r="M102" s="235" t="s">
        <v>19</v>
      </c>
      <c r="N102" s="236" t="s">
        <v>43</v>
      </c>
      <c r="O102" s="66"/>
      <c r="P102" s="190">
        <f>O102*H102</f>
        <v>0</v>
      </c>
      <c r="Q102" s="190">
        <v>3.0000000000000001E-3</v>
      </c>
      <c r="R102" s="190">
        <f>Q102*H102</f>
        <v>4.3500000000000004E-2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3469</v>
      </c>
    </row>
    <row r="103" spans="1:65" s="14" customFormat="1" ht="11.25">
      <c r="B103" s="205"/>
      <c r="C103" s="206"/>
      <c r="D103" s="196" t="s">
        <v>388</v>
      </c>
      <c r="E103" s="207" t="s">
        <v>19</v>
      </c>
      <c r="F103" s="208" t="s">
        <v>3470</v>
      </c>
      <c r="G103" s="206"/>
      <c r="H103" s="209">
        <v>14.5</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6.5</v>
      </c>
      <c r="I104" s="186"/>
      <c r="J104" s="187">
        <f>ROUND(I104*H104,2)</f>
        <v>0</v>
      </c>
      <c r="K104" s="183" t="s">
        <v>3239</v>
      </c>
      <c r="L104" s="41"/>
      <c r="M104" s="188" t="s">
        <v>19</v>
      </c>
      <c r="N104" s="189" t="s">
        <v>43</v>
      </c>
      <c r="O104" s="66"/>
      <c r="P104" s="190">
        <f>O104*H104</f>
        <v>0</v>
      </c>
      <c r="Q104" s="190">
        <v>6.9999999999999994E-5</v>
      </c>
      <c r="R104" s="190">
        <f>Q104*H104</f>
        <v>4.5499999999999995E-4</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3471</v>
      </c>
    </row>
    <row r="105" spans="1:65" s="2" customFormat="1" ht="16.5" customHeight="1">
      <c r="A105" s="36"/>
      <c r="B105" s="37"/>
      <c r="C105" s="227" t="s">
        <v>405</v>
      </c>
      <c r="D105" s="227" t="s">
        <v>465</v>
      </c>
      <c r="E105" s="228" t="s">
        <v>3261</v>
      </c>
      <c r="F105" s="229" t="s">
        <v>3262</v>
      </c>
      <c r="G105" s="230" t="s">
        <v>398</v>
      </c>
      <c r="H105" s="231">
        <v>6.5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3472</v>
      </c>
    </row>
    <row r="106" spans="1:65" s="14" customFormat="1" ht="11.25">
      <c r="B106" s="205"/>
      <c r="C106" s="206"/>
      <c r="D106" s="196" t="s">
        <v>388</v>
      </c>
      <c r="E106" s="207" t="s">
        <v>19</v>
      </c>
      <c r="F106" s="208" t="s">
        <v>3473</v>
      </c>
      <c r="G106" s="206"/>
      <c r="H106" s="209">
        <v>6.5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3474</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3475</v>
      </c>
    </row>
    <row r="109" spans="1:65" s="12" customFormat="1" ht="22.9" customHeight="1">
      <c r="B109" s="165"/>
      <c r="C109" s="166"/>
      <c r="D109" s="167" t="s">
        <v>71</v>
      </c>
      <c r="E109" s="179" t="s">
        <v>3271</v>
      </c>
      <c r="F109" s="179" t="s">
        <v>3272</v>
      </c>
      <c r="G109" s="166"/>
      <c r="H109" s="166"/>
      <c r="I109" s="169"/>
      <c r="J109" s="180">
        <f>BK109</f>
        <v>0</v>
      </c>
      <c r="K109" s="166"/>
      <c r="L109" s="171"/>
      <c r="M109" s="172"/>
      <c r="N109" s="173"/>
      <c r="O109" s="173"/>
      <c r="P109" s="174">
        <f>SUM(P110:P151)</f>
        <v>0</v>
      </c>
      <c r="Q109" s="173"/>
      <c r="R109" s="174">
        <f>SUM(R110:R151)</f>
        <v>1.5528000000000004</v>
      </c>
      <c r="S109" s="173"/>
      <c r="T109" s="175">
        <f>SUM(T110:T151)</f>
        <v>0</v>
      </c>
      <c r="AR109" s="176" t="s">
        <v>82</v>
      </c>
      <c r="AT109" s="177" t="s">
        <v>71</v>
      </c>
      <c r="AU109" s="177" t="s">
        <v>79</v>
      </c>
      <c r="AY109" s="176" t="s">
        <v>380</v>
      </c>
      <c r="BK109" s="178">
        <f>SUM(BK110:BK151)</f>
        <v>0</v>
      </c>
    </row>
    <row r="110" spans="1:65" s="2" customFormat="1" ht="24.2" customHeight="1">
      <c r="A110" s="36"/>
      <c r="B110" s="37"/>
      <c r="C110" s="181" t="s">
        <v>424</v>
      </c>
      <c r="D110" s="181" t="s">
        <v>382</v>
      </c>
      <c r="E110" s="182" t="s">
        <v>3476</v>
      </c>
      <c r="F110" s="183" t="s">
        <v>3477</v>
      </c>
      <c r="G110" s="184" t="s">
        <v>641</v>
      </c>
      <c r="H110" s="185">
        <v>24</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3478</v>
      </c>
    </row>
    <row r="111" spans="1:65" s="2" customFormat="1" ht="24.2" customHeight="1">
      <c r="A111" s="36"/>
      <c r="B111" s="37"/>
      <c r="C111" s="227" t="s">
        <v>430</v>
      </c>
      <c r="D111" s="227" t="s">
        <v>465</v>
      </c>
      <c r="E111" s="228" t="s">
        <v>3479</v>
      </c>
      <c r="F111" s="229" t="s">
        <v>3480</v>
      </c>
      <c r="G111" s="230" t="s">
        <v>3278</v>
      </c>
      <c r="H111" s="231">
        <v>12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3481</v>
      </c>
    </row>
    <row r="112" spans="1:65" s="2" customFormat="1" ht="19.5">
      <c r="A112" s="36"/>
      <c r="B112" s="37"/>
      <c r="C112" s="38"/>
      <c r="D112" s="196" t="s">
        <v>1226</v>
      </c>
      <c r="E112" s="38"/>
      <c r="F112" s="248" t="s">
        <v>3482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24.2" customHeight="1">
      <c r="A113" s="36"/>
      <c r="B113" s="37"/>
      <c r="C113" s="227" t="s">
        <v>122</v>
      </c>
      <c r="D113" s="227" t="s">
        <v>465</v>
      </c>
      <c r="E113" s="228" t="s">
        <v>3483</v>
      </c>
      <c r="F113" s="229" t="s">
        <v>3484</v>
      </c>
      <c r="G113" s="230" t="s">
        <v>3278</v>
      </c>
      <c r="H113" s="231">
        <v>12</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3485</v>
      </c>
    </row>
    <row r="114" spans="1:65" s="2" customFormat="1" ht="19.5">
      <c r="A114" s="36"/>
      <c r="B114" s="37"/>
      <c r="C114" s="38"/>
      <c r="D114" s="196" t="s">
        <v>1226</v>
      </c>
      <c r="E114" s="38"/>
      <c r="F114" s="248" t="s">
        <v>3486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125</v>
      </c>
      <c r="D115" s="181" t="s">
        <v>382</v>
      </c>
      <c r="E115" s="182" t="s">
        <v>3301</v>
      </c>
      <c r="F115" s="183" t="s">
        <v>3302</v>
      </c>
      <c r="G115" s="184" t="s">
        <v>641</v>
      </c>
      <c r="H115" s="185">
        <v>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3487</v>
      </c>
    </row>
    <row r="116" spans="1:65" s="2" customFormat="1" ht="16.5" customHeight="1">
      <c r="A116" s="36"/>
      <c r="B116" s="37"/>
      <c r="C116" s="227" t="s">
        <v>128</v>
      </c>
      <c r="D116" s="227" t="s">
        <v>465</v>
      </c>
      <c r="E116" s="228" t="s">
        <v>3304</v>
      </c>
      <c r="F116" s="229" t="s">
        <v>3488</v>
      </c>
      <c r="G116" s="230" t="s">
        <v>3278</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3489</v>
      </c>
    </row>
    <row r="117" spans="1:65" s="2" customFormat="1" ht="39">
      <c r="A117" s="36"/>
      <c r="B117" s="37"/>
      <c r="C117" s="38"/>
      <c r="D117" s="196" t="s">
        <v>1226</v>
      </c>
      <c r="E117" s="38"/>
      <c r="F117" s="248" t="s">
        <v>3490</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131</v>
      </c>
      <c r="D118" s="181" t="s">
        <v>382</v>
      </c>
      <c r="E118" s="182" t="s">
        <v>3308</v>
      </c>
      <c r="F118" s="183" t="s">
        <v>3309</v>
      </c>
      <c r="G118" s="184" t="s">
        <v>641</v>
      </c>
      <c r="H118" s="185">
        <v>2</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3491</v>
      </c>
    </row>
    <row r="119" spans="1:65" s="2" customFormat="1" ht="16.5" customHeight="1">
      <c r="A119" s="36"/>
      <c r="B119" s="37"/>
      <c r="C119" s="227" t="s">
        <v>134</v>
      </c>
      <c r="D119" s="227" t="s">
        <v>465</v>
      </c>
      <c r="E119" s="228" t="s">
        <v>3311</v>
      </c>
      <c r="F119" s="229" t="s">
        <v>3492</v>
      </c>
      <c r="G119" s="230" t="s">
        <v>3278</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3493</v>
      </c>
    </row>
    <row r="120" spans="1:65" s="2" customFormat="1" ht="48.75">
      <c r="A120" s="36"/>
      <c r="B120" s="37"/>
      <c r="C120" s="38"/>
      <c r="D120" s="196" t="s">
        <v>1226</v>
      </c>
      <c r="E120" s="38"/>
      <c r="F120" s="248" t="s">
        <v>3494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8</v>
      </c>
      <c r="D121" s="181" t="s">
        <v>382</v>
      </c>
      <c r="E121" s="182" t="s">
        <v>3353</v>
      </c>
      <c r="F121" s="183" t="s">
        <v>3354</v>
      </c>
      <c r="G121" s="184" t="s">
        <v>452</v>
      </c>
      <c r="H121" s="185">
        <v>179.4</v>
      </c>
      <c r="I121" s="186"/>
      <c r="J121" s="187">
        <f>ROUND(I121*H121,2)</f>
        <v>0</v>
      </c>
      <c r="K121" s="183" t="s">
        <v>3239</v>
      </c>
      <c r="L121" s="41"/>
      <c r="M121" s="188" t="s">
        <v>19</v>
      </c>
      <c r="N121" s="189" t="s">
        <v>43</v>
      </c>
      <c r="O121" s="66"/>
      <c r="P121" s="190">
        <f>O121*H121</f>
        <v>0</v>
      </c>
      <c r="Q121" s="190">
        <v>6.5300000000000002E-3</v>
      </c>
      <c r="R121" s="190">
        <f>Q121*H121</f>
        <v>1.1714820000000001</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3495</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3496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3497</v>
      </c>
      <c r="G124" s="206"/>
      <c r="H124" s="209">
        <v>102.05</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3498</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3499</v>
      </c>
      <c r="G126" s="206"/>
      <c r="H126" s="209">
        <v>77.349999999999994</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419</v>
      </c>
      <c r="G127" s="217"/>
      <c r="H127" s="220">
        <v>179.39999999999998</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24.2" customHeight="1">
      <c r="A128" s="36"/>
      <c r="B128" s="37"/>
      <c r="C128" s="181" t="s">
        <v>281</v>
      </c>
      <c r="D128" s="181" t="s">
        <v>382</v>
      </c>
      <c r="E128" s="182" t="s">
        <v>3500</v>
      </c>
      <c r="F128" s="183" t="s">
        <v>3501</v>
      </c>
      <c r="G128" s="184" t="s">
        <v>452</v>
      </c>
      <c r="H128" s="185">
        <v>7.8</v>
      </c>
      <c r="I128" s="186"/>
      <c r="J128" s="187">
        <f>ROUND(I128*H128,2)</f>
        <v>0</v>
      </c>
      <c r="K128" s="183" t="s">
        <v>3239</v>
      </c>
      <c r="L128" s="41"/>
      <c r="M128" s="188" t="s">
        <v>19</v>
      </c>
      <c r="N128" s="189" t="s">
        <v>43</v>
      </c>
      <c r="O128" s="66"/>
      <c r="P128" s="190">
        <f>O128*H128</f>
        <v>0</v>
      </c>
      <c r="Q128" s="190">
        <v>1.081E-2</v>
      </c>
      <c r="R128" s="190">
        <f>Q128*H128</f>
        <v>8.4318000000000004E-2</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3502</v>
      </c>
    </row>
    <row r="129" spans="1:65" s="2" customFormat="1" ht="29.25">
      <c r="A129" s="36"/>
      <c r="B129" s="37"/>
      <c r="C129" s="38"/>
      <c r="D129" s="196" t="s">
        <v>1226</v>
      </c>
      <c r="E129" s="38"/>
      <c r="F129" s="248" t="s">
        <v>3318</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82</v>
      </c>
    </row>
    <row r="130" spans="1:65" s="13" customFormat="1" ht="11.25">
      <c r="B130" s="194"/>
      <c r="C130" s="195"/>
      <c r="D130" s="196" t="s">
        <v>388</v>
      </c>
      <c r="E130" s="197" t="s">
        <v>19</v>
      </c>
      <c r="F130" s="198" t="s">
        <v>3503</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3504</v>
      </c>
      <c r="G131" s="206"/>
      <c r="H131" s="209">
        <v>7.8</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7.8</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471</v>
      </c>
      <c r="D133" s="181" t="s">
        <v>382</v>
      </c>
      <c r="E133" s="182" t="s">
        <v>3358</v>
      </c>
      <c r="F133" s="183" t="s">
        <v>3359</v>
      </c>
      <c r="G133" s="184" t="s">
        <v>641</v>
      </c>
      <c r="H133" s="185">
        <v>1</v>
      </c>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3505</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2" customFormat="1" ht="16.5" customHeight="1">
      <c r="A135" s="36"/>
      <c r="B135" s="37"/>
      <c r="C135" s="227" t="s">
        <v>477</v>
      </c>
      <c r="D135" s="227" t="s">
        <v>465</v>
      </c>
      <c r="E135" s="228" t="s">
        <v>3361</v>
      </c>
      <c r="F135" s="229" t="s">
        <v>3362</v>
      </c>
      <c r="G135" s="230" t="s">
        <v>3278</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546</v>
      </c>
      <c r="AT135" s="192" t="s">
        <v>465</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3506</v>
      </c>
    </row>
    <row r="136" spans="1:65" s="2" customFormat="1" ht="19.5">
      <c r="A136" s="36"/>
      <c r="B136" s="37"/>
      <c r="C136" s="38"/>
      <c r="D136" s="196" t="s">
        <v>1226</v>
      </c>
      <c r="E136" s="38"/>
      <c r="F136" s="248" t="s">
        <v>3364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2" customFormat="1" ht="24.2" customHeight="1">
      <c r="A137" s="36"/>
      <c r="B137" s="37"/>
      <c r="C137" s="181" t="s">
        <v>284</v>
      </c>
      <c r="D137" s="181" t="s">
        <v>382</v>
      </c>
      <c r="E137" s="182" t="s">
        <v>3507</v>
      </c>
      <c r="F137" s="183" t="s">
        <v>3508</v>
      </c>
      <c r="G137" s="184" t="s">
        <v>641</v>
      </c>
      <c r="H137" s="185">
        <v>2</v>
      </c>
      <c r="I137" s="186"/>
      <c r="J137" s="187">
        <f>ROUND(I137*H137,2)</f>
        <v>0</v>
      </c>
      <c r="K137" s="183" t="s">
        <v>3239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3509</v>
      </c>
    </row>
    <row r="138" spans="1:65" s="2" customFormat="1" ht="16.5" customHeight="1">
      <c r="A138" s="36"/>
      <c r="B138" s="37"/>
      <c r="C138" s="227" t="s">
        <v>486</v>
      </c>
      <c r="D138" s="227" t="s">
        <v>465</v>
      </c>
      <c r="E138" s="228" t="s">
        <v>3368</v>
      </c>
      <c r="F138" s="229" t="s">
        <v>3510</v>
      </c>
      <c r="G138" s="230" t="s">
        <v>3278</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546</v>
      </c>
      <c r="AT138" s="192" t="s">
        <v>465</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3511</v>
      </c>
    </row>
    <row r="139" spans="1:65" s="2" customFormat="1" ht="19.5">
      <c r="A139" s="36"/>
      <c r="B139" s="37"/>
      <c r="C139" s="38"/>
      <c r="D139" s="196" t="s">
        <v>1226</v>
      </c>
      <c r="E139" s="38"/>
      <c r="F139" s="248" t="s">
        <v>3512</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1226</v>
      </c>
      <c r="AU139" s="19" t="s">
        <v>82</v>
      </c>
    </row>
    <row r="140" spans="1:65" s="2" customFormat="1" ht="21.75" customHeight="1">
      <c r="A140" s="36"/>
      <c r="B140" s="37"/>
      <c r="C140" s="181" t="s">
        <v>7</v>
      </c>
      <c r="D140" s="181" t="s">
        <v>382</v>
      </c>
      <c r="E140" s="182" t="s">
        <v>3372</v>
      </c>
      <c r="F140" s="183" t="s">
        <v>3373</v>
      </c>
      <c r="G140" s="184" t="s">
        <v>452</v>
      </c>
      <c r="H140" s="185">
        <v>13.65</v>
      </c>
      <c r="I140" s="186"/>
      <c r="J140" s="187">
        <f>ROUND(I140*H140,2)</f>
        <v>0</v>
      </c>
      <c r="K140" s="183" t="s">
        <v>3239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3513</v>
      </c>
    </row>
    <row r="141" spans="1:65" s="2" customFormat="1" ht="16.5" customHeight="1">
      <c r="A141" s="36"/>
      <c r="B141" s="37"/>
      <c r="C141" s="227" t="s">
        <v>495</v>
      </c>
      <c r="D141" s="227" t="s">
        <v>465</v>
      </c>
      <c r="E141" s="228" t="s">
        <v>3514</v>
      </c>
      <c r="F141" s="229" t="s">
        <v>3515</v>
      </c>
      <c r="G141" s="230" t="s">
        <v>452</v>
      </c>
      <c r="H141" s="231">
        <v>13.65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546</v>
      </c>
      <c r="AT141" s="192" t="s">
        <v>465</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3516</v>
      </c>
    </row>
    <row r="142" spans="1:65" s="2" customFormat="1" ht="117">
      <c r="A142" s="36"/>
      <c r="B142" s="37"/>
      <c r="C142" s="38"/>
      <c r="D142" s="196" t="s">
        <v>1226</v>
      </c>
      <c r="E142" s="38"/>
      <c r="F142" s="248" t="s">
        <v>3378</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14" customFormat="1" ht="11.25">
      <c r="B143" s="205"/>
      <c r="C143" s="206"/>
      <c r="D143" s="196" t="s">
        <v>388</v>
      </c>
      <c r="E143" s="207" t="s">
        <v>19</v>
      </c>
      <c r="F143" s="208" t="s">
        <v>3517</v>
      </c>
      <c r="G143" s="206"/>
      <c r="H143" s="209">
        <v>13.65</v>
      </c>
      <c r="I143" s="210"/>
      <c r="J143" s="206"/>
      <c r="K143" s="206"/>
      <c r="L143" s="211"/>
      <c r="M143" s="212"/>
      <c r="N143" s="213"/>
      <c r="O143" s="213"/>
      <c r="P143" s="213"/>
      <c r="Q143" s="213"/>
      <c r="R143" s="213"/>
      <c r="S143" s="213"/>
      <c r="T143" s="214"/>
      <c r="AT143" s="215" t="s">
        <v>388</v>
      </c>
      <c r="AU143" s="215" t="s">
        <v>82</v>
      </c>
      <c r="AV143" s="14" t="s">
        <v>82</v>
      </c>
      <c r="AW143" s="14" t="s">
        <v>33</v>
      </c>
      <c r="AX143" s="14" t="s">
        <v>72</v>
      </c>
      <c r="AY143" s="215" t="s">
        <v>380</v>
      </c>
    </row>
    <row r="144" spans="1:65" s="15" customFormat="1" ht="11.25">
      <c r="B144" s="216"/>
      <c r="C144" s="217"/>
      <c r="D144" s="196" t="s">
        <v>388</v>
      </c>
      <c r="E144" s="218" t="s">
        <v>19</v>
      </c>
      <c r="F144" s="219" t="s">
        <v>419</v>
      </c>
      <c r="G144" s="217"/>
      <c r="H144" s="220">
        <v>13.65</v>
      </c>
      <c r="I144" s="221"/>
      <c r="J144" s="217"/>
      <c r="K144" s="217"/>
      <c r="L144" s="222"/>
      <c r="M144" s="223"/>
      <c r="N144" s="224"/>
      <c r="O144" s="224"/>
      <c r="P144" s="224"/>
      <c r="Q144" s="224"/>
      <c r="R144" s="224"/>
      <c r="S144" s="224"/>
      <c r="T144" s="225"/>
      <c r="AT144" s="226" t="s">
        <v>388</v>
      </c>
      <c r="AU144" s="226" t="s">
        <v>82</v>
      </c>
      <c r="AV144" s="15" t="s">
        <v>386</v>
      </c>
      <c r="AW144" s="15" t="s">
        <v>33</v>
      </c>
      <c r="AX144" s="15" t="s">
        <v>79</v>
      </c>
      <c r="AY144" s="226" t="s">
        <v>380</v>
      </c>
    </row>
    <row r="145" spans="1:65" s="2" customFormat="1" ht="24.2" customHeight="1">
      <c r="A145" s="36"/>
      <c r="B145" s="37"/>
      <c r="C145" s="181" t="s">
        <v>500</v>
      </c>
      <c r="D145" s="181" t="s">
        <v>382</v>
      </c>
      <c r="E145" s="182" t="s">
        <v>3396</v>
      </c>
      <c r="F145" s="183" t="s">
        <v>3397</v>
      </c>
      <c r="G145" s="184" t="s">
        <v>452</v>
      </c>
      <c r="H145" s="185">
        <v>180</v>
      </c>
      <c r="I145" s="186"/>
      <c r="J145" s="187">
        <f>ROUND(I145*H145,2)</f>
        <v>0</v>
      </c>
      <c r="K145" s="183" t="s">
        <v>3239</v>
      </c>
      <c r="L145" s="41"/>
      <c r="M145" s="188" t="s">
        <v>19</v>
      </c>
      <c r="N145" s="189" t="s">
        <v>43</v>
      </c>
      <c r="O145" s="66"/>
      <c r="P145" s="190">
        <f>O145*H145</f>
        <v>0</v>
      </c>
      <c r="Q145" s="190">
        <v>8.3000000000000001E-4</v>
      </c>
      <c r="R145" s="190">
        <f>Q145*H145</f>
        <v>0.14940000000000001</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3518</v>
      </c>
    </row>
    <row r="146" spans="1:65" s="2" customFormat="1" ht="24.2" customHeight="1">
      <c r="A146" s="36"/>
      <c r="B146" s="37"/>
      <c r="C146" s="181" t="s">
        <v>505</v>
      </c>
      <c r="D146" s="181" t="s">
        <v>382</v>
      </c>
      <c r="E146" s="182" t="s">
        <v>3519</v>
      </c>
      <c r="F146" s="183" t="s">
        <v>3520</v>
      </c>
      <c r="G146" s="184" t="s">
        <v>452</v>
      </c>
      <c r="H146" s="185">
        <v>8</v>
      </c>
      <c r="I146" s="186"/>
      <c r="J146" s="187">
        <f>ROUND(I146*H146,2)</f>
        <v>0</v>
      </c>
      <c r="K146" s="183" t="s">
        <v>3239</v>
      </c>
      <c r="L146" s="41"/>
      <c r="M146" s="188" t="s">
        <v>19</v>
      </c>
      <c r="N146" s="189" t="s">
        <v>43</v>
      </c>
      <c r="O146" s="66"/>
      <c r="P146" s="190">
        <f>O146*H146</f>
        <v>0</v>
      </c>
      <c r="Q146" s="190">
        <v>9.5E-4</v>
      </c>
      <c r="R146" s="190">
        <f>Q146*H146</f>
        <v>7.6E-3</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3521</v>
      </c>
    </row>
    <row r="147" spans="1:65" s="2" customFormat="1" ht="21.75" customHeight="1">
      <c r="A147" s="36"/>
      <c r="B147" s="37"/>
      <c r="C147" s="181" t="s">
        <v>509</v>
      </c>
      <c r="D147" s="181" t="s">
        <v>382</v>
      </c>
      <c r="E147" s="182" t="s">
        <v>3522</v>
      </c>
      <c r="F147" s="183" t="s">
        <v>3523</v>
      </c>
      <c r="G147" s="184" t="s">
        <v>641</v>
      </c>
      <c r="H147" s="185">
        <v>1</v>
      </c>
      <c r="I147" s="186"/>
      <c r="J147" s="187">
        <f>ROUND(I147*H147,2)</f>
        <v>0</v>
      </c>
      <c r="K147" s="183" t="s">
        <v>3239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281</v>
      </c>
      <c r="AT147" s="192" t="s">
        <v>382</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3524</v>
      </c>
    </row>
    <row r="148" spans="1:65" s="2" customFormat="1" ht="16.5" customHeight="1">
      <c r="A148" s="36"/>
      <c r="B148" s="37"/>
      <c r="C148" s="227" t="s">
        <v>514</v>
      </c>
      <c r="D148" s="227" t="s">
        <v>465</v>
      </c>
      <c r="E148" s="228" t="s">
        <v>3428</v>
      </c>
      <c r="F148" s="229" t="s">
        <v>3525</v>
      </c>
      <c r="G148" s="230" t="s">
        <v>3278</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546</v>
      </c>
      <c r="AT148" s="192" t="s">
        <v>465</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3526</v>
      </c>
    </row>
    <row r="149" spans="1:65" s="2" customFormat="1" ht="48.75">
      <c r="A149" s="36"/>
      <c r="B149" s="37"/>
      <c r="C149" s="38"/>
      <c r="D149" s="196" t="s">
        <v>1226</v>
      </c>
      <c r="E149" s="38"/>
      <c r="F149" s="248" t="s">
        <v>3527</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1226</v>
      </c>
      <c r="AU149" s="19" t="s">
        <v>82</v>
      </c>
    </row>
    <row r="150" spans="1:65" s="2" customFormat="1" ht="24.2" customHeight="1">
      <c r="A150" s="36"/>
      <c r="B150" s="37"/>
      <c r="C150" s="181" t="s">
        <v>520</v>
      </c>
      <c r="D150" s="181" t="s">
        <v>382</v>
      </c>
      <c r="E150" s="182" t="s">
        <v>3432</v>
      </c>
      <c r="F150" s="183" t="s">
        <v>3433</v>
      </c>
      <c r="G150" s="184" t="s">
        <v>3014</v>
      </c>
      <c r="H150" s="257"/>
      <c r="I150" s="186"/>
      <c r="J150" s="187">
        <f>ROUND(I150*H150,2)</f>
        <v>0</v>
      </c>
      <c r="K150" s="183" t="s">
        <v>3239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3528</v>
      </c>
    </row>
    <row r="151" spans="1:65" s="2" customFormat="1" ht="24.2" customHeight="1">
      <c r="A151" s="36"/>
      <c r="B151" s="37"/>
      <c r="C151" s="181" t="s">
        <v>525</v>
      </c>
      <c r="D151" s="181" t="s">
        <v>382</v>
      </c>
      <c r="E151" s="182" t="s">
        <v>3435</v>
      </c>
      <c r="F151" s="183" t="s">
        <v>3436</v>
      </c>
      <c r="G151" s="184" t="s">
        <v>3014</v>
      </c>
      <c r="H151" s="257"/>
      <c r="I151" s="186"/>
      <c r="J151" s="187">
        <f>ROUND(I151*H151,2)</f>
        <v>0</v>
      </c>
      <c r="K151" s="183" t="s">
        <v>3239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3529</v>
      </c>
    </row>
    <row r="152" spans="1:65" s="12" customFormat="1" ht="22.9" customHeight="1">
      <c r="B152" s="165"/>
      <c r="C152" s="166"/>
      <c r="D152" s="167" t="s">
        <v>71</v>
      </c>
      <c r="E152" s="179" t="s">
        <v>3450</v>
      </c>
      <c r="F152" s="179" t="s">
        <v>3451</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380</v>
      </c>
      <c r="BK152" s="178">
        <f>SUM(BK153:BK157)</f>
        <v>0</v>
      </c>
    </row>
    <row r="153" spans="1:65" s="2" customFormat="1" ht="16.5" customHeight="1">
      <c r="A153" s="36"/>
      <c r="B153" s="37"/>
      <c r="C153" s="227" t="s">
        <v>529</v>
      </c>
      <c r="D153" s="227" t="s">
        <v>465</v>
      </c>
      <c r="E153" s="228" t="s">
        <v>3452</v>
      </c>
      <c r="F153" s="229" t="s">
        <v>3453</v>
      </c>
      <c r="G153" s="230" t="s">
        <v>2389</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546</v>
      </c>
      <c r="AT153" s="192" t="s">
        <v>465</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3530</v>
      </c>
    </row>
    <row r="154" spans="1:65" s="14" customFormat="1" ht="11.25">
      <c r="B154" s="205"/>
      <c r="C154" s="206"/>
      <c r="D154" s="196" t="s">
        <v>388</v>
      </c>
      <c r="E154" s="207" t="s">
        <v>19</v>
      </c>
      <c r="F154" s="208" t="s">
        <v>3455</v>
      </c>
      <c r="G154" s="206"/>
      <c r="H154" s="209">
        <v>40</v>
      </c>
      <c r="I154" s="210"/>
      <c r="J154" s="206"/>
      <c r="K154" s="206"/>
      <c r="L154" s="211"/>
      <c r="M154" s="212"/>
      <c r="N154" s="213"/>
      <c r="O154" s="213"/>
      <c r="P154" s="213"/>
      <c r="Q154" s="213"/>
      <c r="R154" s="213"/>
      <c r="S154" s="213"/>
      <c r="T154" s="214"/>
      <c r="AT154" s="215" t="s">
        <v>388</v>
      </c>
      <c r="AU154" s="215" t="s">
        <v>82</v>
      </c>
      <c r="AV154" s="14" t="s">
        <v>82</v>
      </c>
      <c r="AW154" s="14" t="s">
        <v>33</v>
      </c>
      <c r="AX154" s="14" t="s">
        <v>79</v>
      </c>
      <c r="AY154" s="215" t="s">
        <v>380</v>
      </c>
    </row>
    <row r="155" spans="1:65" s="2" customFormat="1" ht="16.5" customHeight="1">
      <c r="A155" s="36"/>
      <c r="B155" s="37"/>
      <c r="C155" s="181" t="s">
        <v>534</v>
      </c>
      <c r="D155" s="181" t="s">
        <v>382</v>
      </c>
      <c r="E155" s="182" t="s">
        <v>3456</v>
      </c>
      <c r="F155" s="183" t="s">
        <v>2819</v>
      </c>
      <c r="G155" s="184" t="s">
        <v>2389</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3531</v>
      </c>
    </row>
    <row r="156" spans="1:65" s="2" customFormat="1" ht="16.5" customHeight="1">
      <c r="A156" s="36"/>
      <c r="B156" s="37"/>
      <c r="C156" s="181" t="s">
        <v>540</v>
      </c>
      <c r="D156" s="181" t="s">
        <v>382</v>
      </c>
      <c r="E156" s="182" t="s">
        <v>3458</v>
      </c>
      <c r="F156" s="183" t="s">
        <v>3459</v>
      </c>
      <c r="G156" s="184" t="s">
        <v>2389</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3532</v>
      </c>
    </row>
    <row r="157" spans="1:65" s="2" customFormat="1" ht="16.5" customHeight="1">
      <c r="A157" s="36"/>
      <c r="B157" s="37"/>
      <c r="C157" s="181" t="s">
        <v>546</v>
      </c>
      <c r="D157" s="181" t="s">
        <v>382</v>
      </c>
      <c r="E157" s="182" t="s">
        <v>3461</v>
      </c>
      <c r="F157" s="183" t="s">
        <v>3462</v>
      </c>
      <c r="G157" s="184" t="s">
        <v>2389</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3533</v>
      </c>
    </row>
    <row r="158" spans="1:65" s="12" customFormat="1" ht="22.9" customHeight="1">
      <c r="B158" s="165"/>
      <c r="C158" s="166"/>
      <c r="D158" s="167" t="s">
        <v>71</v>
      </c>
      <c r="E158" s="179" t="s">
        <v>2076</v>
      </c>
      <c r="F158" s="179" t="s">
        <v>3534</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380</v>
      </c>
      <c r="BK158" s="178">
        <f>SUM(BK159:BK160)</f>
        <v>0</v>
      </c>
    </row>
    <row r="159" spans="1:65" s="2" customFormat="1" ht="16.5" customHeight="1">
      <c r="A159" s="36"/>
      <c r="B159" s="37"/>
      <c r="C159" s="181" t="s">
        <v>552</v>
      </c>
      <c r="D159" s="181" t="s">
        <v>382</v>
      </c>
      <c r="E159" s="182" t="s">
        <v>3535</v>
      </c>
      <c r="F159" s="183" t="s">
        <v>3536</v>
      </c>
      <c r="G159" s="184" t="s">
        <v>2678</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3537</v>
      </c>
    </row>
    <row r="160" spans="1:65" s="14" customFormat="1" ht="11.25">
      <c r="B160" s="205"/>
      <c r="C160" s="206"/>
      <c r="D160" s="196" t="s">
        <v>388</v>
      </c>
      <c r="E160" s="207" t="s">
        <v>19</v>
      </c>
      <c r="F160" s="208" t="s">
        <v>3538</v>
      </c>
      <c r="G160" s="206"/>
      <c r="H160" s="209">
        <v>40</v>
      </c>
      <c r="I160" s="210"/>
      <c r="J160" s="206"/>
      <c r="K160" s="206"/>
      <c r="L160" s="211"/>
      <c r="M160" s="261"/>
      <c r="N160" s="262"/>
      <c r="O160" s="262"/>
      <c r="P160" s="262"/>
      <c r="Q160" s="262"/>
      <c r="R160" s="262"/>
      <c r="S160" s="262"/>
      <c r="T160" s="263"/>
      <c r="AT160" s="215" t="s">
        <v>388</v>
      </c>
      <c r="AU160" s="215" t="s">
        <v>82</v>
      </c>
      <c r="AV160" s="14" t="s">
        <v>82</v>
      </c>
      <c r="AW160" s="14" t="s">
        <v>33</v>
      </c>
      <c r="AX160" s="14" t="s">
        <v>79</v>
      </c>
      <c r="AY160" s="215" t="s">
        <v>380</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OIsJytth02fTQIY2/Ud34SgeAuDMFGmG0AE/Y28rgHqVPE3VHASvNAVjKnNL0J9sgPjn0OrL/0KjLy6SlilEbA==" saltValue="s/TT+vhySo/xZYfFJQb3iQMoTqz0MILSijDLq0NsZFtcyk+eIyxXLzFPMVSrPNs2cn2hJF8NEd8a+P219rX/Vg==" spinCount="100000" sheet="1" objects="1" scenarios="1" formatColumns="0" formatRows="0" autoFilter="0"/>
  <autoFilter ref="C95:K160" xr:uid="{00000000-0009-0000-0000-00000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3539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03 - Konferenční sál</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347</v>
      </c>
      <c r="E69" s="151"/>
      <c r="F69" s="151"/>
      <c r="G69" s="151"/>
      <c r="H69" s="151"/>
      <c r="I69" s="151"/>
      <c r="J69" s="152">
        <f>J98</f>
        <v>0</v>
      </c>
      <c r="K69" s="99"/>
      <c r="L69" s="153"/>
    </row>
    <row r="70" spans="1:47" s="10" customFormat="1" ht="19.899999999999999" customHeight="1">
      <c r="B70" s="149"/>
      <c r="C70" s="99"/>
      <c r="D70" s="150" t="s">
        <v>3235</v>
      </c>
      <c r="E70" s="151"/>
      <c r="F70" s="151"/>
      <c r="G70" s="151"/>
      <c r="H70" s="151"/>
      <c r="I70" s="151"/>
      <c r="J70" s="152">
        <f>J109</f>
        <v>0</v>
      </c>
      <c r="K70" s="99"/>
      <c r="L70" s="153"/>
    </row>
    <row r="71" spans="1:47" s="10" customFormat="1" ht="19.899999999999999" customHeight="1">
      <c r="B71" s="149"/>
      <c r="C71" s="99"/>
      <c r="D71" s="150" t="s">
        <v>3236</v>
      </c>
      <c r="E71" s="151"/>
      <c r="F71" s="151"/>
      <c r="G71" s="151"/>
      <c r="H71" s="151"/>
      <c r="I71" s="151"/>
      <c r="J71" s="152">
        <f>J152</f>
        <v>0</v>
      </c>
      <c r="K71" s="99"/>
      <c r="L71" s="153"/>
    </row>
    <row r="72" spans="1:47" s="10" customFormat="1" ht="19.899999999999999" customHeight="1">
      <c r="B72" s="149"/>
      <c r="C72" s="99"/>
      <c r="D72" s="150" t="s">
        <v>3465</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3229</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03 - Konferenční sál</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1.300959</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P98+P109+P152+P158</f>
        <v>0</v>
      </c>
      <c r="Q97" s="173"/>
      <c r="R97" s="174">
        <f>R98+R109+R152+R158</f>
        <v>1.300959</v>
      </c>
      <c r="S97" s="173"/>
      <c r="T97" s="175">
        <f>T98+T109+T152+T158</f>
        <v>0</v>
      </c>
      <c r="AR97" s="176" t="s">
        <v>82</v>
      </c>
      <c r="AT97" s="177" t="s">
        <v>71</v>
      </c>
      <c r="AU97" s="177" t="s">
        <v>72</v>
      </c>
      <c r="AY97" s="176" t="s">
        <v>380</v>
      </c>
      <c r="BK97" s="178">
        <f>BK98+BK109+BK152+BK158</f>
        <v>0</v>
      </c>
    </row>
    <row r="98" spans="1:65" s="12" customFormat="1" ht="22.9" customHeight="1">
      <c r="B98" s="165"/>
      <c r="C98" s="166"/>
      <c r="D98" s="167" t="s">
        <v>71</v>
      </c>
      <c r="E98" s="179" t="s">
        <v>1523</v>
      </c>
      <c r="F98" s="179" t="s">
        <v>1524</v>
      </c>
      <c r="G98" s="166"/>
      <c r="H98" s="166"/>
      <c r="I98" s="169"/>
      <c r="J98" s="180">
        <f>BK98</f>
        <v>0</v>
      </c>
      <c r="K98" s="166"/>
      <c r="L98" s="171"/>
      <c r="M98" s="172"/>
      <c r="N98" s="173"/>
      <c r="O98" s="173"/>
      <c r="P98" s="174">
        <f>SUM(P99:P108)</f>
        <v>0</v>
      </c>
      <c r="Q98" s="173"/>
      <c r="R98" s="174">
        <f>SUM(R99:R108)</f>
        <v>0.31136050000000004</v>
      </c>
      <c r="S98" s="173"/>
      <c r="T98" s="175">
        <f>SUM(T99:T108)</f>
        <v>0</v>
      </c>
      <c r="AR98" s="176" t="s">
        <v>82</v>
      </c>
      <c r="AT98" s="177" t="s">
        <v>71</v>
      </c>
      <c r="AU98" s="177" t="s">
        <v>79</v>
      </c>
      <c r="AY98" s="176" t="s">
        <v>380</v>
      </c>
      <c r="BK98" s="178">
        <f>SUM(BK99:BK108)</f>
        <v>0</v>
      </c>
    </row>
    <row r="99" spans="1:65" s="2" customFormat="1" ht="24.2" customHeight="1">
      <c r="A99" s="36"/>
      <c r="B99" s="37"/>
      <c r="C99" s="181" t="s">
        <v>79</v>
      </c>
      <c r="D99" s="181" t="s">
        <v>382</v>
      </c>
      <c r="E99" s="182" t="s">
        <v>3237</v>
      </c>
      <c r="F99" s="183" t="s">
        <v>3238</v>
      </c>
      <c r="G99" s="184" t="s">
        <v>398</v>
      </c>
      <c r="H99" s="185">
        <v>86</v>
      </c>
      <c r="I99" s="186"/>
      <c r="J99" s="187">
        <f>ROUND(I99*H99,2)</f>
        <v>0</v>
      </c>
      <c r="K99" s="183" t="s">
        <v>3239</v>
      </c>
      <c r="L99" s="41"/>
      <c r="M99" s="188" t="s">
        <v>19</v>
      </c>
      <c r="N99" s="189" t="s">
        <v>43</v>
      </c>
      <c r="O99" s="66"/>
      <c r="P99" s="190">
        <f>O99*H99</f>
        <v>0</v>
      </c>
      <c r="Q99" s="190">
        <v>1.5100000000000001E-3</v>
      </c>
      <c r="R99" s="190">
        <f>Q99*H99</f>
        <v>0.12986</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3540</v>
      </c>
    </row>
    <row r="100" spans="1:65" s="2" customFormat="1" ht="16.5" customHeight="1">
      <c r="A100" s="36"/>
      <c r="B100" s="37"/>
      <c r="C100" s="227" t="s">
        <v>82</v>
      </c>
      <c r="D100" s="227" t="s">
        <v>465</v>
      </c>
      <c r="E100" s="228" t="s">
        <v>3241</v>
      </c>
      <c r="F100" s="229" t="s">
        <v>3242</v>
      </c>
      <c r="G100" s="230" t="s">
        <v>398</v>
      </c>
      <c r="H100" s="231">
        <v>77</v>
      </c>
      <c r="I100" s="232"/>
      <c r="J100" s="233">
        <f>ROUND(I100*H100,2)</f>
        <v>0</v>
      </c>
      <c r="K100" s="229" t="s">
        <v>3239</v>
      </c>
      <c r="L100" s="234"/>
      <c r="M100" s="235" t="s">
        <v>19</v>
      </c>
      <c r="N100" s="236" t="s">
        <v>43</v>
      </c>
      <c r="O100" s="66"/>
      <c r="P100" s="190">
        <f>O100*H100</f>
        <v>0</v>
      </c>
      <c r="Q100" s="190">
        <v>2E-3</v>
      </c>
      <c r="R100" s="190">
        <f>Q100*H100</f>
        <v>0.154</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3541</v>
      </c>
    </row>
    <row r="101" spans="1:65" s="14" customFormat="1" ht="11.25">
      <c r="B101" s="205"/>
      <c r="C101" s="206"/>
      <c r="D101" s="196" t="s">
        <v>388</v>
      </c>
      <c r="E101" s="207" t="s">
        <v>19</v>
      </c>
      <c r="F101" s="208" t="s">
        <v>3542</v>
      </c>
      <c r="G101" s="206"/>
      <c r="H101" s="209">
        <v>77</v>
      </c>
      <c r="I101" s="210"/>
      <c r="J101" s="206"/>
      <c r="K101" s="206"/>
      <c r="L101" s="211"/>
      <c r="M101" s="212"/>
      <c r="N101" s="213"/>
      <c r="O101" s="213"/>
      <c r="P101" s="213"/>
      <c r="Q101" s="213"/>
      <c r="R101" s="213"/>
      <c r="S101" s="213"/>
      <c r="T101" s="214"/>
      <c r="AT101" s="215" t="s">
        <v>388</v>
      </c>
      <c r="AU101" s="215" t="s">
        <v>82</v>
      </c>
      <c r="AV101" s="14" t="s">
        <v>82</v>
      </c>
      <c r="AW101" s="14" t="s">
        <v>33</v>
      </c>
      <c r="AX101" s="14" t="s">
        <v>79</v>
      </c>
      <c r="AY101" s="215" t="s">
        <v>380</v>
      </c>
    </row>
    <row r="102" spans="1:65" s="2" customFormat="1" ht="16.5" customHeight="1">
      <c r="A102" s="36"/>
      <c r="B102" s="37"/>
      <c r="C102" s="227" t="s">
        <v>99</v>
      </c>
      <c r="D102" s="227" t="s">
        <v>465</v>
      </c>
      <c r="E102" s="228" t="s">
        <v>3245</v>
      </c>
      <c r="F102" s="229" t="s">
        <v>3246</v>
      </c>
      <c r="G102" s="230" t="s">
        <v>398</v>
      </c>
      <c r="H102" s="231">
        <v>9</v>
      </c>
      <c r="I102" s="232"/>
      <c r="J102" s="233">
        <f>ROUND(I102*H102,2)</f>
        <v>0</v>
      </c>
      <c r="K102" s="229" t="s">
        <v>3239</v>
      </c>
      <c r="L102" s="234"/>
      <c r="M102" s="235" t="s">
        <v>19</v>
      </c>
      <c r="N102" s="236" t="s">
        <v>43</v>
      </c>
      <c r="O102" s="66"/>
      <c r="P102" s="190">
        <f>O102*H102</f>
        <v>0</v>
      </c>
      <c r="Q102" s="190">
        <v>3.0000000000000001E-3</v>
      </c>
      <c r="R102" s="190">
        <f>Q102*H102</f>
        <v>2.7E-2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3543</v>
      </c>
    </row>
    <row r="103" spans="1:65" s="14" customFormat="1" ht="11.25">
      <c r="B103" s="205"/>
      <c r="C103" s="206"/>
      <c r="D103" s="196" t="s">
        <v>388</v>
      </c>
      <c r="E103" s="207" t="s">
        <v>19</v>
      </c>
      <c r="F103" s="208" t="s">
        <v>3544</v>
      </c>
      <c r="G103" s="206"/>
      <c r="H103" s="209">
        <v>9</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7.15</v>
      </c>
      <c r="I104" s="186"/>
      <c r="J104" s="187">
        <f>ROUND(I104*H104,2)</f>
        <v>0</v>
      </c>
      <c r="K104" s="183" t="s">
        <v>3239</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3545</v>
      </c>
    </row>
    <row r="105" spans="1:65" s="2" customFormat="1" ht="16.5" customHeight="1">
      <c r="A105" s="36"/>
      <c r="B105" s="37"/>
      <c r="C105" s="227" t="s">
        <v>405</v>
      </c>
      <c r="D105" s="227" t="s">
        <v>465</v>
      </c>
      <c r="E105" s="228" t="s">
        <v>3261</v>
      </c>
      <c r="F105" s="229" t="s">
        <v>3262</v>
      </c>
      <c r="G105" s="230" t="s">
        <v>398</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3546</v>
      </c>
    </row>
    <row r="106" spans="1:65" s="14" customFormat="1" ht="11.25">
      <c r="B106" s="205"/>
      <c r="C106" s="206"/>
      <c r="D106" s="196" t="s">
        <v>388</v>
      </c>
      <c r="E106" s="207" t="s">
        <v>19</v>
      </c>
      <c r="F106" s="208" t="s">
        <v>3547</v>
      </c>
      <c r="G106" s="206"/>
      <c r="H106" s="209">
        <v>7.15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3548</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3549</v>
      </c>
    </row>
    <row r="109" spans="1:65" s="12" customFormat="1" ht="22.9" customHeight="1">
      <c r="B109" s="165"/>
      <c r="C109" s="166"/>
      <c r="D109" s="167" t="s">
        <v>71</v>
      </c>
      <c r="E109" s="179" t="s">
        <v>3271</v>
      </c>
      <c r="F109" s="179" t="s">
        <v>3272</v>
      </c>
      <c r="G109" s="166"/>
      <c r="H109" s="166"/>
      <c r="I109" s="169"/>
      <c r="J109" s="180">
        <f>BK109</f>
        <v>0</v>
      </c>
      <c r="K109" s="166"/>
      <c r="L109" s="171"/>
      <c r="M109" s="172"/>
      <c r="N109" s="173"/>
      <c r="O109" s="173"/>
      <c r="P109" s="174">
        <f>SUM(P110:P151)</f>
        <v>0</v>
      </c>
      <c r="Q109" s="173"/>
      <c r="R109" s="174">
        <f>SUM(R110:R151)</f>
        <v>0.98959849999999994</v>
      </c>
      <c r="S109" s="173"/>
      <c r="T109" s="175">
        <f>SUM(T110:T151)</f>
        <v>0</v>
      </c>
      <c r="AR109" s="176" t="s">
        <v>82</v>
      </c>
      <c r="AT109" s="177" t="s">
        <v>71</v>
      </c>
      <c r="AU109" s="177" t="s">
        <v>79</v>
      </c>
      <c r="AY109" s="176" t="s">
        <v>380</v>
      </c>
      <c r="BK109" s="178">
        <f>SUM(BK110:BK151)</f>
        <v>0</v>
      </c>
    </row>
    <row r="110" spans="1:65" s="2" customFormat="1" ht="24.2" customHeight="1">
      <c r="A110" s="36"/>
      <c r="B110" s="37"/>
      <c r="C110" s="181" t="s">
        <v>424</v>
      </c>
      <c r="D110" s="181" t="s">
        <v>382</v>
      </c>
      <c r="E110" s="182" t="s">
        <v>3476</v>
      </c>
      <c r="F110" s="183" t="s">
        <v>3477</v>
      </c>
      <c r="G110" s="184" t="s">
        <v>641</v>
      </c>
      <c r="H110" s="185">
        <v>16</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3550</v>
      </c>
    </row>
    <row r="111" spans="1:65" s="2" customFormat="1" ht="24.2" customHeight="1">
      <c r="A111" s="36"/>
      <c r="B111" s="37"/>
      <c r="C111" s="227" t="s">
        <v>430</v>
      </c>
      <c r="D111" s="227" t="s">
        <v>465</v>
      </c>
      <c r="E111" s="228" t="s">
        <v>3479</v>
      </c>
      <c r="F111" s="229" t="s">
        <v>3480</v>
      </c>
      <c r="G111" s="230" t="s">
        <v>3278</v>
      </c>
      <c r="H111" s="231">
        <v>8</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3551</v>
      </c>
    </row>
    <row r="112" spans="1:65" s="2" customFormat="1" ht="19.5">
      <c r="A112" s="36"/>
      <c r="B112" s="37"/>
      <c r="C112" s="38"/>
      <c r="D112" s="196" t="s">
        <v>1226</v>
      </c>
      <c r="E112" s="38"/>
      <c r="F112" s="248" t="s">
        <v>3552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24.2" customHeight="1">
      <c r="A113" s="36"/>
      <c r="B113" s="37"/>
      <c r="C113" s="227" t="s">
        <v>122</v>
      </c>
      <c r="D113" s="227" t="s">
        <v>465</v>
      </c>
      <c r="E113" s="228" t="s">
        <v>3483</v>
      </c>
      <c r="F113" s="229" t="s">
        <v>3484</v>
      </c>
      <c r="G113" s="230" t="s">
        <v>3278</v>
      </c>
      <c r="H113" s="231">
        <v>8</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3553</v>
      </c>
    </row>
    <row r="114" spans="1:65" s="2" customFormat="1" ht="19.5">
      <c r="A114" s="36"/>
      <c r="B114" s="37"/>
      <c r="C114" s="38"/>
      <c r="D114" s="196" t="s">
        <v>1226</v>
      </c>
      <c r="E114" s="38"/>
      <c r="F114" s="248" t="s">
        <v>3554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125</v>
      </c>
      <c r="D115" s="181" t="s">
        <v>382</v>
      </c>
      <c r="E115" s="182" t="s">
        <v>3301</v>
      </c>
      <c r="F115" s="183" t="s">
        <v>3302</v>
      </c>
      <c r="G115" s="184" t="s">
        <v>641</v>
      </c>
      <c r="H115" s="185">
        <v>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3555</v>
      </c>
    </row>
    <row r="116" spans="1:65" s="2" customFormat="1" ht="16.5" customHeight="1">
      <c r="A116" s="36"/>
      <c r="B116" s="37"/>
      <c r="C116" s="227" t="s">
        <v>128</v>
      </c>
      <c r="D116" s="227" t="s">
        <v>465</v>
      </c>
      <c r="E116" s="228" t="s">
        <v>3304</v>
      </c>
      <c r="F116" s="229" t="s">
        <v>3488</v>
      </c>
      <c r="G116" s="230" t="s">
        <v>3278</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3556</v>
      </c>
    </row>
    <row r="117" spans="1:65" s="2" customFormat="1" ht="39">
      <c r="A117" s="36"/>
      <c r="B117" s="37"/>
      <c r="C117" s="38"/>
      <c r="D117" s="196" t="s">
        <v>1226</v>
      </c>
      <c r="E117" s="38"/>
      <c r="F117" s="248" t="s">
        <v>3490</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131</v>
      </c>
      <c r="D118" s="181" t="s">
        <v>382</v>
      </c>
      <c r="E118" s="182" t="s">
        <v>3308</v>
      </c>
      <c r="F118" s="183" t="s">
        <v>3309</v>
      </c>
      <c r="G118" s="184" t="s">
        <v>641</v>
      </c>
      <c r="H118" s="185">
        <v>2</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3557</v>
      </c>
    </row>
    <row r="119" spans="1:65" s="2" customFormat="1" ht="16.5" customHeight="1">
      <c r="A119" s="36"/>
      <c r="B119" s="37"/>
      <c r="C119" s="227" t="s">
        <v>134</v>
      </c>
      <c r="D119" s="227" t="s">
        <v>465</v>
      </c>
      <c r="E119" s="228" t="s">
        <v>3311</v>
      </c>
      <c r="F119" s="229" t="s">
        <v>3492</v>
      </c>
      <c r="G119" s="230" t="s">
        <v>3278</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3558</v>
      </c>
    </row>
    <row r="120" spans="1:65" s="2" customFormat="1" ht="48.75">
      <c r="A120" s="36"/>
      <c r="B120" s="37"/>
      <c r="C120" s="38"/>
      <c r="D120" s="196" t="s">
        <v>1226</v>
      </c>
      <c r="E120" s="38"/>
      <c r="F120" s="248" t="s">
        <v>3494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8</v>
      </c>
      <c r="D121" s="181" t="s">
        <v>382</v>
      </c>
      <c r="E121" s="182" t="s">
        <v>3353</v>
      </c>
      <c r="F121" s="183" t="s">
        <v>3354</v>
      </c>
      <c r="G121" s="184" t="s">
        <v>452</v>
      </c>
      <c r="H121" s="185">
        <v>100.75</v>
      </c>
      <c r="I121" s="186"/>
      <c r="J121" s="187">
        <f>ROUND(I121*H121,2)</f>
        <v>0</v>
      </c>
      <c r="K121" s="183" t="s">
        <v>3239</v>
      </c>
      <c r="L121" s="41"/>
      <c r="M121" s="188" t="s">
        <v>19</v>
      </c>
      <c r="N121" s="189" t="s">
        <v>43</v>
      </c>
      <c r="O121" s="66"/>
      <c r="P121" s="190">
        <f>O121*H121</f>
        <v>0</v>
      </c>
      <c r="Q121" s="190">
        <v>6.5300000000000002E-3</v>
      </c>
      <c r="R121" s="190">
        <f>Q121*H121</f>
        <v>0.65789750000000002</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3559</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3496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3560</v>
      </c>
      <c r="G124" s="206"/>
      <c r="H124" s="209">
        <v>67.599999999999994</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3498</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3561</v>
      </c>
      <c r="G126" s="206"/>
      <c r="H126" s="209">
        <v>33.15</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419</v>
      </c>
      <c r="G127" s="217"/>
      <c r="H127" s="220">
        <v>100.75</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24.2" customHeight="1">
      <c r="A128" s="36"/>
      <c r="B128" s="37"/>
      <c r="C128" s="181" t="s">
        <v>281</v>
      </c>
      <c r="D128" s="181" t="s">
        <v>382</v>
      </c>
      <c r="E128" s="182" t="s">
        <v>3500</v>
      </c>
      <c r="F128" s="183" t="s">
        <v>3501</v>
      </c>
      <c r="G128" s="184" t="s">
        <v>452</v>
      </c>
      <c r="H128" s="185">
        <v>9.1</v>
      </c>
      <c r="I128" s="186"/>
      <c r="J128" s="187">
        <f>ROUND(I128*H128,2)</f>
        <v>0</v>
      </c>
      <c r="K128" s="183" t="s">
        <v>3239</v>
      </c>
      <c r="L128" s="41"/>
      <c r="M128" s="188" t="s">
        <v>19</v>
      </c>
      <c r="N128" s="189" t="s">
        <v>43</v>
      </c>
      <c r="O128" s="66"/>
      <c r="P128" s="190">
        <f>O128*H128</f>
        <v>0</v>
      </c>
      <c r="Q128" s="190">
        <v>1.081E-2</v>
      </c>
      <c r="R128" s="190">
        <f>Q128*H128</f>
        <v>9.8371E-2</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3562</v>
      </c>
    </row>
    <row r="129" spans="1:65" s="2" customFormat="1" ht="29.25">
      <c r="A129" s="36"/>
      <c r="B129" s="37"/>
      <c r="C129" s="38"/>
      <c r="D129" s="196" t="s">
        <v>1226</v>
      </c>
      <c r="E129" s="38"/>
      <c r="F129" s="248" t="s">
        <v>3318</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82</v>
      </c>
    </row>
    <row r="130" spans="1:65" s="13" customFormat="1" ht="11.25">
      <c r="B130" s="194"/>
      <c r="C130" s="195"/>
      <c r="D130" s="196" t="s">
        <v>388</v>
      </c>
      <c r="E130" s="197" t="s">
        <v>19</v>
      </c>
      <c r="F130" s="198" t="s">
        <v>3503</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3563</v>
      </c>
      <c r="G131" s="206"/>
      <c r="H131" s="209">
        <v>9.1</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9.1</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471</v>
      </c>
      <c r="D133" s="181" t="s">
        <v>382</v>
      </c>
      <c r="E133" s="182" t="s">
        <v>3358</v>
      </c>
      <c r="F133" s="183" t="s">
        <v>3359</v>
      </c>
      <c r="G133" s="184" t="s">
        <v>641</v>
      </c>
      <c r="H133" s="185">
        <v>1</v>
      </c>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3564</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2" customFormat="1" ht="16.5" customHeight="1">
      <c r="A135" s="36"/>
      <c r="B135" s="37"/>
      <c r="C135" s="227" t="s">
        <v>477</v>
      </c>
      <c r="D135" s="227" t="s">
        <v>465</v>
      </c>
      <c r="E135" s="228" t="s">
        <v>3361</v>
      </c>
      <c r="F135" s="229" t="s">
        <v>3362</v>
      </c>
      <c r="G135" s="230" t="s">
        <v>3278</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546</v>
      </c>
      <c r="AT135" s="192" t="s">
        <v>465</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3565</v>
      </c>
    </row>
    <row r="136" spans="1:65" s="2" customFormat="1" ht="19.5">
      <c r="A136" s="36"/>
      <c r="B136" s="37"/>
      <c r="C136" s="38"/>
      <c r="D136" s="196" t="s">
        <v>1226</v>
      </c>
      <c r="E136" s="38"/>
      <c r="F136" s="248" t="s">
        <v>3364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2" customFormat="1" ht="24.2" customHeight="1">
      <c r="A137" s="36"/>
      <c r="B137" s="37"/>
      <c r="C137" s="181" t="s">
        <v>284</v>
      </c>
      <c r="D137" s="181" t="s">
        <v>382</v>
      </c>
      <c r="E137" s="182" t="s">
        <v>3507</v>
      </c>
      <c r="F137" s="183" t="s">
        <v>3508</v>
      </c>
      <c r="G137" s="184" t="s">
        <v>641</v>
      </c>
      <c r="H137" s="185">
        <v>2</v>
      </c>
      <c r="I137" s="186"/>
      <c r="J137" s="187">
        <f>ROUND(I137*H137,2)</f>
        <v>0</v>
      </c>
      <c r="K137" s="183" t="s">
        <v>3239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3566</v>
      </c>
    </row>
    <row r="138" spans="1:65" s="2" customFormat="1" ht="16.5" customHeight="1">
      <c r="A138" s="36"/>
      <c r="B138" s="37"/>
      <c r="C138" s="227" t="s">
        <v>486</v>
      </c>
      <c r="D138" s="227" t="s">
        <v>465</v>
      </c>
      <c r="E138" s="228" t="s">
        <v>3368</v>
      </c>
      <c r="F138" s="229" t="s">
        <v>3510</v>
      </c>
      <c r="G138" s="230" t="s">
        <v>3278</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546</v>
      </c>
      <c r="AT138" s="192" t="s">
        <v>465</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3567</v>
      </c>
    </row>
    <row r="139" spans="1:65" s="2" customFormat="1" ht="19.5">
      <c r="A139" s="36"/>
      <c r="B139" s="37"/>
      <c r="C139" s="38"/>
      <c r="D139" s="196" t="s">
        <v>1226</v>
      </c>
      <c r="E139" s="38"/>
      <c r="F139" s="248" t="s">
        <v>3512</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1226</v>
      </c>
      <c r="AU139" s="19" t="s">
        <v>82</v>
      </c>
    </row>
    <row r="140" spans="1:65" s="2" customFormat="1" ht="21.75" customHeight="1">
      <c r="A140" s="36"/>
      <c r="B140" s="37"/>
      <c r="C140" s="181" t="s">
        <v>7</v>
      </c>
      <c r="D140" s="181" t="s">
        <v>382</v>
      </c>
      <c r="E140" s="182" t="s">
        <v>3372</v>
      </c>
      <c r="F140" s="183" t="s">
        <v>3373</v>
      </c>
      <c r="G140" s="184" t="s">
        <v>452</v>
      </c>
      <c r="H140" s="185">
        <v>9.75</v>
      </c>
      <c r="I140" s="186"/>
      <c r="J140" s="187">
        <f>ROUND(I140*H140,2)</f>
        <v>0</v>
      </c>
      <c r="K140" s="183" t="s">
        <v>3239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3568</v>
      </c>
    </row>
    <row r="141" spans="1:65" s="2" customFormat="1" ht="16.5" customHeight="1">
      <c r="A141" s="36"/>
      <c r="B141" s="37"/>
      <c r="C141" s="227" t="s">
        <v>495</v>
      </c>
      <c r="D141" s="227" t="s">
        <v>465</v>
      </c>
      <c r="E141" s="228" t="s">
        <v>3514</v>
      </c>
      <c r="F141" s="229" t="s">
        <v>3515</v>
      </c>
      <c r="G141" s="230" t="s">
        <v>452</v>
      </c>
      <c r="H141" s="231">
        <v>9.75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546</v>
      </c>
      <c r="AT141" s="192" t="s">
        <v>465</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3569</v>
      </c>
    </row>
    <row r="142" spans="1:65" s="2" customFormat="1" ht="117">
      <c r="A142" s="36"/>
      <c r="B142" s="37"/>
      <c r="C142" s="38"/>
      <c r="D142" s="196" t="s">
        <v>1226</v>
      </c>
      <c r="E142" s="38"/>
      <c r="F142" s="248" t="s">
        <v>3378</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14" customFormat="1" ht="11.25">
      <c r="B143" s="205"/>
      <c r="C143" s="206"/>
      <c r="D143" s="196" t="s">
        <v>388</v>
      </c>
      <c r="E143" s="207" t="s">
        <v>19</v>
      </c>
      <c r="F143" s="208" t="s">
        <v>3570</v>
      </c>
      <c r="G143" s="206"/>
      <c r="H143" s="209">
        <v>9.75</v>
      </c>
      <c r="I143" s="210"/>
      <c r="J143" s="206"/>
      <c r="K143" s="206"/>
      <c r="L143" s="211"/>
      <c r="M143" s="212"/>
      <c r="N143" s="213"/>
      <c r="O143" s="213"/>
      <c r="P143" s="213"/>
      <c r="Q143" s="213"/>
      <c r="R143" s="213"/>
      <c r="S143" s="213"/>
      <c r="T143" s="214"/>
      <c r="AT143" s="215" t="s">
        <v>388</v>
      </c>
      <c r="AU143" s="215" t="s">
        <v>82</v>
      </c>
      <c r="AV143" s="14" t="s">
        <v>82</v>
      </c>
      <c r="AW143" s="14" t="s">
        <v>33</v>
      </c>
      <c r="AX143" s="14" t="s">
        <v>72</v>
      </c>
      <c r="AY143" s="215" t="s">
        <v>380</v>
      </c>
    </row>
    <row r="144" spans="1:65" s="15" customFormat="1" ht="11.25">
      <c r="B144" s="216"/>
      <c r="C144" s="217"/>
      <c r="D144" s="196" t="s">
        <v>388</v>
      </c>
      <c r="E144" s="218" t="s">
        <v>19</v>
      </c>
      <c r="F144" s="219" t="s">
        <v>419</v>
      </c>
      <c r="G144" s="217"/>
      <c r="H144" s="220">
        <v>9.75</v>
      </c>
      <c r="I144" s="221"/>
      <c r="J144" s="217"/>
      <c r="K144" s="217"/>
      <c r="L144" s="222"/>
      <c r="M144" s="223"/>
      <c r="N144" s="224"/>
      <c r="O144" s="224"/>
      <c r="P144" s="224"/>
      <c r="Q144" s="224"/>
      <c r="R144" s="224"/>
      <c r="S144" s="224"/>
      <c r="T144" s="225"/>
      <c r="AT144" s="226" t="s">
        <v>388</v>
      </c>
      <c r="AU144" s="226" t="s">
        <v>82</v>
      </c>
      <c r="AV144" s="15" t="s">
        <v>386</v>
      </c>
      <c r="AW144" s="15" t="s">
        <v>33</v>
      </c>
      <c r="AX144" s="15" t="s">
        <v>79</v>
      </c>
      <c r="AY144" s="226" t="s">
        <v>380</v>
      </c>
    </row>
    <row r="145" spans="1:65" s="2" customFormat="1" ht="24.2" customHeight="1">
      <c r="A145" s="36"/>
      <c r="B145" s="37"/>
      <c r="C145" s="181" t="s">
        <v>500</v>
      </c>
      <c r="D145" s="181" t="s">
        <v>382</v>
      </c>
      <c r="E145" s="182" t="s">
        <v>3396</v>
      </c>
      <c r="F145" s="183" t="s">
        <v>3397</v>
      </c>
      <c r="G145" s="184" t="s">
        <v>452</v>
      </c>
      <c r="H145" s="185">
        <v>101</v>
      </c>
      <c r="I145" s="186"/>
      <c r="J145" s="187">
        <f>ROUND(I145*H145,2)</f>
        <v>0</v>
      </c>
      <c r="K145" s="183" t="s">
        <v>3239</v>
      </c>
      <c r="L145" s="41"/>
      <c r="M145" s="188" t="s">
        <v>19</v>
      </c>
      <c r="N145" s="189" t="s">
        <v>43</v>
      </c>
      <c r="O145" s="66"/>
      <c r="P145" s="190">
        <f>O145*H145</f>
        <v>0</v>
      </c>
      <c r="Q145" s="190">
        <v>8.3000000000000001E-4</v>
      </c>
      <c r="R145" s="190">
        <f>Q145*H145</f>
        <v>8.3830000000000002E-2</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3571</v>
      </c>
    </row>
    <row r="146" spans="1:65" s="2" customFormat="1" ht="24.2" customHeight="1">
      <c r="A146" s="36"/>
      <c r="B146" s="37"/>
      <c r="C146" s="181" t="s">
        <v>505</v>
      </c>
      <c r="D146" s="181" t="s">
        <v>382</v>
      </c>
      <c r="E146" s="182" t="s">
        <v>3519</v>
      </c>
      <c r="F146" s="183" t="s">
        <v>3520</v>
      </c>
      <c r="G146" s="184" t="s">
        <v>452</v>
      </c>
      <c r="H146" s="185">
        <v>10</v>
      </c>
      <c r="I146" s="186"/>
      <c r="J146" s="187">
        <f>ROUND(I146*H146,2)</f>
        <v>0</v>
      </c>
      <c r="K146" s="183" t="s">
        <v>3239</v>
      </c>
      <c r="L146" s="41"/>
      <c r="M146" s="188" t="s">
        <v>19</v>
      </c>
      <c r="N146" s="189" t="s">
        <v>43</v>
      </c>
      <c r="O146" s="66"/>
      <c r="P146" s="190">
        <f>O146*H146</f>
        <v>0</v>
      </c>
      <c r="Q146" s="190">
        <v>9.5E-4</v>
      </c>
      <c r="R146" s="190">
        <f>Q146*H146</f>
        <v>9.4999999999999998E-3</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3572</v>
      </c>
    </row>
    <row r="147" spans="1:65" s="2" customFormat="1" ht="21.75" customHeight="1">
      <c r="A147" s="36"/>
      <c r="B147" s="37"/>
      <c r="C147" s="181" t="s">
        <v>509</v>
      </c>
      <c r="D147" s="181" t="s">
        <v>382</v>
      </c>
      <c r="E147" s="182" t="s">
        <v>3522</v>
      </c>
      <c r="F147" s="183" t="s">
        <v>3523</v>
      </c>
      <c r="G147" s="184" t="s">
        <v>641</v>
      </c>
      <c r="H147" s="185">
        <v>1</v>
      </c>
      <c r="I147" s="186"/>
      <c r="J147" s="187">
        <f>ROUND(I147*H147,2)</f>
        <v>0</v>
      </c>
      <c r="K147" s="183" t="s">
        <v>3239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281</v>
      </c>
      <c r="AT147" s="192" t="s">
        <v>382</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3573</v>
      </c>
    </row>
    <row r="148" spans="1:65" s="2" customFormat="1" ht="16.5" customHeight="1">
      <c r="A148" s="36"/>
      <c r="B148" s="37"/>
      <c r="C148" s="227" t="s">
        <v>514</v>
      </c>
      <c r="D148" s="227" t="s">
        <v>465</v>
      </c>
      <c r="E148" s="228" t="s">
        <v>3428</v>
      </c>
      <c r="F148" s="229" t="s">
        <v>3574</v>
      </c>
      <c r="G148" s="230" t="s">
        <v>3278</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546</v>
      </c>
      <c r="AT148" s="192" t="s">
        <v>465</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3575</v>
      </c>
    </row>
    <row r="149" spans="1:65" s="2" customFormat="1" ht="48.75">
      <c r="A149" s="36"/>
      <c r="B149" s="37"/>
      <c r="C149" s="38"/>
      <c r="D149" s="196" t="s">
        <v>1226</v>
      </c>
      <c r="E149" s="38"/>
      <c r="F149" s="248" t="s">
        <v>3576</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1226</v>
      </c>
      <c r="AU149" s="19" t="s">
        <v>82</v>
      </c>
    </row>
    <row r="150" spans="1:65" s="2" customFormat="1" ht="24.2" customHeight="1">
      <c r="A150" s="36"/>
      <c r="B150" s="37"/>
      <c r="C150" s="181" t="s">
        <v>520</v>
      </c>
      <c r="D150" s="181" t="s">
        <v>382</v>
      </c>
      <c r="E150" s="182" t="s">
        <v>3432</v>
      </c>
      <c r="F150" s="183" t="s">
        <v>3433</v>
      </c>
      <c r="G150" s="184" t="s">
        <v>3014</v>
      </c>
      <c r="H150" s="257"/>
      <c r="I150" s="186"/>
      <c r="J150" s="187">
        <f>ROUND(I150*H150,2)</f>
        <v>0</v>
      </c>
      <c r="K150" s="183" t="s">
        <v>3239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3577</v>
      </c>
    </row>
    <row r="151" spans="1:65" s="2" customFormat="1" ht="24.2" customHeight="1">
      <c r="A151" s="36"/>
      <c r="B151" s="37"/>
      <c r="C151" s="181" t="s">
        <v>525</v>
      </c>
      <c r="D151" s="181" t="s">
        <v>382</v>
      </c>
      <c r="E151" s="182" t="s">
        <v>3435</v>
      </c>
      <c r="F151" s="183" t="s">
        <v>3436</v>
      </c>
      <c r="G151" s="184" t="s">
        <v>3014</v>
      </c>
      <c r="H151" s="257"/>
      <c r="I151" s="186"/>
      <c r="J151" s="187">
        <f>ROUND(I151*H151,2)</f>
        <v>0</v>
      </c>
      <c r="K151" s="183" t="s">
        <v>3239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3578</v>
      </c>
    </row>
    <row r="152" spans="1:65" s="12" customFormat="1" ht="22.9" customHeight="1">
      <c r="B152" s="165"/>
      <c r="C152" s="166"/>
      <c r="D152" s="167" t="s">
        <v>71</v>
      </c>
      <c r="E152" s="179" t="s">
        <v>3450</v>
      </c>
      <c r="F152" s="179" t="s">
        <v>3451</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380</v>
      </c>
      <c r="BK152" s="178">
        <f>SUM(BK153:BK157)</f>
        <v>0</v>
      </c>
    </row>
    <row r="153" spans="1:65" s="2" customFormat="1" ht="16.5" customHeight="1">
      <c r="A153" s="36"/>
      <c r="B153" s="37"/>
      <c r="C153" s="227" t="s">
        <v>529</v>
      </c>
      <c r="D153" s="227" t="s">
        <v>465</v>
      </c>
      <c r="E153" s="228" t="s">
        <v>3452</v>
      </c>
      <c r="F153" s="229" t="s">
        <v>3453</v>
      </c>
      <c r="G153" s="230" t="s">
        <v>2389</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546</v>
      </c>
      <c r="AT153" s="192" t="s">
        <v>465</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3579</v>
      </c>
    </row>
    <row r="154" spans="1:65" s="14" customFormat="1" ht="11.25">
      <c r="B154" s="205"/>
      <c r="C154" s="206"/>
      <c r="D154" s="196" t="s">
        <v>388</v>
      </c>
      <c r="E154" s="207" t="s">
        <v>19</v>
      </c>
      <c r="F154" s="208" t="s">
        <v>3455</v>
      </c>
      <c r="G154" s="206"/>
      <c r="H154" s="209">
        <v>40</v>
      </c>
      <c r="I154" s="210"/>
      <c r="J154" s="206"/>
      <c r="K154" s="206"/>
      <c r="L154" s="211"/>
      <c r="M154" s="212"/>
      <c r="N154" s="213"/>
      <c r="O154" s="213"/>
      <c r="P154" s="213"/>
      <c r="Q154" s="213"/>
      <c r="R154" s="213"/>
      <c r="S154" s="213"/>
      <c r="T154" s="214"/>
      <c r="AT154" s="215" t="s">
        <v>388</v>
      </c>
      <c r="AU154" s="215" t="s">
        <v>82</v>
      </c>
      <c r="AV154" s="14" t="s">
        <v>82</v>
      </c>
      <c r="AW154" s="14" t="s">
        <v>33</v>
      </c>
      <c r="AX154" s="14" t="s">
        <v>79</v>
      </c>
      <c r="AY154" s="215" t="s">
        <v>380</v>
      </c>
    </row>
    <row r="155" spans="1:65" s="2" customFormat="1" ht="16.5" customHeight="1">
      <c r="A155" s="36"/>
      <c r="B155" s="37"/>
      <c r="C155" s="181" t="s">
        <v>534</v>
      </c>
      <c r="D155" s="181" t="s">
        <v>382</v>
      </c>
      <c r="E155" s="182" t="s">
        <v>3456</v>
      </c>
      <c r="F155" s="183" t="s">
        <v>2819</v>
      </c>
      <c r="G155" s="184" t="s">
        <v>2389</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3580</v>
      </c>
    </row>
    <row r="156" spans="1:65" s="2" customFormat="1" ht="16.5" customHeight="1">
      <c r="A156" s="36"/>
      <c r="B156" s="37"/>
      <c r="C156" s="181" t="s">
        <v>540</v>
      </c>
      <c r="D156" s="181" t="s">
        <v>382</v>
      </c>
      <c r="E156" s="182" t="s">
        <v>3458</v>
      </c>
      <c r="F156" s="183" t="s">
        <v>3459</v>
      </c>
      <c r="G156" s="184" t="s">
        <v>2389</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3581</v>
      </c>
    </row>
    <row r="157" spans="1:65" s="2" customFormat="1" ht="16.5" customHeight="1">
      <c r="A157" s="36"/>
      <c r="B157" s="37"/>
      <c r="C157" s="181" t="s">
        <v>546</v>
      </c>
      <c r="D157" s="181" t="s">
        <v>382</v>
      </c>
      <c r="E157" s="182" t="s">
        <v>3461</v>
      </c>
      <c r="F157" s="183" t="s">
        <v>3462</v>
      </c>
      <c r="G157" s="184" t="s">
        <v>2389</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3582</v>
      </c>
    </row>
    <row r="158" spans="1:65" s="12" customFormat="1" ht="22.9" customHeight="1">
      <c r="B158" s="165"/>
      <c r="C158" s="166"/>
      <c r="D158" s="167" t="s">
        <v>71</v>
      </c>
      <c r="E158" s="179" t="s">
        <v>2076</v>
      </c>
      <c r="F158" s="179" t="s">
        <v>3534</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380</v>
      </c>
      <c r="BK158" s="178">
        <f>SUM(BK159:BK160)</f>
        <v>0</v>
      </c>
    </row>
    <row r="159" spans="1:65" s="2" customFormat="1" ht="16.5" customHeight="1">
      <c r="A159" s="36"/>
      <c r="B159" s="37"/>
      <c r="C159" s="181" t="s">
        <v>552</v>
      </c>
      <c r="D159" s="181" t="s">
        <v>382</v>
      </c>
      <c r="E159" s="182" t="s">
        <v>3535</v>
      </c>
      <c r="F159" s="183" t="s">
        <v>3536</v>
      </c>
      <c r="G159" s="184" t="s">
        <v>2678</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3583</v>
      </c>
    </row>
    <row r="160" spans="1:65" s="14" customFormat="1" ht="11.25">
      <c r="B160" s="205"/>
      <c r="C160" s="206"/>
      <c r="D160" s="196" t="s">
        <v>388</v>
      </c>
      <c r="E160" s="207" t="s">
        <v>19</v>
      </c>
      <c r="F160" s="208" t="s">
        <v>3538</v>
      </c>
      <c r="G160" s="206"/>
      <c r="H160" s="209">
        <v>40</v>
      </c>
      <c r="I160" s="210"/>
      <c r="J160" s="206"/>
      <c r="K160" s="206"/>
      <c r="L160" s="211"/>
      <c r="M160" s="261"/>
      <c r="N160" s="262"/>
      <c r="O160" s="262"/>
      <c r="P160" s="262"/>
      <c r="Q160" s="262"/>
      <c r="R160" s="262"/>
      <c r="S160" s="262"/>
      <c r="T160" s="263"/>
      <c r="AT160" s="215" t="s">
        <v>388</v>
      </c>
      <c r="AU160" s="215" t="s">
        <v>82</v>
      </c>
      <c r="AV160" s="14" t="s">
        <v>82</v>
      </c>
      <c r="AW160" s="14" t="s">
        <v>33</v>
      </c>
      <c r="AX160" s="14" t="s">
        <v>79</v>
      </c>
      <c r="AY160" s="215" t="s">
        <v>380</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FkUVWa2IBjNe2A5W6aOJWqsn2Lkt4XWuzC2lWafoO0Ew5iDhGW05OhFrwhiACA2VdRelunh058TRaHtucCttVg==" saltValue="X08D+l0gUHcjE2lNglh8dgqBMMdrD8Nt32Bc2Zjk501+WcM/N7QpQxuP436QeTjX36xpdSmCfQ55F6AtdTETzw==" spinCount="100000" sheet="1" objects="1" scenarios="1" formatColumns="0" formatRows="0" autoFilter="0"/>
  <autoFilter ref="C95:K160" xr:uid="{00000000-0009-0000-0000-00000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3584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ROUND((SUM(BE96:BE175)),  2)</f>
        <v>0</v>
      </c>
      <c r="G37" s="36"/>
      <c r="H37" s="36"/>
      <c r="I37" s="127">
        <v>0.21</v>
      </c>
      <c r="J37" s="126">
        <f>ROUND(((SUM(BE96:BE175))*I37),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ROUND((SUM(BF96:BF175)),  2)</f>
        <v>0</v>
      </c>
      <c r="G38" s="36"/>
      <c r="H38" s="36"/>
      <c r="I38" s="127">
        <v>0.15</v>
      </c>
      <c r="J38" s="126">
        <f>ROUND(((SUM(BF96:BF175))*I38),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04 - Kanceláře východ a příruční sklad</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347</v>
      </c>
      <c r="E69" s="151"/>
      <c r="F69" s="151"/>
      <c r="G69" s="151"/>
      <c r="H69" s="151"/>
      <c r="I69" s="151"/>
      <c r="J69" s="152">
        <f>J98</f>
        <v>0</v>
      </c>
      <c r="K69" s="99"/>
      <c r="L69" s="153"/>
    </row>
    <row r="70" spans="1:47" s="10" customFormat="1" ht="19.899999999999999" customHeight="1">
      <c r="B70" s="149"/>
      <c r="C70" s="99"/>
      <c r="D70" s="150" t="s">
        <v>3235</v>
      </c>
      <c r="E70" s="151"/>
      <c r="F70" s="151"/>
      <c r="G70" s="151"/>
      <c r="H70" s="151"/>
      <c r="I70" s="151"/>
      <c r="J70" s="152">
        <f>J109</f>
        <v>0</v>
      </c>
      <c r="K70" s="99"/>
      <c r="L70" s="153"/>
    </row>
    <row r="71" spans="1:47" s="10" customFormat="1" ht="19.899999999999999" customHeight="1">
      <c r="B71" s="149"/>
      <c r="C71" s="99"/>
      <c r="D71" s="150" t="s">
        <v>3236</v>
      </c>
      <c r="E71" s="151"/>
      <c r="F71" s="151"/>
      <c r="G71" s="151"/>
      <c r="H71" s="151"/>
      <c r="I71" s="151"/>
      <c r="J71" s="152">
        <f>J167</f>
        <v>0</v>
      </c>
      <c r="K71" s="99"/>
      <c r="L71" s="153"/>
    </row>
    <row r="72" spans="1:47" s="10" customFormat="1" ht="19.899999999999999" customHeight="1">
      <c r="B72" s="149"/>
      <c r="C72" s="99"/>
      <c r="D72" s="150" t="s">
        <v>3465</v>
      </c>
      <c r="E72" s="151"/>
      <c r="F72" s="151"/>
      <c r="G72" s="151"/>
      <c r="H72" s="151"/>
      <c r="I72" s="151"/>
      <c r="J72" s="152">
        <f>J173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3229</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04 - Kanceláře východ a příruční sklad</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1.0335645</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P98+P109+P167+P173</f>
        <v>0</v>
      </c>
      <c r="Q97" s="173"/>
      <c r="R97" s="174">
        <f>R98+R109+R167+R173</f>
        <v>1.0335645</v>
      </c>
      <c r="S97" s="173"/>
      <c r="T97" s="175">
        <f>T98+T109+T167+T173</f>
        <v>0</v>
      </c>
      <c r="AR97" s="176" t="s">
        <v>82</v>
      </c>
      <c r="AT97" s="177" t="s">
        <v>71</v>
      </c>
      <c r="AU97" s="177" t="s">
        <v>72</v>
      </c>
      <c r="AY97" s="176" t="s">
        <v>380</v>
      </c>
      <c r="BK97" s="178">
        <f>BK98+BK109+BK167+BK173</f>
        <v>0</v>
      </c>
    </row>
    <row r="98" spans="1:65" s="12" customFormat="1" ht="22.9" customHeight="1">
      <c r="B98" s="165"/>
      <c r="C98" s="166"/>
      <c r="D98" s="167" t="s">
        <v>71</v>
      </c>
      <c r="E98" s="179" t="s">
        <v>1523</v>
      </c>
      <c r="F98" s="179" t="s">
        <v>1524</v>
      </c>
      <c r="G98" s="166"/>
      <c r="H98" s="166"/>
      <c r="I98" s="169"/>
      <c r="J98" s="180">
        <f>BK98</f>
        <v>0</v>
      </c>
      <c r="K98" s="166"/>
      <c r="L98" s="171"/>
      <c r="M98" s="172"/>
      <c r="N98" s="173"/>
      <c r="O98" s="173"/>
      <c r="P98" s="174">
        <f>SUM(P99:P108)</f>
        <v>0</v>
      </c>
      <c r="Q98" s="173"/>
      <c r="R98" s="174">
        <f>SUM(R99:R108)</f>
        <v>0.26096550000000002</v>
      </c>
      <c r="S98" s="173"/>
      <c r="T98" s="175">
        <f>SUM(T99:T108)</f>
        <v>0</v>
      </c>
      <c r="AR98" s="176" t="s">
        <v>82</v>
      </c>
      <c r="AT98" s="177" t="s">
        <v>71</v>
      </c>
      <c r="AU98" s="177" t="s">
        <v>79</v>
      </c>
      <c r="AY98" s="176" t="s">
        <v>380</v>
      </c>
      <c r="BK98" s="178">
        <f>SUM(BK99:BK108)</f>
        <v>0</v>
      </c>
    </row>
    <row r="99" spans="1:65" s="2" customFormat="1" ht="24.2" customHeight="1">
      <c r="A99" s="36"/>
      <c r="B99" s="37"/>
      <c r="C99" s="181" t="s">
        <v>79</v>
      </c>
      <c r="D99" s="181" t="s">
        <v>382</v>
      </c>
      <c r="E99" s="182" t="s">
        <v>3237</v>
      </c>
      <c r="F99" s="183" t="s">
        <v>3238</v>
      </c>
      <c r="G99" s="184" t="s">
        <v>398</v>
      </c>
      <c r="H99" s="185">
        <v>71.5</v>
      </c>
      <c r="I99" s="186"/>
      <c r="J99" s="187">
        <f>ROUND(I99*H99,2)</f>
        <v>0</v>
      </c>
      <c r="K99" s="183" t="s">
        <v>3239</v>
      </c>
      <c r="L99" s="41"/>
      <c r="M99" s="188" t="s">
        <v>19</v>
      </c>
      <c r="N99" s="189" t="s">
        <v>43</v>
      </c>
      <c r="O99" s="66"/>
      <c r="P99" s="190">
        <f>O99*H99</f>
        <v>0</v>
      </c>
      <c r="Q99" s="190">
        <v>1.5100000000000001E-3</v>
      </c>
      <c r="R99" s="190">
        <f>Q99*H99</f>
        <v>0.10796500000000001</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3585</v>
      </c>
    </row>
    <row r="100" spans="1:65" s="2" customFormat="1" ht="16.5" customHeight="1">
      <c r="A100" s="36"/>
      <c r="B100" s="37"/>
      <c r="C100" s="227" t="s">
        <v>82</v>
      </c>
      <c r="D100" s="227" t="s">
        <v>465</v>
      </c>
      <c r="E100" s="228" t="s">
        <v>3241</v>
      </c>
      <c r="F100" s="229" t="s">
        <v>3242</v>
      </c>
      <c r="G100" s="230" t="s">
        <v>398</v>
      </c>
      <c r="H100" s="231">
        <v>62</v>
      </c>
      <c r="I100" s="232"/>
      <c r="J100" s="233">
        <f>ROUND(I100*H100,2)</f>
        <v>0</v>
      </c>
      <c r="K100" s="229" t="s">
        <v>3239</v>
      </c>
      <c r="L100" s="234"/>
      <c r="M100" s="235" t="s">
        <v>19</v>
      </c>
      <c r="N100" s="236" t="s">
        <v>43</v>
      </c>
      <c r="O100" s="66"/>
      <c r="P100" s="190">
        <f>O100*H100</f>
        <v>0</v>
      </c>
      <c r="Q100" s="190">
        <v>2E-3</v>
      </c>
      <c r="R100" s="190">
        <f>Q100*H100</f>
        <v>0.124</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3586</v>
      </c>
    </row>
    <row r="101" spans="1:65" s="14" customFormat="1" ht="11.25">
      <c r="B101" s="205"/>
      <c r="C101" s="206"/>
      <c r="D101" s="196" t="s">
        <v>388</v>
      </c>
      <c r="E101" s="207" t="s">
        <v>19</v>
      </c>
      <c r="F101" s="208" t="s">
        <v>3587</v>
      </c>
      <c r="G101" s="206"/>
      <c r="H101" s="209">
        <v>62</v>
      </c>
      <c r="I101" s="210"/>
      <c r="J101" s="206"/>
      <c r="K101" s="206"/>
      <c r="L101" s="211"/>
      <c r="M101" s="212"/>
      <c r="N101" s="213"/>
      <c r="O101" s="213"/>
      <c r="P101" s="213"/>
      <c r="Q101" s="213"/>
      <c r="R101" s="213"/>
      <c r="S101" s="213"/>
      <c r="T101" s="214"/>
      <c r="AT101" s="215" t="s">
        <v>388</v>
      </c>
      <c r="AU101" s="215" t="s">
        <v>82</v>
      </c>
      <c r="AV101" s="14" t="s">
        <v>82</v>
      </c>
      <c r="AW101" s="14" t="s">
        <v>33</v>
      </c>
      <c r="AX101" s="14" t="s">
        <v>79</v>
      </c>
      <c r="AY101" s="215" t="s">
        <v>380</v>
      </c>
    </row>
    <row r="102" spans="1:65" s="2" customFormat="1" ht="16.5" customHeight="1">
      <c r="A102" s="36"/>
      <c r="B102" s="37"/>
      <c r="C102" s="227" t="s">
        <v>99</v>
      </c>
      <c r="D102" s="227" t="s">
        <v>465</v>
      </c>
      <c r="E102" s="228" t="s">
        <v>3245</v>
      </c>
      <c r="F102" s="229" t="s">
        <v>3246</v>
      </c>
      <c r="G102" s="230" t="s">
        <v>398</v>
      </c>
      <c r="H102" s="231">
        <v>9.5</v>
      </c>
      <c r="I102" s="232"/>
      <c r="J102" s="233">
        <f>ROUND(I102*H102,2)</f>
        <v>0</v>
      </c>
      <c r="K102" s="229" t="s">
        <v>3239</v>
      </c>
      <c r="L102" s="234"/>
      <c r="M102" s="235" t="s">
        <v>19</v>
      </c>
      <c r="N102" s="236" t="s">
        <v>43</v>
      </c>
      <c r="O102" s="66"/>
      <c r="P102" s="190">
        <f>O102*H102</f>
        <v>0</v>
      </c>
      <c r="Q102" s="190">
        <v>3.0000000000000001E-3</v>
      </c>
      <c r="R102" s="190">
        <f>Q102*H102</f>
        <v>2.8500000000000001E-2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3588</v>
      </c>
    </row>
    <row r="103" spans="1:65" s="14" customFormat="1" ht="11.25">
      <c r="B103" s="205"/>
      <c r="C103" s="206"/>
      <c r="D103" s="196" t="s">
        <v>388</v>
      </c>
      <c r="E103" s="207" t="s">
        <v>19</v>
      </c>
      <c r="F103" s="208" t="s">
        <v>3589</v>
      </c>
      <c r="G103" s="206"/>
      <c r="H103" s="209">
        <v>9.5</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7.15</v>
      </c>
      <c r="I104" s="186"/>
      <c r="J104" s="187">
        <f>ROUND(I104*H104,2)</f>
        <v>0</v>
      </c>
      <c r="K104" s="183" t="s">
        <v>3239</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3590</v>
      </c>
    </row>
    <row r="105" spans="1:65" s="2" customFormat="1" ht="16.5" customHeight="1">
      <c r="A105" s="36"/>
      <c r="B105" s="37"/>
      <c r="C105" s="227" t="s">
        <v>405</v>
      </c>
      <c r="D105" s="227" t="s">
        <v>465</v>
      </c>
      <c r="E105" s="228" t="s">
        <v>3261</v>
      </c>
      <c r="F105" s="229" t="s">
        <v>3262</v>
      </c>
      <c r="G105" s="230" t="s">
        <v>398</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3591</v>
      </c>
    </row>
    <row r="106" spans="1:65" s="14" customFormat="1" ht="11.25">
      <c r="B106" s="205"/>
      <c r="C106" s="206"/>
      <c r="D106" s="196" t="s">
        <v>388</v>
      </c>
      <c r="E106" s="207" t="s">
        <v>19</v>
      </c>
      <c r="F106" s="208" t="s">
        <v>3592</v>
      </c>
      <c r="G106" s="206"/>
      <c r="H106" s="209">
        <v>7.15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3593</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3594</v>
      </c>
    </row>
    <row r="109" spans="1:65" s="12" customFormat="1" ht="22.9" customHeight="1">
      <c r="B109" s="165"/>
      <c r="C109" s="166"/>
      <c r="D109" s="167" t="s">
        <v>71</v>
      </c>
      <c r="E109" s="179" t="s">
        <v>3271</v>
      </c>
      <c r="F109" s="179" t="s">
        <v>3272</v>
      </c>
      <c r="G109" s="166"/>
      <c r="H109" s="166"/>
      <c r="I109" s="169"/>
      <c r="J109" s="180">
        <f>BK109</f>
        <v>0</v>
      </c>
      <c r="K109" s="166"/>
      <c r="L109" s="171"/>
      <c r="M109" s="172"/>
      <c r="N109" s="173"/>
      <c r="O109" s="173"/>
      <c r="P109" s="174">
        <f>SUM(P110:P166)</f>
        <v>0</v>
      </c>
      <c r="Q109" s="173"/>
      <c r="R109" s="174">
        <f>SUM(R110:R166)</f>
        <v>0.77259899999999992</v>
      </c>
      <c r="S109" s="173"/>
      <c r="T109" s="175">
        <f>SUM(T110:T166)</f>
        <v>0</v>
      </c>
      <c r="AR109" s="176" t="s">
        <v>82</v>
      </c>
      <c r="AT109" s="177" t="s">
        <v>71</v>
      </c>
      <c r="AU109" s="177" t="s">
        <v>79</v>
      </c>
      <c r="AY109" s="176" t="s">
        <v>380</v>
      </c>
      <c r="BK109" s="178">
        <f>SUM(BK110:BK166)</f>
        <v>0</v>
      </c>
    </row>
    <row r="110" spans="1:65" s="2" customFormat="1" ht="21.75" customHeight="1">
      <c r="A110" s="36"/>
      <c r="B110" s="37"/>
      <c r="C110" s="181" t="s">
        <v>424</v>
      </c>
      <c r="D110" s="181" t="s">
        <v>382</v>
      </c>
      <c r="E110" s="182" t="s">
        <v>3284</v>
      </c>
      <c r="F110" s="183" t="s">
        <v>3285</v>
      </c>
      <c r="G110" s="184" t="s">
        <v>641</v>
      </c>
      <c r="H110" s="185">
        <v>3</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3595</v>
      </c>
    </row>
    <row r="111" spans="1:65" s="2" customFormat="1" ht="16.5" customHeight="1">
      <c r="A111" s="36"/>
      <c r="B111" s="37"/>
      <c r="C111" s="227" t="s">
        <v>430</v>
      </c>
      <c r="D111" s="227" t="s">
        <v>465</v>
      </c>
      <c r="E111" s="228" t="s">
        <v>3287</v>
      </c>
      <c r="F111" s="229" t="s">
        <v>3288</v>
      </c>
      <c r="G111" s="230" t="s">
        <v>3278</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3596</v>
      </c>
    </row>
    <row r="112" spans="1:65" s="2" customFormat="1" ht="29.25">
      <c r="A112" s="36"/>
      <c r="B112" s="37"/>
      <c r="C112" s="38"/>
      <c r="D112" s="196" t="s">
        <v>1226</v>
      </c>
      <c r="E112" s="38"/>
      <c r="F112" s="248" t="s">
        <v>3290</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122</v>
      </c>
      <c r="D113" s="227" t="s">
        <v>465</v>
      </c>
      <c r="E113" s="228" t="s">
        <v>3291</v>
      </c>
      <c r="F113" s="229" t="s">
        <v>3292</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3597</v>
      </c>
    </row>
    <row r="114" spans="1:65" s="2" customFormat="1" ht="29.25">
      <c r="A114" s="36"/>
      <c r="B114" s="37"/>
      <c r="C114" s="38"/>
      <c r="D114" s="196" t="s">
        <v>1226</v>
      </c>
      <c r="E114" s="38"/>
      <c r="F114" s="248" t="s">
        <v>3290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24.2" customHeight="1">
      <c r="A115" s="36"/>
      <c r="B115" s="37"/>
      <c r="C115" s="181" t="s">
        <v>125</v>
      </c>
      <c r="D115" s="181" t="s">
        <v>382</v>
      </c>
      <c r="E115" s="182" t="s">
        <v>3476</v>
      </c>
      <c r="F115" s="183" t="s">
        <v>3477</v>
      </c>
      <c r="G115" s="184" t="s">
        <v>641</v>
      </c>
      <c r="H115" s="185">
        <v>12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3598</v>
      </c>
    </row>
    <row r="116" spans="1:65" s="2" customFormat="1" ht="24.2" customHeight="1">
      <c r="A116" s="36"/>
      <c r="B116" s="37"/>
      <c r="C116" s="227" t="s">
        <v>128</v>
      </c>
      <c r="D116" s="227" t="s">
        <v>465</v>
      </c>
      <c r="E116" s="228" t="s">
        <v>3479</v>
      </c>
      <c r="F116" s="229" t="s">
        <v>3599</v>
      </c>
      <c r="G116" s="230" t="s">
        <v>3278</v>
      </c>
      <c r="H116" s="231">
        <v>4</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3600</v>
      </c>
    </row>
    <row r="117" spans="1:65" s="2" customFormat="1" ht="19.5">
      <c r="A117" s="36"/>
      <c r="B117" s="37"/>
      <c r="C117" s="38"/>
      <c r="D117" s="196" t="s">
        <v>1226</v>
      </c>
      <c r="E117" s="38"/>
      <c r="F117" s="248" t="s">
        <v>3601</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24.2" customHeight="1">
      <c r="A118" s="36"/>
      <c r="B118" s="37"/>
      <c r="C118" s="227" t="s">
        <v>131</v>
      </c>
      <c r="D118" s="227" t="s">
        <v>465</v>
      </c>
      <c r="E118" s="228" t="s">
        <v>3483</v>
      </c>
      <c r="F118" s="229" t="s">
        <v>3602</v>
      </c>
      <c r="G118" s="230" t="s">
        <v>3278</v>
      </c>
      <c r="H118" s="231">
        <v>8</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3603</v>
      </c>
    </row>
    <row r="119" spans="1:65" s="2" customFormat="1" ht="19.5">
      <c r="A119" s="36"/>
      <c r="B119" s="37"/>
      <c r="C119" s="38"/>
      <c r="D119" s="196" t="s">
        <v>1226</v>
      </c>
      <c r="E119" s="38"/>
      <c r="F119" s="248" t="s">
        <v>3604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181" t="s">
        <v>134</v>
      </c>
      <c r="D120" s="181" t="s">
        <v>382</v>
      </c>
      <c r="E120" s="182" t="s">
        <v>3301</v>
      </c>
      <c r="F120" s="183" t="s">
        <v>3302</v>
      </c>
      <c r="G120" s="184" t="s">
        <v>641</v>
      </c>
      <c r="H120" s="185">
        <v>4</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3605</v>
      </c>
    </row>
    <row r="121" spans="1:65" s="2" customFormat="1" ht="16.5" customHeight="1">
      <c r="A121" s="36"/>
      <c r="B121" s="37"/>
      <c r="C121" s="227" t="s">
        <v>8</v>
      </c>
      <c r="D121" s="227" t="s">
        <v>465</v>
      </c>
      <c r="E121" s="228" t="s">
        <v>3606</v>
      </c>
      <c r="F121" s="229" t="s">
        <v>3305</v>
      </c>
      <c r="G121" s="230" t="s">
        <v>3278</v>
      </c>
      <c r="H121" s="231">
        <v>4</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3607</v>
      </c>
    </row>
    <row r="122" spans="1:65" s="2" customFormat="1" ht="39">
      <c r="A122" s="36"/>
      <c r="B122" s="37"/>
      <c r="C122" s="38"/>
      <c r="D122" s="196" t="s">
        <v>1226</v>
      </c>
      <c r="E122" s="38"/>
      <c r="F122" s="248" t="s">
        <v>3307</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16.5" customHeight="1">
      <c r="A123" s="36"/>
      <c r="B123" s="37"/>
      <c r="C123" s="181" t="s">
        <v>281</v>
      </c>
      <c r="D123" s="181" t="s">
        <v>382</v>
      </c>
      <c r="E123" s="182" t="s">
        <v>3308</v>
      </c>
      <c r="F123" s="183" t="s">
        <v>3309</v>
      </c>
      <c r="G123" s="184" t="s">
        <v>641</v>
      </c>
      <c r="H123" s="185">
        <v>2</v>
      </c>
      <c r="I123" s="186"/>
      <c r="J123" s="187">
        <f>ROUND(I123*H123,2)</f>
        <v>0</v>
      </c>
      <c r="K123" s="183" t="s">
        <v>3239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3608</v>
      </c>
    </row>
    <row r="124" spans="1:65" s="2" customFormat="1" ht="16.5" customHeight="1">
      <c r="A124" s="36"/>
      <c r="B124" s="37"/>
      <c r="C124" s="227" t="s">
        <v>471</v>
      </c>
      <c r="D124" s="227" t="s">
        <v>465</v>
      </c>
      <c r="E124" s="228" t="s">
        <v>3311</v>
      </c>
      <c r="F124" s="229" t="s">
        <v>3492</v>
      </c>
      <c r="G124" s="230" t="s">
        <v>3278</v>
      </c>
      <c r="H124" s="231">
        <v>2</v>
      </c>
      <c r="I124" s="232"/>
      <c r="J124" s="233">
        <f>ROUND(I124*H124,2)</f>
        <v>0</v>
      </c>
      <c r="K124" s="229" t="s">
        <v>19</v>
      </c>
      <c r="L124" s="234"/>
      <c r="M124" s="235" t="s">
        <v>19</v>
      </c>
      <c r="N124" s="236"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546</v>
      </c>
      <c r="AT124" s="192" t="s">
        <v>465</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3609</v>
      </c>
    </row>
    <row r="125" spans="1:65" s="2" customFormat="1" ht="48.75">
      <c r="A125" s="36"/>
      <c r="B125" s="37"/>
      <c r="C125" s="38"/>
      <c r="D125" s="196" t="s">
        <v>1226</v>
      </c>
      <c r="E125" s="38"/>
      <c r="F125" s="248" t="s">
        <v>3494</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1226</v>
      </c>
      <c r="AU125" s="19" t="s">
        <v>82</v>
      </c>
    </row>
    <row r="126" spans="1:65" s="2" customFormat="1" ht="24.2" customHeight="1">
      <c r="A126" s="36"/>
      <c r="B126" s="37"/>
      <c r="C126" s="181" t="s">
        <v>477</v>
      </c>
      <c r="D126" s="181" t="s">
        <v>382</v>
      </c>
      <c r="E126" s="182" t="s">
        <v>3344</v>
      </c>
      <c r="F126" s="183" t="s">
        <v>3345</v>
      </c>
      <c r="G126" s="184" t="s">
        <v>452</v>
      </c>
      <c r="H126" s="185">
        <v>57.85</v>
      </c>
      <c r="I126" s="186"/>
      <c r="J126" s="187">
        <f>ROUND(I126*H126,2)</f>
        <v>0</v>
      </c>
      <c r="K126" s="183" t="s">
        <v>3239</v>
      </c>
      <c r="L126" s="41"/>
      <c r="M126" s="188" t="s">
        <v>19</v>
      </c>
      <c r="N126" s="189" t="s">
        <v>43</v>
      </c>
      <c r="O126" s="66"/>
      <c r="P126" s="190">
        <f>O126*H126</f>
        <v>0</v>
      </c>
      <c r="Q126" s="190">
        <v>3.1199999999999999E-3</v>
      </c>
      <c r="R126" s="190">
        <f>Q126*H126</f>
        <v>0.18049200000000001</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3610</v>
      </c>
    </row>
    <row r="127" spans="1:65" s="2" customFormat="1" ht="29.25">
      <c r="A127" s="36"/>
      <c r="B127" s="37"/>
      <c r="C127" s="38"/>
      <c r="D127" s="196" t="s">
        <v>1226</v>
      </c>
      <c r="E127" s="38"/>
      <c r="F127" s="248" t="s">
        <v>3318</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1226</v>
      </c>
      <c r="AU127" s="19" t="s">
        <v>82</v>
      </c>
    </row>
    <row r="128" spans="1:65" s="13" customFormat="1" ht="11.25">
      <c r="B128" s="194"/>
      <c r="C128" s="195"/>
      <c r="D128" s="196" t="s">
        <v>388</v>
      </c>
      <c r="E128" s="197" t="s">
        <v>19</v>
      </c>
      <c r="F128" s="198" t="s">
        <v>3347</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3611</v>
      </c>
      <c r="G129" s="206"/>
      <c r="H129" s="209">
        <v>14.3</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3349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3612</v>
      </c>
      <c r="G131" s="206"/>
      <c r="H131" s="209">
        <v>16.899999999999999</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3351</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3613</v>
      </c>
      <c r="G133" s="206"/>
      <c r="H133" s="209">
        <v>26.65</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5" customFormat="1" ht="11.25">
      <c r="B134" s="216"/>
      <c r="C134" s="217"/>
      <c r="D134" s="196" t="s">
        <v>388</v>
      </c>
      <c r="E134" s="218" t="s">
        <v>19</v>
      </c>
      <c r="F134" s="219" t="s">
        <v>419</v>
      </c>
      <c r="G134" s="217"/>
      <c r="H134" s="220">
        <v>57.849999999999994</v>
      </c>
      <c r="I134" s="221"/>
      <c r="J134" s="217"/>
      <c r="K134" s="217"/>
      <c r="L134" s="222"/>
      <c r="M134" s="223"/>
      <c r="N134" s="224"/>
      <c r="O134" s="224"/>
      <c r="P134" s="224"/>
      <c r="Q134" s="224"/>
      <c r="R134" s="224"/>
      <c r="S134" s="224"/>
      <c r="T134" s="225"/>
      <c r="AT134" s="226" t="s">
        <v>388</v>
      </c>
      <c r="AU134" s="226" t="s">
        <v>82</v>
      </c>
      <c r="AV134" s="15" t="s">
        <v>386</v>
      </c>
      <c r="AW134" s="15" t="s">
        <v>33</v>
      </c>
      <c r="AX134" s="15" t="s">
        <v>79</v>
      </c>
      <c r="AY134" s="226" t="s">
        <v>380</v>
      </c>
    </row>
    <row r="135" spans="1:65" s="2" customFormat="1" ht="24.2" customHeight="1">
      <c r="A135" s="36"/>
      <c r="B135" s="37"/>
      <c r="C135" s="181" t="s">
        <v>284</v>
      </c>
      <c r="D135" s="181" t="s">
        <v>382</v>
      </c>
      <c r="E135" s="182" t="s">
        <v>3353</v>
      </c>
      <c r="F135" s="183" t="s">
        <v>3354</v>
      </c>
      <c r="G135" s="184" t="s">
        <v>452</v>
      </c>
      <c r="H135" s="185">
        <v>55.9</v>
      </c>
      <c r="I135" s="186"/>
      <c r="J135" s="187">
        <f>ROUND(I135*H135,2)</f>
        <v>0</v>
      </c>
      <c r="K135" s="183" t="s">
        <v>3239</v>
      </c>
      <c r="L135" s="41"/>
      <c r="M135" s="188" t="s">
        <v>19</v>
      </c>
      <c r="N135" s="189" t="s">
        <v>43</v>
      </c>
      <c r="O135" s="66"/>
      <c r="P135" s="190">
        <f>O135*H135</f>
        <v>0</v>
      </c>
      <c r="Q135" s="190">
        <v>6.5300000000000002E-3</v>
      </c>
      <c r="R135" s="190">
        <f>Q135*H135</f>
        <v>0.36502699999999999</v>
      </c>
      <c r="S135" s="190">
        <v>0</v>
      </c>
      <c r="T135" s="191">
        <f>S135*H135</f>
        <v>0</v>
      </c>
      <c r="U135" s="36"/>
      <c r="V135" s="36"/>
      <c r="W135" s="36"/>
      <c r="X135" s="36"/>
      <c r="Y135" s="36"/>
      <c r="Z135" s="36"/>
      <c r="AA135" s="36"/>
      <c r="AB135" s="36"/>
      <c r="AC135" s="36"/>
      <c r="AD135" s="36"/>
      <c r="AE135" s="36"/>
      <c r="AR135" s="192" t="s">
        <v>281</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3614</v>
      </c>
    </row>
    <row r="136" spans="1:65" s="2" customFormat="1" ht="29.25">
      <c r="A136" s="36"/>
      <c r="B136" s="37"/>
      <c r="C136" s="38"/>
      <c r="D136" s="196" t="s">
        <v>1226</v>
      </c>
      <c r="E136" s="38"/>
      <c r="F136" s="248" t="s">
        <v>3318</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13" customFormat="1" ht="11.25">
      <c r="B137" s="194"/>
      <c r="C137" s="195"/>
      <c r="D137" s="196" t="s">
        <v>388</v>
      </c>
      <c r="E137" s="197" t="s">
        <v>19</v>
      </c>
      <c r="F137" s="198" t="s">
        <v>3496</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3615</v>
      </c>
      <c r="G138" s="206"/>
      <c r="H138" s="209">
        <v>41.6</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3" customFormat="1" ht="11.25">
      <c r="B139" s="194"/>
      <c r="C139" s="195"/>
      <c r="D139" s="196" t="s">
        <v>388</v>
      </c>
      <c r="E139" s="197" t="s">
        <v>19</v>
      </c>
      <c r="F139" s="198" t="s">
        <v>3356</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3616</v>
      </c>
      <c r="G140" s="206"/>
      <c r="H140" s="209">
        <v>14.3</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5" customFormat="1" ht="11.25">
      <c r="B141" s="216"/>
      <c r="C141" s="217"/>
      <c r="D141" s="196" t="s">
        <v>388</v>
      </c>
      <c r="E141" s="218" t="s">
        <v>19</v>
      </c>
      <c r="F141" s="219" t="s">
        <v>419</v>
      </c>
      <c r="G141" s="217"/>
      <c r="H141" s="220">
        <v>55.900000000000006</v>
      </c>
      <c r="I141" s="221"/>
      <c r="J141" s="217"/>
      <c r="K141" s="217"/>
      <c r="L141" s="222"/>
      <c r="M141" s="223"/>
      <c r="N141" s="224"/>
      <c r="O141" s="224"/>
      <c r="P141" s="224"/>
      <c r="Q141" s="224"/>
      <c r="R141" s="224"/>
      <c r="S141" s="224"/>
      <c r="T141" s="225"/>
      <c r="AT141" s="226" t="s">
        <v>388</v>
      </c>
      <c r="AU141" s="226" t="s">
        <v>82</v>
      </c>
      <c r="AV141" s="15" t="s">
        <v>386</v>
      </c>
      <c r="AW141" s="15" t="s">
        <v>33</v>
      </c>
      <c r="AX141" s="15" t="s">
        <v>79</v>
      </c>
      <c r="AY141" s="226" t="s">
        <v>380</v>
      </c>
    </row>
    <row r="142" spans="1:65" s="2" customFormat="1" ht="24.2" customHeight="1">
      <c r="A142" s="36"/>
      <c r="B142" s="37"/>
      <c r="C142" s="181" t="s">
        <v>486</v>
      </c>
      <c r="D142" s="181" t="s">
        <v>382</v>
      </c>
      <c r="E142" s="182" t="s">
        <v>3507</v>
      </c>
      <c r="F142" s="183" t="s">
        <v>3508</v>
      </c>
      <c r="G142" s="184" t="s">
        <v>641</v>
      </c>
      <c r="H142" s="185">
        <v>2</v>
      </c>
      <c r="I142" s="186"/>
      <c r="J142" s="187">
        <f>ROUND(I142*H142,2)</f>
        <v>0</v>
      </c>
      <c r="K142" s="183" t="s">
        <v>3239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281</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281</v>
      </c>
      <c r="BM142" s="192" t="s">
        <v>3617</v>
      </c>
    </row>
    <row r="143" spans="1:65" s="2" customFormat="1" ht="16.5" customHeight="1">
      <c r="A143" s="36"/>
      <c r="B143" s="37"/>
      <c r="C143" s="227" t="s">
        <v>7</v>
      </c>
      <c r="D143" s="227" t="s">
        <v>465</v>
      </c>
      <c r="E143" s="228" t="s">
        <v>3368</v>
      </c>
      <c r="F143" s="229" t="s">
        <v>3369</v>
      </c>
      <c r="G143" s="230" t="s">
        <v>3278</v>
      </c>
      <c r="H143" s="231">
        <v>2</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546</v>
      </c>
      <c r="AT143" s="192" t="s">
        <v>465</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3618</v>
      </c>
    </row>
    <row r="144" spans="1:65" s="2" customFormat="1" ht="19.5">
      <c r="A144" s="36"/>
      <c r="B144" s="37"/>
      <c r="C144" s="38"/>
      <c r="D144" s="196" t="s">
        <v>1226</v>
      </c>
      <c r="E144" s="38"/>
      <c r="F144" s="248" t="s">
        <v>3371</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1226</v>
      </c>
      <c r="AU144" s="19" t="s">
        <v>82</v>
      </c>
    </row>
    <row r="145" spans="1:65" s="2" customFormat="1" ht="21.75" customHeight="1">
      <c r="A145" s="36"/>
      <c r="B145" s="37"/>
      <c r="C145" s="181" t="s">
        <v>495</v>
      </c>
      <c r="D145" s="181" t="s">
        <v>382</v>
      </c>
      <c r="E145" s="182" t="s">
        <v>3372</v>
      </c>
      <c r="F145" s="183" t="s">
        <v>3373</v>
      </c>
      <c r="G145" s="184" t="s">
        <v>452</v>
      </c>
      <c r="H145" s="185">
        <v>7.15</v>
      </c>
      <c r="I145" s="186"/>
      <c r="J145" s="187">
        <f>ROUND(I145*H145,2)</f>
        <v>0</v>
      </c>
      <c r="K145" s="183" t="s">
        <v>3239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3619</v>
      </c>
    </row>
    <row r="146" spans="1:65" s="2" customFormat="1" ht="16.5" customHeight="1">
      <c r="A146" s="36"/>
      <c r="B146" s="37"/>
      <c r="C146" s="227" t="s">
        <v>500</v>
      </c>
      <c r="D146" s="227" t="s">
        <v>465</v>
      </c>
      <c r="E146" s="228" t="s">
        <v>3375</v>
      </c>
      <c r="F146" s="229" t="s">
        <v>3376</v>
      </c>
      <c r="G146" s="230" t="s">
        <v>452</v>
      </c>
      <c r="H146" s="231">
        <v>1.95</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546</v>
      </c>
      <c r="AT146" s="192" t="s">
        <v>465</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3620</v>
      </c>
    </row>
    <row r="147" spans="1:65" s="2" customFormat="1" ht="117">
      <c r="A147" s="36"/>
      <c r="B147" s="37"/>
      <c r="C147" s="38"/>
      <c r="D147" s="196" t="s">
        <v>1226</v>
      </c>
      <c r="E147" s="38"/>
      <c r="F147" s="248" t="s">
        <v>3378</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1226</v>
      </c>
      <c r="AU147" s="19" t="s">
        <v>82</v>
      </c>
    </row>
    <row r="148" spans="1:65" s="14" customFormat="1" ht="11.25">
      <c r="B148" s="205"/>
      <c r="C148" s="206"/>
      <c r="D148" s="196" t="s">
        <v>388</v>
      </c>
      <c r="E148" s="207" t="s">
        <v>19</v>
      </c>
      <c r="F148" s="208" t="s">
        <v>3621</v>
      </c>
      <c r="G148" s="206"/>
      <c r="H148" s="209">
        <v>1.95</v>
      </c>
      <c r="I148" s="210"/>
      <c r="J148" s="206"/>
      <c r="K148" s="206"/>
      <c r="L148" s="211"/>
      <c r="M148" s="212"/>
      <c r="N148" s="213"/>
      <c r="O148" s="213"/>
      <c r="P148" s="213"/>
      <c r="Q148" s="213"/>
      <c r="R148" s="213"/>
      <c r="S148" s="213"/>
      <c r="T148" s="214"/>
      <c r="AT148" s="215" t="s">
        <v>388</v>
      </c>
      <c r="AU148" s="215" t="s">
        <v>82</v>
      </c>
      <c r="AV148" s="14" t="s">
        <v>82</v>
      </c>
      <c r="AW148" s="14" t="s">
        <v>33</v>
      </c>
      <c r="AX148" s="14" t="s">
        <v>72</v>
      </c>
      <c r="AY148" s="215" t="s">
        <v>380</v>
      </c>
    </row>
    <row r="149" spans="1:65" s="15" customFormat="1" ht="11.25">
      <c r="B149" s="216"/>
      <c r="C149" s="217"/>
      <c r="D149" s="196" t="s">
        <v>388</v>
      </c>
      <c r="E149" s="218" t="s">
        <v>19</v>
      </c>
      <c r="F149" s="219" t="s">
        <v>419</v>
      </c>
      <c r="G149" s="217"/>
      <c r="H149" s="220">
        <v>1.95</v>
      </c>
      <c r="I149" s="221"/>
      <c r="J149" s="217"/>
      <c r="K149" s="217"/>
      <c r="L149" s="222"/>
      <c r="M149" s="223"/>
      <c r="N149" s="224"/>
      <c r="O149" s="224"/>
      <c r="P149" s="224"/>
      <c r="Q149" s="224"/>
      <c r="R149" s="224"/>
      <c r="S149" s="224"/>
      <c r="T149" s="225"/>
      <c r="AT149" s="226" t="s">
        <v>388</v>
      </c>
      <c r="AU149" s="226" t="s">
        <v>82</v>
      </c>
      <c r="AV149" s="15" t="s">
        <v>386</v>
      </c>
      <c r="AW149" s="15" t="s">
        <v>33</v>
      </c>
      <c r="AX149" s="15" t="s">
        <v>79</v>
      </c>
      <c r="AY149" s="226" t="s">
        <v>380</v>
      </c>
    </row>
    <row r="150" spans="1:65" s="2" customFormat="1" ht="16.5" customHeight="1">
      <c r="A150" s="36"/>
      <c r="B150" s="37"/>
      <c r="C150" s="227" t="s">
        <v>505</v>
      </c>
      <c r="D150" s="227" t="s">
        <v>465</v>
      </c>
      <c r="E150" s="228" t="s">
        <v>3622</v>
      </c>
      <c r="F150" s="229" t="s">
        <v>3623</v>
      </c>
      <c r="G150" s="230" t="s">
        <v>452</v>
      </c>
      <c r="H150" s="231">
        <v>5.2</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546</v>
      </c>
      <c r="AT150" s="192" t="s">
        <v>465</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3624</v>
      </c>
    </row>
    <row r="151" spans="1:65" s="2" customFormat="1" ht="117">
      <c r="A151" s="36"/>
      <c r="B151" s="37"/>
      <c r="C151" s="38"/>
      <c r="D151" s="196" t="s">
        <v>1226</v>
      </c>
      <c r="E151" s="38"/>
      <c r="F151" s="248" t="s">
        <v>3378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82</v>
      </c>
    </row>
    <row r="152" spans="1:65" s="14" customFormat="1" ht="11.25">
      <c r="B152" s="205"/>
      <c r="C152" s="206"/>
      <c r="D152" s="196" t="s">
        <v>388</v>
      </c>
      <c r="E152" s="207" t="s">
        <v>19</v>
      </c>
      <c r="F152" s="208" t="s">
        <v>3625</v>
      </c>
      <c r="G152" s="206"/>
      <c r="H152" s="209">
        <v>5.2</v>
      </c>
      <c r="I152" s="210"/>
      <c r="J152" s="206"/>
      <c r="K152" s="206"/>
      <c r="L152" s="211"/>
      <c r="M152" s="212"/>
      <c r="N152" s="213"/>
      <c r="O152" s="213"/>
      <c r="P152" s="213"/>
      <c r="Q152" s="213"/>
      <c r="R152" s="213"/>
      <c r="S152" s="213"/>
      <c r="T152" s="214"/>
      <c r="AT152" s="215" t="s">
        <v>388</v>
      </c>
      <c r="AU152" s="215" t="s">
        <v>82</v>
      </c>
      <c r="AV152" s="14" t="s">
        <v>82</v>
      </c>
      <c r="AW152" s="14" t="s">
        <v>33</v>
      </c>
      <c r="AX152" s="14" t="s">
        <v>72</v>
      </c>
      <c r="AY152" s="215" t="s">
        <v>380</v>
      </c>
    </row>
    <row r="153" spans="1:65" s="15" customFormat="1" ht="11.25">
      <c r="B153" s="216"/>
      <c r="C153" s="217"/>
      <c r="D153" s="196" t="s">
        <v>388</v>
      </c>
      <c r="E153" s="218" t="s">
        <v>19</v>
      </c>
      <c r="F153" s="219" t="s">
        <v>419</v>
      </c>
      <c r="G153" s="217"/>
      <c r="H153" s="220">
        <v>5.2</v>
      </c>
      <c r="I153" s="221"/>
      <c r="J153" s="217"/>
      <c r="K153" s="217"/>
      <c r="L153" s="222"/>
      <c r="M153" s="223"/>
      <c r="N153" s="224"/>
      <c r="O153" s="224"/>
      <c r="P153" s="224"/>
      <c r="Q153" s="224"/>
      <c r="R153" s="224"/>
      <c r="S153" s="224"/>
      <c r="T153" s="225"/>
      <c r="AT153" s="226" t="s">
        <v>388</v>
      </c>
      <c r="AU153" s="226" t="s">
        <v>82</v>
      </c>
      <c r="AV153" s="15" t="s">
        <v>386</v>
      </c>
      <c r="AW153" s="15" t="s">
        <v>33</v>
      </c>
      <c r="AX153" s="15" t="s">
        <v>79</v>
      </c>
      <c r="AY153" s="226" t="s">
        <v>380</v>
      </c>
    </row>
    <row r="154" spans="1:65" s="2" customFormat="1" ht="24.2" customHeight="1">
      <c r="A154" s="36"/>
      <c r="B154" s="37"/>
      <c r="C154" s="181" t="s">
        <v>509</v>
      </c>
      <c r="D154" s="181" t="s">
        <v>382</v>
      </c>
      <c r="E154" s="182" t="s">
        <v>3393</v>
      </c>
      <c r="F154" s="183" t="s">
        <v>3394</v>
      </c>
      <c r="G154" s="184" t="s">
        <v>452</v>
      </c>
      <c r="H154" s="185">
        <v>58</v>
      </c>
      <c r="I154" s="186"/>
      <c r="J154" s="187">
        <f>ROUND(I154*H154,2)</f>
        <v>0</v>
      </c>
      <c r="K154" s="183" t="s">
        <v>3239</v>
      </c>
      <c r="L154" s="41"/>
      <c r="M154" s="188" t="s">
        <v>19</v>
      </c>
      <c r="N154" s="189" t="s">
        <v>43</v>
      </c>
      <c r="O154" s="66"/>
      <c r="P154" s="190">
        <f>O154*H154</f>
        <v>0</v>
      </c>
      <c r="Q154" s="190">
        <v>6.9999999999999999E-4</v>
      </c>
      <c r="R154" s="190">
        <f>Q154*H154</f>
        <v>4.0599999999999997E-2</v>
      </c>
      <c r="S154" s="190">
        <v>0</v>
      </c>
      <c r="T154" s="191">
        <f>S154*H154</f>
        <v>0</v>
      </c>
      <c r="U154" s="36"/>
      <c r="V154" s="36"/>
      <c r="W154" s="36"/>
      <c r="X154" s="36"/>
      <c r="Y154" s="36"/>
      <c r="Z154" s="36"/>
      <c r="AA154" s="36"/>
      <c r="AB154" s="36"/>
      <c r="AC154" s="36"/>
      <c r="AD154" s="36"/>
      <c r="AE154" s="36"/>
      <c r="AR154" s="192" t="s">
        <v>281</v>
      </c>
      <c r="AT154" s="192" t="s">
        <v>382</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3626</v>
      </c>
    </row>
    <row r="155" spans="1:65" s="2" customFormat="1" ht="24.2" customHeight="1">
      <c r="A155" s="36"/>
      <c r="B155" s="37"/>
      <c r="C155" s="181" t="s">
        <v>514</v>
      </c>
      <c r="D155" s="181" t="s">
        <v>382</v>
      </c>
      <c r="E155" s="182" t="s">
        <v>3396</v>
      </c>
      <c r="F155" s="183" t="s">
        <v>3397</v>
      </c>
      <c r="G155" s="184" t="s">
        <v>452</v>
      </c>
      <c r="H155" s="185">
        <v>56</v>
      </c>
      <c r="I155" s="186"/>
      <c r="J155" s="187">
        <f>ROUND(I155*H155,2)</f>
        <v>0</v>
      </c>
      <c r="K155" s="183" t="s">
        <v>3239</v>
      </c>
      <c r="L155" s="41"/>
      <c r="M155" s="188" t="s">
        <v>19</v>
      </c>
      <c r="N155" s="189" t="s">
        <v>43</v>
      </c>
      <c r="O155" s="66"/>
      <c r="P155" s="190">
        <f>O155*H155</f>
        <v>0</v>
      </c>
      <c r="Q155" s="190">
        <v>8.3000000000000001E-4</v>
      </c>
      <c r="R155" s="190">
        <f>Q155*H155</f>
        <v>4.648E-2</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3627</v>
      </c>
    </row>
    <row r="156" spans="1:65" s="2" customFormat="1" ht="21.75" customHeight="1">
      <c r="A156" s="36"/>
      <c r="B156" s="37"/>
      <c r="C156" s="181" t="s">
        <v>520</v>
      </c>
      <c r="D156" s="181" t="s">
        <v>382</v>
      </c>
      <c r="E156" s="182" t="s">
        <v>3628</v>
      </c>
      <c r="F156" s="183" t="s">
        <v>3629</v>
      </c>
      <c r="G156" s="184" t="s">
        <v>641</v>
      </c>
      <c r="H156" s="185">
        <v>1</v>
      </c>
      <c r="I156" s="186"/>
      <c r="J156" s="187">
        <f>ROUND(I156*H156,2)</f>
        <v>0</v>
      </c>
      <c r="K156" s="183" t="s">
        <v>3239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3630</v>
      </c>
    </row>
    <row r="157" spans="1:65" s="2" customFormat="1" ht="16.5" customHeight="1">
      <c r="A157" s="36"/>
      <c r="B157" s="37"/>
      <c r="C157" s="227" t="s">
        <v>525</v>
      </c>
      <c r="D157" s="227" t="s">
        <v>465</v>
      </c>
      <c r="E157" s="228" t="s">
        <v>3428</v>
      </c>
      <c r="F157" s="229" t="s">
        <v>3631</v>
      </c>
      <c r="G157" s="230" t="s">
        <v>3278</v>
      </c>
      <c r="H157" s="231">
        <v>1</v>
      </c>
      <c r="I157" s="232"/>
      <c r="J157" s="233">
        <f>ROUND(I157*H157,2)</f>
        <v>0</v>
      </c>
      <c r="K157" s="229" t="s">
        <v>19</v>
      </c>
      <c r="L157" s="234"/>
      <c r="M157" s="235" t="s">
        <v>19</v>
      </c>
      <c r="N157" s="236" t="s">
        <v>43</v>
      </c>
      <c r="O157" s="66"/>
      <c r="P157" s="190">
        <f>O157*H157</f>
        <v>0</v>
      </c>
      <c r="Q157" s="190">
        <v>0.14000000000000001</v>
      </c>
      <c r="R157" s="190">
        <f>Q157*H157</f>
        <v>0.14000000000000001</v>
      </c>
      <c r="S157" s="190">
        <v>0</v>
      </c>
      <c r="T157" s="191">
        <f>S157*H157</f>
        <v>0</v>
      </c>
      <c r="U157" s="36"/>
      <c r="V157" s="36"/>
      <c r="W157" s="36"/>
      <c r="X157" s="36"/>
      <c r="Y157" s="36"/>
      <c r="Z157" s="36"/>
      <c r="AA157" s="36"/>
      <c r="AB157" s="36"/>
      <c r="AC157" s="36"/>
      <c r="AD157" s="36"/>
      <c r="AE157" s="36"/>
      <c r="AR157" s="192" t="s">
        <v>546</v>
      </c>
      <c r="AT157" s="192" t="s">
        <v>465</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3632</v>
      </c>
    </row>
    <row r="158" spans="1:65" s="2" customFormat="1" ht="58.5">
      <c r="A158" s="36"/>
      <c r="B158" s="37"/>
      <c r="C158" s="38"/>
      <c r="D158" s="196" t="s">
        <v>1226</v>
      </c>
      <c r="E158" s="38"/>
      <c r="F158" s="248" t="s">
        <v>3633</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82</v>
      </c>
    </row>
    <row r="159" spans="1:65" s="2" customFormat="1" ht="16.5" customHeight="1">
      <c r="A159" s="36"/>
      <c r="B159" s="37"/>
      <c r="C159" s="181" t="s">
        <v>529</v>
      </c>
      <c r="D159" s="181" t="s">
        <v>382</v>
      </c>
      <c r="E159" s="182" t="s">
        <v>3438</v>
      </c>
      <c r="F159" s="183" t="s">
        <v>3439</v>
      </c>
      <c r="G159" s="184" t="s">
        <v>2389</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3634</v>
      </c>
    </row>
    <row r="160" spans="1:65" s="14" customFormat="1" ht="11.25">
      <c r="B160" s="205"/>
      <c r="C160" s="206"/>
      <c r="D160" s="196" t="s">
        <v>388</v>
      </c>
      <c r="E160" s="207" t="s">
        <v>19</v>
      </c>
      <c r="F160" s="208" t="s">
        <v>3635</v>
      </c>
      <c r="G160" s="206"/>
      <c r="H160" s="209">
        <v>12</v>
      </c>
      <c r="I160" s="210"/>
      <c r="J160" s="206"/>
      <c r="K160" s="206"/>
      <c r="L160" s="211"/>
      <c r="M160" s="212"/>
      <c r="N160" s="213"/>
      <c r="O160" s="213"/>
      <c r="P160" s="213"/>
      <c r="Q160" s="213"/>
      <c r="R160" s="213"/>
      <c r="S160" s="213"/>
      <c r="T160" s="214"/>
      <c r="AT160" s="215" t="s">
        <v>388</v>
      </c>
      <c r="AU160" s="215" t="s">
        <v>82</v>
      </c>
      <c r="AV160" s="14" t="s">
        <v>82</v>
      </c>
      <c r="AW160" s="14" t="s">
        <v>33</v>
      </c>
      <c r="AX160" s="14" t="s">
        <v>79</v>
      </c>
      <c r="AY160" s="215" t="s">
        <v>380</v>
      </c>
    </row>
    <row r="161" spans="1:65" s="2" customFormat="1" ht="16.5" customHeight="1">
      <c r="A161" s="36"/>
      <c r="B161" s="37"/>
      <c r="C161" s="227" t="s">
        <v>534</v>
      </c>
      <c r="D161" s="227" t="s">
        <v>465</v>
      </c>
      <c r="E161" s="228" t="s">
        <v>3442</v>
      </c>
      <c r="F161" s="229" t="s">
        <v>3443</v>
      </c>
      <c r="G161" s="230" t="s">
        <v>3278</v>
      </c>
      <c r="H161" s="231">
        <v>1</v>
      </c>
      <c r="I161" s="232"/>
      <c r="J161" s="233">
        <f>ROUND(I161*H161,2)</f>
        <v>0</v>
      </c>
      <c r="K161" s="229" t="s">
        <v>19</v>
      </c>
      <c r="L161" s="234"/>
      <c r="M161" s="235" t="s">
        <v>19</v>
      </c>
      <c r="N161" s="236"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546</v>
      </c>
      <c r="AT161" s="192" t="s">
        <v>465</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3636</v>
      </c>
    </row>
    <row r="162" spans="1:65" s="2" customFormat="1" ht="48.75">
      <c r="A162" s="36"/>
      <c r="B162" s="37"/>
      <c r="C162" s="38"/>
      <c r="D162" s="196" t="s">
        <v>1226</v>
      </c>
      <c r="E162" s="38"/>
      <c r="F162" s="248" t="s">
        <v>3637</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1226</v>
      </c>
      <c r="AU162" s="19" t="s">
        <v>82</v>
      </c>
    </row>
    <row r="163" spans="1:65" s="2" customFormat="1" ht="16.5" customHeight="1">
      <c r="A163" s="36"/>
      <c r="B163" s="37"/>
      <c r="C163" s="227" t="s">
        <v>540</v>
      </c>
      <c r="D163" s="227" t="s">
        <v>465</v>
      </c>
      <c r="E163" s="228" t="s">
        <v>3446</v>
      </c>
      <c r="F163" s="229" t="s">
        <v>3638</v>
      </c>
      <c r="G163" s="230" t="s">
        <v>3278</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546</v>
      </c>
      <c r="AT163" s="192" t="s">
        <v>465</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3639</v>
      </c>
    </row>
    <row r="164" spans="1:65" s="2" customFormat="1" ht="48.75">
      <c r="A164" s="36"/>
      <c r="B164" s="37"/>
      <c r="C164" s="38"/>
      <c r="D164" s="196" t="s">
        <v>1226</v>
      </c>
      <c r="E164" s="38"/>
      <c r="F164" s="248" t="s">
        <v>3640</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82</v>
      </c>
    </row>
    <row r="165" spans="1:65" s="2" customFormat="1" ht="24.2" customHeight="1">
      <c r="A165" s="36"/>
      <c r="B165" s="37"/>
      <c r="C165" s="181" t="s">
        <v>546</v>
      </c>
      <c r="D165" s="181" t="s">
        <v>382</v>
      </c>
      <c r="E165" s="182" t="s">
        <v>3432</v>
      </c>
      <c r="F165" s="183" t="s">
        <v>3433</v>
      </c>
      <c r="G165" s="184" t="s">
        <v>3014</v>
      </c>
      <c r="H165" s="257"/>
      <c r="I165" s="186"/>
      <c r="J165" s="187">
        <f>ROUND(I165*H165,2)</f>
        <v>0</v>
      </c>
      <c r="K165" s="183" t="s">
        <v>3239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281</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281</v>
      </c>
      <c r="BM165" s="192" t="s">
        <v>3641</v>
      </c>
    </row>
    <row r="166" spans="1:65" s="2" customFormat="1" ht="24.2" customHeight="1">
      <c r="A166" s="36"/>
      <c r="B166" s="37"/>
      <c r="C166" s="181" t="s">
        <v>552</v>
      </c>
      <c r="D166" s="181" t="s">
        <v>382</v>
      </c>
      <c r="E166" s="182" t="s">
        <v>3435</v>
      </c>
      <c r="F166" s="183" t="s">
        <v>3436</v>
      </c>
      <c r="G166" s="184" t="s">
        <v>3014</v>
      </c>
      <c r="H166" s="257"/>
      <c r="I166" s="186"/>
      <c r="J166" s="187">
        <f>ROUND(I166*H166,2)</f>
        <v>0</v>
      </c>
      <c r="K166" s="183" t="s">
        <v>3239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281</v>
      </c>
      <c r="AT166" s="192" t="s">
        <v>382</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3642</v>
      </c>
    </row>
    <row r="167" spans="1:65" s="12" customFormat="1" ht="22.9" customHeight="1">
      <c r="B167" s="165"/>
      <c r="C167" s="166"/>
      <c r="D167" s="167" t="s">
        <v>71</v>
      </c>
      <c r="E167" s="179" t="s">
        <v>3450</v>
      </c>
      <c r="F167" s="179" t="s">
        <v>3451</v>
      </c>
      <c r="G167" s="166"/>
      <c r="H167" s="166"/>
      <c r="I167" s="169"/>
      <c r="J167" s="180">
        <f>BK167</f>
        <v>0</v>
      </c>
      <c r="K167" s="166"/>
      <c r="L167" s="171"/>
      <c r="M167" s="172"/>
      <c r="N167" s="173"/>
      <c r="O167" s="173"/>
      <c r="P167" s="174">
        <f>SUM(P168:P172)</f>
        <v>0</v>
      </c>
      <c r="Q167" s="173"/>
      <c r="R167" s="174">
        <f>SUM(R168:R172)</f>
        <v>0</v>
      </c>
      <c r="S167" s="173"/>
      <c r="T167" s="175">
        <f>SUM(T168:T172)</f>
        <v>0</v>
      </c>
      <c r="AR167" s="176" t="s">
        <v>82</v>
      </c>
      <c r="AT167" s="177" t="s">
        <v>71</v>
      </c>
      <c r="AU167" s="177" t="s">
        <v>79</v>
      </c>
      <c r="AY167" s="176" t="s">
        <v>380</v>
      </c>
      <c r="BK167" s="178">
        <f>SUM(BK168:BK172)</f>
        <v>0</v>
      </c>
    </row>
    <row r="168" spans="1:65" s="2" customFormat="1" ht="16.5" customHeight="1">
      <c r="A168" s="36"/>
      <c r="B168" s="37"/>
      <c r="C168" s="227" t="s">
        <v>556</v>
      </c>
      <c r="D168" s="227" t="s">
        <v>465</v>
      </c>
      <c r="E168" s="228" t="s">
        <v>3452</v>
      </c>
      <c r="F168" s="229" t="s">
        <v>3453</v>
      </c>
      <c r="G168" s="230" t="s">
        <v>2389</v>
      </c>
      <c r="H168" s="231">
        <v>40</v>
      </c>
      <c r="I168" s="232"/>
      <c r="J168" s="233">
        <f>ROUND(I168*H168,2)</f>
        <v>0</v>
      </c>
      <c r="K168" s="229" t="s">
        <v>19</v>
      </c>
      <c r="L168" s="234"/>
      <c r="M168" s="235" t="s">
        <v>19</v>
      </c>
      <c r="N168" s="236"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546</v>
      </c>
      <c r="AT168" s="192" t="s">
        <v>465</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3643</v>
      </c>
    </row>
    <row r="169" spans="1:65" s="14" customFormat="1" ht="11.25">
      <c r="B169" s="205"/>
      <c r="C169" s="206"/>
      <c r="D169" s="196" t="s">
        <v>388</v>
      </c>
      <c r="E169" s="207" t="s">
        <v>19</v>
      </c>
      <c r="F169" s="208" t="s">
        <v>3455</v>
      </c>
      <c r="G169" s="206"/>
      <c r="H169" s="209">
        <v>40</v>
      </c>
      <c r="I169" s="210"/>
      <c r="J169" s="206"/>
      <c r="K169" s="206"/>
      <c r="L169" s="211"/>
      <c r="M169" s="212"/>
      <c r="N169" s="213"/>
      <c r="O169" s="213"/>
      <c r="P169" s="213"/>
      <c r="Q169" s="213"/>
      <c r="R169" s="213"/>
      <c r="S169" s="213"/>
      <c r="T169" s="214"/>
      <c r="AT169" s="215" t="s">
        <v>388</v>
      </c>
      <c r="AU169" s="215" t="s">
        <v>82</v>
      </c>
      <c r="AV169" s="14" t="s">
        <v>82</v>
      </c>
      <c r="AW169" s="14" t="s">
        <v>33</v>
      </c>
      <c r="AX169" s="14" t="s">
        <v>79</v>
      </c>
      <c r="AY169" s="215" t="s">
        <v>380</v>
      </c>
    </row>
    <row r="170" spans="1:65" s="2" customFormat="1" ht="16.5" customHeight="1">
      <c r="A170" s="36"/>
      <c r="B170" s="37"/>
      <c r="C170" s="181" t="s">
        <v>565</v>
      </c>
      <c r="D170" s="181" t="s">
        <v>382</v>
      </c>
      <c r="E170" s="182" t="s">
        <v>3456</v>
      </c>
      <c r="F170" s="183" t="s">
        <v>2819</v>
      </c>
      <c r="G170" s="184" t="s">
        <v>2389</v>
      </c>
      <c r="H170" s="185">
        <v>36</v>
      </c>
      <c r="I170" s="186"/>
      <c r="J170" s="187">
        <f>ROUND(I170*H170,2)</f>
        <v>0</v>
      </c>
      <c r="K170" s="183" t="s">
        <v>19</v>
      </c>
      <c r="L170" s="41"/>
      <c r="M170" s="188" t="s">
        <v>19</v>
      </c>
      <c r="N170" s="189" t="s">
        <v>43</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281</v>
      </c>
      <c r="AT170" s="192" t="s">
        <v>382</v>
      </c>
      <c r="AU170" s="192" t="s">
        <v>82</v>
      </c>
      <c r="AY170" s="19" t="s">
        <v>380</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281</v>
      </c>
      <c r="BM170" s="192" t="s">
        <v>3644</v>
      </c>
    </row>
    <row r="171" spans="1:65" s="2" customFormat="1" ht="16.5" customHeight="1">
      <c r="A171" s="36"/>
      <c r="B171" s="37"/>
      <c r="C171" s="181" t="s">
        <v>579</v>
      </c>
      <c r="D171" s="181" t="s">
        <v>382</v>
      </c>
      <c r="E171" s="182" t="s">
        <v>3458</v>
      </c>
      <c r="F171" s="183" t="s">
        <v>3459</v>
      </c>
      <c r="G171" s="184" t="s">
        <v>2389</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3645</v>
      </c>
    </row>
    <row r="172" spans="1:65" s="2" customFormat="1" ht="16.5" customHeight="1">
      <c r="A172" s="36"/>
      <c r="B172" s="37"/>
      <c r="C172" s="181" t="s">
        <v>600</v>
      </c>
      <c r="D172" s="181" t="s">
        <v>382</v>
      </c>
      <c r="E172" s="182" t="s">
        <v>3461</v>
      </c>
      <c r="F172" s="183" t="s">
        <v>3462</v>
      </c>
      <c r="G172" s="184" t="s">
        <v>2389</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281</v>
      </c>
      <c r="AT172" s="192" t="s">
        <v>382</v>
      </c>
      <c r="AU172" s="192" t="s">
        <v>82</v>
      </c>
      <c r="AY172" s="19" t="s">
        <v>380</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281</v>
      </c>
      <c r="BM172" s="192" t="s">
        <v>3646</v>
      </c>
    </row>
    <row r="173" spans="1:65" s="12" customFormat="1" ht="22.9" customHeight="1">
      <c r="B173" s="165"/>
      <c r="C173" s="166"/>
      <c r="D173" s="167" t="s">
        <v>71</v>
      </c>
      <c r="E173" s="179" t="s">
        <v>2076</v>
      </c>
      <c r="F173" s="179" t="s">
        <v>3534</v>
      </c>
      <c r="G173" s="166"/>
      <c r="H173" s="166"/>
      <c r="I173" s="169"/>
      <c r="J173" s="180">
        <f>BK173</f>
        <v>0</v>
      </c>
      <c r="K173" s="166"/>
      <c r="L173" s="171"/>
      <c r="M173" s="172"/>
      <c r="N173" s="173"/>
      <c r="O173" s="173"/>
      <c r="P173" s="174">
        <f>SUM(P174:P175)</f>
        <v>0</v>
      </c>
      <c r="Q173" s="173"/>
      <c r="R173" s="174">
        <f>SUM(R174:R175)</f>
        <v>0</v>
      </c>
      <c r="S173" s="173"/>
      <c r="T173" s="175">
        <f>SUM(T174:T175)</f>
        <v>0</v>
      </c>
      <c r="AR173" s="176" t="s">
        <v>82</v>
      </c>
      <c r="AT173" s="177" t="s">
        <v>71</v>
      </c>
      <c r="AU173" s="177" t="s">
        <v>79</v>
      </c>
      <c r="AY173" s="176" t="s">
        <v>380</v>
      </c>
      <c r="BK173" s="178">
        <f>SUM(BK174:BK175)</f>
        <v>0</v>
      </c>
    </row>
    <row r="174" spans="1:65" s="2" customFormat="1" ht="16.5" customHeight="1">
      <c r="A174" s="36"/>
      <c r="B174" s="37"/>
      <c r="C174" s="181" t="s">
        <v>619</v>
      </c>
      <c r="D174" s="181" t="s">
        <v>382</v>
      </c>
      <c r="E174" s="182" t="s">
        <v>3535</v>
      </c>
      <c r="F174" s="183" t="s">
        <v>3536</v>
      </c>
      <c r="G174" s="184" t="s">
        <v>2678</v>
      </c>
      <c r="H174" s="185">
        <v>40</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281</v>
      </c>
      <c r="AT174" s="192" t="s">
        <v>382</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3647</v>
      </c>
    </row>
    <row r="175" spans="1:65" s="14" customFormat="1" ht="11.25">
      <c r="B175" s="205"/>
      <c r="C175" s="206"/>
      <c r="D175" s="196" t="s">
        <v>388</v>
      </c>
      <c r="E175" s="207" t="s">
        <v>19</v>
      </c>
      <c r="F175" s="208" t="s">
        <v>3538</v>
      </c>
      <c r="G175" s="206"/>
      <c r="H175" s="209">
        <v>40</v>
      </c>
      <c r="I175" s="210"/>
      <c r="J175" s="206"/>
      <c r="K175" s="206"/>
      <c r="L175" s="211"/>
      <c r="M175" s="261"/>
      <c r="N175" s="262"/>
      <c r="O175" s="262"/>
      <c r="P175" s="262"/>
      <c r="Q175" s="262"/>
      <c r="R175" s="262"/>
      <c r="S175" s="262"/>
      <c r="T175" s="263"/>
      <c r="AT175" s="215" t="s">
        <v>388</v>
      </c>
      <c r="AU175" s="215" t="s">
        <v>82</v>
      </c>
      <c r="AV175" s="14" t="s">
        <v>82</v>
      </c>
      <c r="AW175" s="14" t="s">
        <v>33</v>
      </c>
      <c r="AX175" s="14" t="s">
        <v>79</v>
      </c>
      <c r="AY175" s="215" t="s">
        <v>380</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ZqB1OdKyjOli9dYreXQKFzv21w26HjD5fViFZ/PcYGCZvdt5voyUPuvn/pU/7B8jIpFEVXfMK0QxmX8Z9QDvMg==" saltValue="tPRcnz0p/xVISCdvOdPJWAw5JvvT1auBoh9j7lkyMP1m3WA0KuSD9vxXdQHqYLAkvTw6vtMmQix1J7kPc0R/Qg==" spinCount="100000" sheet="1" objects="1" scenarios="1" formatColumns="0" formatRows="0" autoFilter="0"/>
  <autoFilter ref="C95:K175"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3648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ROUND((SUM(BE95:BE173)),  2)</f>
        <v>0</v>
      </c>
      <c r="G37" s="36"/>
      <c r="H37" s="36"/>
      <c r="I37" s="127">
        <v>0.21</v>
      </c>
      <c r="J37" s="126">
        <f>ROUND(((SUM(BE95:BE173))*I37),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ROUND((SUM(BF95:BF173)),  2)</f>
        <v>0</v>
      </c>
      <c r="G38" s="36"/>
      <c r="H38" s="36"/>
      <c r="I38" s="127">
        <v>0.15</v>
      </c>
      <c r="J38" s="126">
        <f>ROUND(((SUM(BF95:BF173))*I38),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ROUND((SUM(BG95:BG173)),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ROUND((SUM(BH95:BH173)),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ROUND((SUM(BI95:BI173)),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06 - Hala 3.NP</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J168</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06 - Hala 3.NP</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1.2304934999999999</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P97+P111+P168</f>
        <v>0</v>
      </c>
      <c r="Q96" s="173"/>
      <c r="R96" s="174">
        <f>R97+R111+R168</f>
        <v>1.2304934999999999</v>
      </c>
      <c r="S96" s="173"/>
      <c r="T96" s="175">
        <f>T97+T111+T168</f>
        <v>0</v>
      </c>
      <c r="AR96" s="176" t="s">
        <v>82</v>
      </c>
      <c r="AT96" s="177" t="s">
        <v>71</v>
      </c>
      <c r="AU96" s="177" t="s">
        <v>72</v>
      </c>
      <c r="AY96" s="176" t="s">
        <v>380</v>
      </c>
      <c r="BK96" s="178">
        <f>BK97+BK111+BK168</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0.25959199999999999</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71</v>
      </c>
      <c r="I98" s="186"/>
      <c r="J98" s="187">
        <f>ROUND(I98*H98,2)</f>
        <v>0</v>
      </c>
      <c r="K98" s="183" t="s">
        <v>3239</v>
      </c>
      <c r="L98" s="41"/>
      <c r="M98" s="188" t="s">
        <v>19</v>
      </c>
      <c r="N98" s="189" t="s">
        <v>43</v>
      </c>
      <c r="O98" s="66"/>
      <c r="P98" s="190">
        <f>O98*H98</f>
        <v>0</v>
      </c>
      <c r="Q98" s="190">
        <v>1.5100000000000001E-3</v>
      </c>
      <c r="R98" s="190">
        <f>Q98*H98</f>
        <v>0.10721</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3649</v>
      </c>
    </row>
    <row r="99" spans="1:65" s="2" customFormat="1" ht="16.5" customHeight="1">
      <c r="A99" s="36"/>
      <c r="B99" s="37"/>
      <c r="C99" s="227" t="s">
        <v>82</v>
      </c>
      <c r="D99" s="227" t="s">
        <v>465</v>
      </c>
      <c r="E99" s="228" t="s">
        <v>3241</v>
      </c>
      <c r="F99" s="229" t="s">
        <v>3242</v>
      </c>
      <c r="G99" s="230" t="s">
        <v>398</v>
      </c>
      <c r="H99" s="231">
        <v>61</v>
      </c>
      <c r="I99" s="232"/>
      <c r="J99" s="233">
        <f>ROUND(I99*H99,2)</f>
        <v>0</v>
      </c>
      <c r="K99" s="229" t="s">
        <v>3239</v>
      </c>
      <c r="L99" s="234"/>
      <c r="M99" s="235" t="s">
        <v>19</v>
      </c>
      <c r="N99" s="236" t="s">
        <v>43</v>
      </c>
      <c r="O99" s="66"/>
      <c r="P99" s="190">
        <f>O99*H99</f>
        <v>0</v>
      </c>
      <c r="Q99" s="190">
        <v>2E-3</v>
      </c>
      <c r="R99" s="190">
        <f>Q99*H99</f>
        <v>0.122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3650</v>
      </c>
    </row>
    <row r="100" spans="1:65" s="14" customFormat="1" ht="11.25">
      <c r="B100" s="205"/>
      <c r="C100" s="206"/>
      <c r="D100" s="196" t="s">
        <v>388</v>
      </c>
      <c r="E100" s="207" t="s">
        <v>19</v>
      </c>
      <c r="F100" s="208" t="s">
        <v>3651</v>
      </c>
      <c r="G100" s="206"/>
      <c r="H100" s="209">
        <v>61</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9</v>
      </c>
      <c r="I101" s="232"/>
      <c r="J101" s="233">
        <f>ROUND(I101*H101,2)</f>
        <v>0</v>
      </c>
      <c r="K101" s="229" t="s">
        <v>3239</v>
      </c>
      <c r="L101" s="234"/>
      <c r="M101" s="235" t="s">
        <v>19</v>
      </c>
      <c r="N101" s="236" t="s">
        <v>43</v>
      </c>
      <c r="O101" s="66"/>
      <c r="P101" s="190">
        <f>O101*H101</f>
        <v>0</v>
      </c>
      <c r="Q101" s="190">
        <v>3.0000000000000001E-3</v>
      </c>
      <c r="R101" s="190">
        <f>Q101*H101</f>
        <v>2.7E-2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3652</v>
      </c>
    </row>
    <row r="102" spans="1:65" s="14" customFormat="1" ht="11.25">
      <c r="B102" s="205"/>
      <c r="C102" s="206"/>
      <c r="D102" s="196" t="s">
        <v>388</v>
      </c>
      <c r="E102" s="207" t="s">
        <v>19</v>
      </c>
      <c r="F102" s="208" t="s">
        <v>3653</v>
      </c>
      <c r="G102" s="206"/>
      <c r="H102" s="209">
        <v>9</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3249</v>
      </c>
      <c r="F103" s="229" t="s">
        <v>3250</v>
      </c>
      <c r="G103" s="230" t="s">
        <v>398</v>
      </c>
      <c r="H103" s="231">
        <v>1</v>
      </c>
      <c r="I103" s="232"/>
      <c r="J103" s="233">
        <f>ROUND(I103*H103,2)</f>
        <v>0</v>
      </c>
      <c r="K103" s="229" t="s">
        <v>3239</v>
      </c>
      <c r="L103" s="234"/>
      <c r="M103" s="235" t="s">
        <v>19</v>
      </c>
      <c r="N103" s="236" t="s">
        <v>43</v>
      </c>
      <c r="O103" s="66"/>
      <c r="P103" s="190">
        <f>O103*H103</f>
        <v>0</v>
      </c>
      <c r="Q103" s="190">
        <v>3.2000000000000002E-3</v>
      </c>
      <c r="R103" s="190">
        <f>Q103*H103</f>
        <v>3.2000000000000002E-3</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3654</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3257</v>
      </c>
      <c r="G105" s="206"/>
      <c r="H105" s="209">
        <v>1</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405</v>
      </c>
      <c r="D106" s="181" t="s">
        <v>382</v>
      </c>
      <c r="E106" s="182" t="s">
        <v>3258</v>
      </c>
      <c r="F106" s="183" t="s">
        <v>3259</v>
      </c>
      <c r="G106" s="184" t="s">
        <v>398</v>
      </c>
      <c r="H106" s="185">
        <v>2.6</v>
      </c>
      <c r="I106" s="186"/>
      <c r="J106" s="187">
        <f>ROUND(I106*H106,2)</f>
        <v>0</v>
      </c>
      <c r="K106" s="183" t="s">
        <v>3239</v>
      </c>
      <c r="L106" s="41"/>
      <c r="M106" s="188" t="s">
        <v>19</v>
      </c>
      <c r="N106" s="189" t="s">
        <v>43</v>
      </c>
      <c r="O106" s="66"/>
      <c r="P106" s="190">
        <f>O106*H106</f>
        <v>0</v>
      </c>
      <c r="Q106" s="190">
        <v>6.9999999999999994E-5</v>
      </c>
      <c r="R106" s="190">
        <f>Q106*H106</f>
        <v>1.8199999999999998E-4</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3655</v>
      </c>
    </row>
    <row r="107" spans="1:65" s="2" customFormat="1" ht="16.5" customHeight="1">
      <c r="A107" s="36"/>
      <c r="B107" s="37"/>
      <c r="C107" s="227" t="s">
        <v>411</v>
      </c>
      <c r="D107" s="227" t="s">
        <v>465</v>
      </c>
      <c r="E107" s="228" t="s">
        <v>3261</v>
      </c>
      <c r="F107" s="229" t="s">
        <v>3262</v>
      </c>
      <c r="G107" s="230" t="s">
        <v>398</v>
      </c>
      <c r="H107" s="231">
        <v>2.6</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546</v>
      </c>
      <c r="AT107" s="192" t="s">
        <v>465</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3656</v>
      </c>
    </row>
    <row r="108" spans="1:65" s="14" customFormat="1" ht="11.25">
      <c r="B108" s="205"/>
      <c r="C108" s="206"/>
      <c r="D108" s="196" t="s">
        <v>388</v>
      </c>
      <c r="E108" s="207" t="s">
        <v>19</v>
      </c>
      <c r="F108" s="208" t="s">
        <v>3657</v>
      </c>
      <c r="G108" s="206"/>
      <c r="H108" s="209">
        <v>2.6</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420</v>
      </c>
      <c r="D109" s="181" t="s">
        <v>382</v>
      </c>
      <c r="E109" s="182" t="s">
        <v>3265</v>
      </c>
      <c r="F109" s="183" t="s">
        <v>3266</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3658</v>
      </c>
    </row>
    <row r="110" spans="1:65" s="2" customFormat="1" ht="24.2" customHeight="1">
      <c r="A110" s="36"/>
      <c r="B110" s="37"/>
      <c r="C110" s="181" t="s">
        <v>424</v>
      </c>
      <c r="D110" s="181" t="s">
        <v>382</v>
      </c>
      <c r="E110" s="182" t="s">
        <v>3268</v>
      </c>
      <c r="F110" s="183" t="s">
        <v>3269</v>
      </c>
      <c r="G110" s="184" t="s">
        <v>3014</v>
      </c>
      <c r="H110" s="257"/>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3659</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SUM(P112:P167)</f>
        <v>0</v>
      </c>
      <c r="Q111" s="173"/>
      <c r="R111" s="174">
        <f>SUM(R112:R167)</f>
        <v>0.97090149999999986</v>
      </c>
      <c r="S111" s="173"/>
      <c r="T111" s="175">
        <f>SUM(T112:T167)</f>
        <v>0</v>
      </c>
      <c r="AR111" s="176" t="s">
        <v>82</v>
      </c>
      <c r="AT111" s="177" t="s">
        <v>71</v>
      </c>
      <c r="AU111" s="177" t="s">
        <v>79</v>
      </c>
      <c r="AY111" s="176" t="s">
        <v>380</v>
      </c>
      <c r="BK111" s="178">
        <f>SUM(BK112:BK167)</f>
        <v>0</v>
      </c>
    </row>
    <row r="112" spans="1:65" s="2" customFormat="1" ht="24.2" customHeight="1">
      <c r="A112" s="36"/>
      <c r="B112" s="37"/>
      <c r="C112" s="181" t="s">
        <v>430</v>
      </c>
      <c r="D112" s="181" t="s">
        <v>382</v>
      </c>
      <c r="E112" s="182" t="s">
        <v>3476</v>
      </c>
      <c r="F112" s="183" t="s">
        <v>3477</v>
      </c>
      <c r="G112" s="184" t="s">
        <v>641</v>
      </c>
      <c r="H112" s="185">
        <v>5</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3660</v>
      </c>
    </row>
    <row r="113" spans="1:65" s="2" customFormat="1" ht="24.2" customHeight="1">
      <c r="A113" s="36"/>
      <c r="B113" s="37"/>
      <c r="C113" s="227" t="s">
        <v>122</v>
      </c>
      <c r="D113" s="227" t="s">
        <v>465</v>
      </c>
      <c r="E113" s="228" t="s">
        <v>3479</v>
      </c>
      <c r="F113" s="229" t="s">
        <v>3599</v>
      </c>
      <c r="G113" s="230" t="s">
        <v>3278</v>
      </c>
      <c r="H113" s="231">
        <v>3</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3661</v>
      </c>
    </row>
    <row r="114" spans="1:65" s="2" customFormat="1" ht="19.5">
      <c r="A114" s="36"/>
      <c r="B114" s="37"/>
      <c r="C114" s="38"/>
      <c r="D114" s="196" t="s">
        <v>1226</v>
      </c>
      <c r="E114" s="38"/>
      <c r="F114" s="248" t="s">
        <v>3662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24.2" customHeight="1">
      <c r="A115" s="36"/>
      <c r="B115" s="37"/>
      <c r="C115" s="227" t="s">
        <v>125</v>
      </c>
      <c r="D115" s="227" t="s">
        <v>465</v>
      </c>
      <c r="E115" s="228" t="s">
        <v>3483</v>
      </c>
      <c r="F115" s="229" t="s">
        <v>3602</v>
      </c>
      <c r="G115" s="230" t="s">
        <v>3278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3663</v>
      </c>
    </row>
    <row r="116" spans="1:65" s="2" customFormat="1" ht="19.5">
      <c r="A116" s="36"/>
      <c r="B116" s="37"/>
      <c r="C116" s="38"/>
      <c r="D116" s="196" t="s">
        <v>1226</v>
      </c>
      <c r="E116" s="38"/>
      <c r="F116" s="248" t="s">
        <v>3664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128</v>
      </c>
      <c r="D117" s="181" t="s">
        <v>382</v>
      </c>
      <c r="E117" s="182" t="s">
        <v>3301</v>
      </c>
      <c r="F117" s="183" t="s">
        <v>3302</v>
      </c>
      <c r="G117" s="184" t="s">
        <v>641</v>
      </c>
      <c r="H117" s="185">
        <v>2</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3665</v>
      </c>
    </row>
    <row r="118" spans="1:65" s="2" customFormat="1" ht="16.5" customHeight="1">
      <c r="A118" s="36"/>
      <c r="B118" s="37"/>
      <c r="C118" s="227" t="s">
        <v>131</v>
      </c>
      <c r="D118" s="227" t="s">
        <v>465</v>
      </c>
      <c r="E118" s="228" t="s">
        <v>3304</v>
      </c>
      <c r="F118" s="229" t="s">
        <v>3305</v>
      </c>
      <c r="G118" s="230" t="s">
        <v>3278</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3666</v>
      </c>
    </row>
    <row r="119" spans="1:65" s="2" customFormat="1" ht="39">
      <c r="A119" s="36"/>
      <c r="B119" s="37"/>
      <c r="C119" s="38"/>
      <c r="D119" s="196" t="s">
        <v>1226</v>
      </c>
      <c r="E119" s="38"/>
      <c r="F119" s="248" t="s">
        <v>3307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181" t="s">
        <v>134</v>
      </c>
      <c r="D120" s="181" t="s">
        <v>382</v>
      </c>
      <c r="E120" s="182" t="s">
        <v>3308</v>
      </c>
      <c r="F120" s="183" t="s">
        <v>3309</v>
      </c>
      <c r="G120" s="184" t="s">
        <v>641</v>
      </c>
      <c r="H120" s="185">
        <v>2</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3667</v>
      </c>
    </row>
    <row r="121" spans="1:65" s="2" customFormat="1" ht="16.5" customHeight="1">
      <c r="A121" s="36"/>
      <c r="B121" s="37"/>
      <c r="C121" s="227" t="s">
        <v>8</v>
      </c>
      <c r="D121" s="227" t="s">
        <v>465</v>
      </c>
      <c r="E121" s="228" t="s">
        <v>3311</v>
      </c>
      <c r="F121" s="229" t="s">
        <v>3312</v>
      </c>
      <c r="G121" s="230" t="s">
        <v>3278</v>
      </c>
      <c r="H121" s="231">
        <v>2</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3668</v>
      </c>
    </row>
    <row r="122" spans="1:65" s="2" customFormat="1" ht="48.75">
      <c r="A122" s="36"/>
      <c r="B122" s="37"/>
      <c r="C122" s="38"/>
      <c r="D122" s="196" t="s">
        <v>1226</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21.75" customHeight="1">
      <c r="A123" s="36"/>
      <c r="B123" s="37"/>
      <c r="C123" s="181" t="s">
        <v>281</v>
      </c>
      <c r="D123" s="181" t="s">
        <v>382</v>
      </c>
      <c r="E123" s="182" t="s">
        <v>3339</v>
      </c>
      <c r="F123" s="183" t="s">
        <v>3340</v>
      </c>
      <c r="G123" s="184" t="s">
        <v>452</v>
      </c>
      <c r="H123" s="185">
        <v>3.9</v>
      </c>
      <c r="I123" s="186"/>
      <c r="J123" s="187">
        <f>ROUND(I123*H123,2)</f>
        <v>0</v>
      </c>
      <c r="K123" s="183" t="s">
        <v>3239</v>
      </c>
      <c r="L123" s="41"/>
      <c r="M123" s="188" t="s">
        <v>19</v>
      </c>
      <c r="N123" s="189" t="s">
        <v>43</v>
      </c>
      <c r="O123" s="66"/>
      <c r="P123" s="190">
        <f>O123*H123</f>
        <v>0</v>
      </c>
      <c r="Q123" s="190">
        <v>1.3010000000000001E-2</v>
      </c>
      <c r="R123" s="190">
        <f>Q123*H123</f>
        <v>5.0738999999999999E-2</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3669</v>
      </c>
    </row>
    <row r="124" spans="1:65" s="2" customFormat="1" ht="29.25">
      <c r="A124" s="36"/>
      <c r="B124" s="37"/>
      <c r="C124" s="38"/>
      <c r="D124" s="196" t="s">
        <v>1226</v>
      </c>
      <c r="E124" s="38"/>
      <c r="F124" s="248" t="s">
        <v>3318</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13" customFormat="1" ht="11.25">
      <c r="B125" s="194"/>
      <c r="C125" s="195"/>
      <c r="D125" s="196" t="s">
        <v>388</v>
      </c>
      <c r="E125" s="197" t="s">
        <v>19</v>
      </c>
      <c r="F125" s="198" t="s">
        <v>3670</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3671</v>
      </c>
      <c r="G126" s="206"/>
      <c r="H126" s="209">
        <v>3.9</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419</v>
      </c>
      <c r="G127" s="217"/>
      <c r="H127" s="220">
        <v>3.9</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24.2" customHeight="1">
      <c r="A128" s="36"/>
      <c r="B128" s="37"/>
      <c r="C128" s="181" t="s">
        <v>471</v>
      </c>
      <c r="D128" s="181" t="s">
        <v>382</v>
      </c>
      <c r="E128" s="182" t="s">
        <v>3344</v>
      </c>
      <c r="F128" s="183" t="s">
        <v>3345</v>
      </c>
      <c r="G128" s="184" t="s">
        <v>452</v>
      </c>
      <c r="H128" s="185">
        <v>4.55</v>
      </c>
      <c r="I128" s="186"/>
      <c r="J128" s="187">
        <f>ROUND(I128*H128,2)</f>
        <v>0</v>
      </c>
      <c r="K128" s="183" t="s">
        <v>3239</v>
      </c>
      <c r="L128" s="41"/>
      <c r="M128" s="188" t="s">
        <v>19</v>
      </c>
      <c r="N128" s="189" t="s">
        <v>43</v>
      </c>
      <c r="O128" s="66"/>
      <c r="P128" s="190">
        <f>O128*H128</f>
        <v>0</v>
      </c>
      <c r="Q128" s="190">
        <v>3.1199999999999999E-3</v>
      </c>
      <c r="R128" s="190">
        <f>Q128*H128</f>
        <v>1.4195999999999999E-2</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3672</v>
      </c>
    </row>
    <row r="129" spans="1:65" s="2" customFormat="1" ht="29.25">
      <c r="A129" s="36"/>
      <c r="B129" s="37"/>
      <c r="C129" s="38"/>
      <c r="D129" s="196" t="s">
        <v>1226</v>
      </c>
      <c r="E129" s="38"/>
      <c r="F129" s="248" t="s">
        <v>3318</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82</v>
      </c>
    </row>
    <row r="130" spans="1:65" s="13" customFormat="1" ht="11.25">
      <c r="B130" s="194"/>
      <c r="C130" s="195"/>
      <c r="D130" s="196" t="s">
        <v>388</v>
      </c>
      <c r="E130" s="197" t="s">
        <v>19</v>
      </c>
      <c r="F130" s="198" t="s">
        <v>3351</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3673</v>
      </c>
      <c r="G131" s="206"/>
      <c r="H131" s="209">
        <v>4.55</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4.55</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477</v>
      </c>
      <c r="D133" s="181" t="s">
        <v>382</v>
      </c>
      <c r="E133" s="182" t="s">
        <v>3353</v>
      </c>
      <c r="F133" s="183" t="s">
        <v>3354</v>
      </c>
      <c r="G133" s="184" t="s">
        <v>452</v>
      </c>
      <c r="H133" s="185">
        <v>102.05</v>
      </c>
      <c r="I133" s="186"/>
      <c r="J133" s="187">
        <f>ROUND(I133*H133,2)</f>
        <v>0</v>
      </c>
      <c r="K133" s="183" t="s">
        <v>3239</v>
      </c>
      <c r="L133" s="41"/>
      <c r="M133" s="188" t="s">
        <v>19</v>
      </c>
      <c r="N133" s="189" t="s">
        <v>43</v>
      </c>
      <c r="O133" s="66"/>
      <c r="P133" s="190">
        <f>O133*H133</f>
        <v>0</v>
      </c>
      <c r="Q133" s="190">
        <v>6.5300000000000002E-3</v>
      </c>
      <c r="R133" s="190">
        <f>Q133*H133</f>
        <v>0.66638649999999999</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3674</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3" customFormat="1" ht="11.25">
      <c r="B135" s="194"/>
      <c r="C135" s="195"/>
      <c r="D135" s="196" t="s">
        <v>388</v>
      </c>
      <c r="E135" s="197" t="s">
        <v>19</v>
      </c>
      <c r="F135" s="198" t="s">
        <v>3496</v>
      </c>
      <c r="G135" s="195"/>
      <c r="H135" s="197" t="s">
        <v>19</v>
      </c>
      <c r="I135" s="199"/>
      <c r="J135" s="195"/>
      <c r="K135" s="195"/>
      <c r="L135" s="200"/>
      <c r="M135" s="201"/>
      <c r="N135" s="202"/>
      <c r="O135" s="202"/>
      <c r="P135" s="202"/>
      <c r="Q135" s="202"/>
      <c r="R135" s="202"/>
      <c r="S135" s="202"/>
      <c r="T135" s="203"/>
      <c r="AT135" s="204" t="s">
        <v>388</v>
      </c>
      <c r="AU135" s="204" t="s">
        <v>82</v>
      </c>
      <c r="AV135" s="13" t="s">
        <v>79</v>
      </c>
      <c r="AW135" s="13" t="s">
        <v>33</v>
      </c>
      <c r="AX135" s="13" t="s">
        <v>72</v>
      </c>
      <c r="AY135" s="204" t="s">
        <v>380</v>
      </c>
    </row>
    <row r="136" spans="1:65" s="14" customFormat="1" ht="11.25">
      <c r="B136" s="205"/>
      <c r="C136" s="206"/>
      <c r="D136" s="196" t="s">
        <v>388</v>
      </c>
      <c r="E136" s="207" t="s">
        <v>19</v>
      </c>
      <c r="F136" s="208" t="s">
        <v>3675</v>
      </c>
      <c r="G136" s="206"/>
      <c r="H136" s="209">
        <v>97.5</v>
      </c>
      <c r="I136" s="210"/>
      <c r="J136" s="206"/>
      <c r="K136" s="206"/>
      <c r="L136" s="211"/>
      <c r="M136" s="212"/>
      <c r="N136" s="213"/>
      <c r="O136" s="213"/>
      <c r="P136" s="213"/>
      <c r="Q136" s="213"/>
      <c r="R136" s="213"/>
      <c r="S136" s="213"/>
      <c r="T136" s="214"/>
      <c r="AT136" s="215" t="s">
        <v>388</v>
      </c>
      <c r="AU136" s="215" t="s">
        <v>82</v>
      </c>
      <c r="AV136" s="14" t="s">
        <v>82</v>
      </c>
      <c r="AW136" s="14" t="s">
        <v>33</v>
      </c>
      <c r="AX136" s="14" t="s">
        <v>72</v>
      </c>
      <c r="AY136" s="215" t="s">
        <v>380</v>
      </c>
    </row>
    <row r="137" spans="1:65" s="13" customFormat="1" ht="11.25">
      <c r="B137" s="194"/>
      <c r="C137" s="195"/>
      <c r="D137" s="196" t="s">
        <v>388</v>
      </c>
      <c r="E137" s="197" t="s">
        <v>19</v>
      </c>
      <c r="F137" s="198" t="s">
        <v>3356</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3676</v>
      </c>
      <c r="G138" s="206"/>
      <c r="H138" s="209">
        <v>4.55</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5" customFormat="1" ht="11.25">
      <c r="B139" s="216"/>
      <c r="C139" s="217"/>
      <c r="D139" s="196" t="s">
        <v>388</v>
      </c>
      <c r="E139" s="218" t="s">
        <v>19</v>
      </c>
      <c r="F139" s="219" t="s">
        <v>419</v>
      </c>
      <c r="G139" s="217"/>
      <c r="H139" s="220">
        <v>102.05</v>
      </c>
      <c r="I139" s="221"/>
      <c r="J139" s="217"/>
      <c r="K139" s="217"/>
      <c r="L139" s="222"/>
      <c r="M139" s="223"/>
      <c r="N139" s="224"/>
      <c r="O139" s="224"/>
      <c r="P139" s="224"/>
      <c r="Q139" s="224"/>
      <c r="R139" s="224"/>
      <c r="S139" s="224"/>
      <c r="T139" s="225"/>
      <c r="AT139" s="226" t="s">
        <v>388</v>
      </c>
      <c r="AU139" s="226" t="s">
        <v>82</v>
      </c>
      <c r="AV139" s="15" t="s">
        <v>386</v>
      </c>
      <c r="AW139" s="15" t="s">
        <v>33</v>
      </c>
      <c r="AX139" s="15" t="s">
        <v>79</v>
      </c>
      <c r="AY139" s="226" t="s">
        <v>380</v>
      </c>
    </row>
    <row r="140" spans="1:65" s="2" customFormat="1" ht="24.2" customHeight="1">
      <c r="A140" s="36"/>
      <c r="B140" s="37"/>
      <c r="C140" s="181" t="s">
        <v>284</v>
      </c>
      <c r="D140" s="181" t="s">
        <v>382</v>
      </c>
      <c r="E140" s="182" t="s">
        <v>3358</v>
      </c>
      <c r="F140" s="183" t="s">
        <v>3359</v>
      </c>
      <c r="G140" s="184" t="s">
        <v>641</v>
      </c>
      <c r="H140" s="185">
        <v>1</v>
      </c>
      <c r="I140" s="186"/>
      <c r="J140" s="187">
        <f>ROUND(I140*H140,2)</f>
        <v>0</v>
      </c>
      <c r="K140" s="183" t="s">
        <v>3239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3677</v>
      </c>
    </row>
    <row r="141" spans="1:65" s="2" customFormat="1" ht="16.5" customHeight="1">
      <c r="A141" s="36"/>
      <c r="B141" s="37"/>
      <c r="C141" s="227" t="s">
        <v>486</v>
      </c>
      <c r="D141" s="227" t="s">
        <v>465</v>
      </c>
      <c r="E141" s="228" t="s">
        <v>3361</v>
      </c>
      <c r="F141" s="229" t="s">
        <v>3678</v>
      </c>
      <c r="G141" s="230" t="s">
        <v>3278</v>
      </c>
      <c r="H141" s="231">
        <v>1</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546</v>
      </c>
      <c r="AT141" s="192" t="s">
        <v>465</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3679</v>
      </c>
    </row>
    <row r="142" spans="1:65" s="2" customFormat="1" ht="19.5">
      <c r="A142" s="36"/>
      <c r="B142" s="37"/>
      <c r="C142" s="38"/>
      <c r="D142" s="196" t="s">
        <v>1226</v>
      </c>
      <c r="E142" s="38"/>
      <c r="F142" s="248" t="s">
        <v>3680</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2" customFormat="1" ht="24.2" customHeight="1">
      <c r="A143" s="36"/>
      <c r="B143" s="37"/>
      <c r="C143" s="181" t="s">
        <v>7</v>
      </c>
      <c r="D143" s="181" t="s">
        <v>382</v>
      </c>
      <c r="E143" s="182" t="s">
        <v>3365</v>
      </c>
      <c r="F143" s="183" t="s">
        <v>3366</v>
      </c>
      <c r="G143" s="184" t="s">
        <v>641</v>
      </c>
      <c r="H143" s="185">
        <v>1</v>
      </c>
      <c r="I143" s="186"/>
      <c r="J143" s="187">
        <f>ROUND(I143*H143,2)</f>
        <v>0</v>
      </c>
      <c r="K143" s="183" t="s">
        <v>3239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3681</v>
      </c>
    </row>
    <row r="144" spans="1:65" s="2" customFormat="1" ht="16.5" customHeight="1">
      <c r="A144" s="36"/>
      <c r="B144" s="37"/>
      <c r="C144" s="227" t="s">
        <v>495</v>
      </c>
      <c r="D144" s="227" t="s">
        <v>465</v>
      </c>
      <c r="E144" s="228" t="s">
        <v>3368</v>
      </c>
      <c r="F144" s="229" t="s">
        <v>3369</v>
      </c>
      <c r="G144" s="230" t="s">
        <v>3278</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546</v>
      </c>
      <c r="AT144" s="192" t="s">
        <v>465</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3682</v>
      </c>
    </row>
    <row r="145" spans="1:65" s="2" customFormat="1" ht="19.5">
      <c r="A145" s="36"/>
      <c r="B145" s="37"/>
      <c r="C145" s="38"/>
      <c r="D145" s="196" t="s">
        <v>1226</v>
      </c>
      <c r="E145" s="38"/>
      <c r="F145" s="248" t="s">
        <v>3371</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1226</v>
      </c>
      <c r="AU145" s="19" t="s">
        <v>82</v>
      </c>
    </row>
    <row r="146" spans="1:65" s="2" customFormat="1" ht="21.75" customHeight="1">
      <c r="A146" s="36"/>
      <c r="B146" s="37"/>
      <c r="C146" s="181" t="s">
        <v>500</v>
      </c>
      <c r="D146" s="181" t="s">
        <v>382</v>
      </c>
      <c r="E146" s="182" t="s">
        <v>3372</v>
      </c>
      <c r="F146" s="183" t="s">
        <v>3373</v>
      </c>
      <c r="G146" s="184" t="s">
        <v>452</v>
      </c>
      <c r="H146" s="185">
        <v>3.25</v>
      </c>
      <c r="I146" s="186"/>
      <c r="J146" s="187">
        <f>ROUND(I146*H146,2)</f>
        <v>0</v>
      </c>
      <c r="K146" s="183" t="s">
        <v>3239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3683</v>
      </c>
    </row>
    <row r="147" spans="1:65" s="2" customFormat="1" ht="16.5" customHeight="1">
      <c r="A147" s="36"/>
      <c r="B147" s="37"/>
      <c r="C147" s="227" t="s">
        <v>505</v>
      </c>
      <c r="D147" s="227" t="s">
        <v>465</v>
      </c>
      <c r="E147" s="228" t="s">
        <v>3622</v>
      </c>
      <c r="F147" s="229" t="s">
        <v>3623</v>
      </c>
      <c r="G147" s="230" t="s">
        <v>452</v>
      </c>
      <c r="H147" s="231">
        <v>3.25</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546</v>
      </c>
      <c r="AT147" s="192" t="s">
        <v>465</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3684</v>
      </c>
    </row>
    <row r="148" spans="1:65" s="2" customFormat="1" ht="117">
      <c r="A148" s="36"/>
      <c r="B148" s="37"/>
      <c r="C148" s="38"/>
      <c r="D148" s="196" t="s">
        <v>1226</v>
      </c>
      <c r="E148" s="38"/>
      <c r="F148" s="248" t="s">
        <v>3378</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82</v>
      </c>
    </row>
    <row r="149" spans="1:65" s="14" customFormat="1" ht="11.25">
      <c r="B149" s="205"/>
      <c r="C149" s="206"/>
      <c r="D149" s="196" t="s">
        <v>388</v>
      </c>
      <c r="E149" s="207" t="s">
        <v>19</v>
      </c>
      <c r="F149" s="208" t="s">
        <v>3685</v>
      </c>
      <c r="G149" s="206"/>
      <c r="H149" s="209">
        <v>3.25</v>
      </c>
      <c r="I149" s="210"/>
      <c r="J149" s="206"/>
      <c r="K149" s="206"/>
      <c r="L149" s="211"/>
      <c r="M149" s="212"/>
      <c r="N149" s="213"/>
      <c r="O149" s="213"/>
      <c r="P149" s="213"/>
      <c r="Q149" s="213"/>
      <c r="R149" s="213"/>
      <c r="S149" s="213"/>
      <c r="T149" s="214"/>
      <c r="AT149" s="215" t="s">
        <v>388</v>
      </c>
      <c r="AU149" s="215" t="s">
        <v>82</v>
      </c>
      <c r="AV149" s="14" t="s">
        <v>82</v>
      </c>
      <c r="AW149" s="14" t="s">
        <v>33</v>
      </c>
      <c r="AX149" s="14" t="s">
        <v>72</v>
      </c>
      <c r="AY149" s="215" t="s">
        <v>380</v>
      </c>
    </row>
    <row r="150" spans="1:65" s="15" customFormat="1" ht="11.25">
      <c r="B150" s="216"/>
      <c r="C150" s="217"/>
      <c r="D150" s="196" t="s">
        <v>388</v>
      </c>
      <c r="E150" s="218" t="s">
        <v>19</v>
      </c>
      <c r="F150" s="219" t="s">
        <v>419</v>
      </c>
      <c r="G150" s="217"/>
      <c r="H150" s="220">
        <v>3.25</v>
      </c>
      <c r="I150" s="221"/>
      <c r="J150" s="217"/>
      <c r="K150" s="217"/>
      <c r="L150" s="222"/>
      <c r="M150" s="223"/>
      <c r="N150" s="224"/>
      <c r="O150" s="224"/>
      <c r="P150" s="224"/>
      <c r="Q150" s="224"/>
      <c r="R150" s="224"/>
      <c r="S150" s="224"/>
      <c r="T150" s="225"/>
      <c r="AT150" s="226" t="s">
        <v>388</v>
      </c>
      <c r="AU150" s="226" t="s">
        <v>82</v>
      </c>
      <c r="AV150" s="15" t="s">
        <v>386</v>
      </c>
      <c r="AW150" s="15" t="s">
        <v>33</v>
      </c>
      <c r="AX150" s="15" t="s">
        <v>79</v>
      </c>
      <c r="AY150" s="226" t="s">
        <v>380</v>
      </c>
    </row>
    <row r="151" spans="1:65" s="2" customFormat="1" ht="24.2" customHeight="1">
      <c r="A151" s="36"/>
      <c r="B151" s="37"/>
      <c r="C151" s="181" t="s">
        <v>509</v>
      </c>
      <c r="D151" s="181" t="s">
        <v>382</v>
      </c>
      <c r="E151" s="182" t="s">
        <v>3390</v>
      </c>
      <c r="F151" s="183" t="s">
        <v>3391</v>
      </c>
      <c r="G151" s="184" t="s">
        <v>452</v>
      </c>
      <c r="H151" s="185">
        <v>4</v>
      </c>
      <c r="I151" s="186"/>
      <c r="J151" s="187">
        <f>ROUND(I151*H151,2)</f>
        <v>0</v>
      </c>
      <c r="K151" s="183" t="s">
        <v>3239</v>
      </c>
      <c r="L151" s="41"/>
      <c r="M151" s="188" t="s">
        <v>19</v>
      </c>
      <c r="N151" s="189" t="s">
        <v>43</v>
      </c>
      <c r="O151" s="66"/>
      <c r="P151" s="190">
        <f>O151*H151</f>
        <v>0</v>
      </c>
      <c r="Q151" s="190">
        <v>1.56E-3</v>
      </c>
      <c r="R151" s="190">
        <f>Q151*H151</f>
        <v>6.2399999999999999E-3</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3686</v>
      </c>
    </row>
    <row r="152" spans="1:65" s="2" customFormat="1" ht="24.2" customHeight="1">
      <c r="A152" s="36"/>
      <c r="B152" s="37"/>
      <c r="C152" s="181" t="s">
        <v>514</v>
      </c>
      <c r="D152" s="181" t="s">
        <v>382</v>
      </c>
      <c r="E152" s="182" t="s">
        <v>3393</v>
      </c>
      <c r="F152" s="183" t="s">
        <v>3394</v>
      </c>
      <c r="G152" s="184" t="s">
        <v>452</v>
      </c>
      <c r="H152" s="185">
        <v>5</v>
      </c>
      <c r="I152" s="186"/>
      <c r="J152" s="187">
        <f>ROUND(I152*H152,2)</f>
        <v>0</v>
      </c>
      <c r="K152" s="183" t="s">
        <v>3239</v>
      </c>
      <c r="L152" s="41"/>
      <c r="M152" s="188" t="s">
        <v>19</v>
      </c>
      <c r="N152" s="189" t="s">
        <v>43</v>
      </c>
      <c r="O152" s="66"/>
      <c r="P152" s="190">
        <f>O152*H152</f>
        <v>0</v>
      </c>
      <c r="Q152" s="190">
        <v>6.9999999999999999E-4</v>
      </c>
      <c r="R152" s="190">
        <f>Q152*H152</f>
        <v>3.5000000000000001E-3</v>
      </c>
      <c r="S152" s="190">
        <v>0</v>
      </c>
      <c r="T152" s="191">
        <f>S152*H152</f>
        <v>0</v>
      </c>
      <c r="U152" s="36"/>
      <c r="V152" s="36"/>
      <c r="W152" s="36"/>
      <c r="X152" s="36"/>
      <c r="Y152" s="36"/>
      <c r="Z152" s="36"/>
      <c r="AA152" s="36"/>
      <c r="AB152" s="36"/>
      <c r="AC152" s="36"/>
      <c r="AD152" s="36"/>
      <c r="AE152" s="36"/>
      <c r="AR152" s="192" t="s">
        <v>281</v>
      </c>
      <c r="AT152" s="192" t="s">
        <v>382</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3687</v>
      </c>
    </row>
    <row r="153" spans="1:65" s="2" customFormat="1" ht="24.2" customHeight="1">
      <c r="A153" s="36"/>
      <c r="B153" s="37"/>
      <c r="C153" s="181" t="s">
        <v>520</v>
      </c>
      <c r="D153" s="181" t="s">
        <v>382</v>
      </c>
      <c r="E153" s="182" t="s">
        <v>3396</v>
      </c>
      <c r="F153" s="183" t="s">
        <v>3397</v>
      </c>
      <c r="G153" s="184" t="s">
        <v>452</v>
      </c>
      <c r="H153" s="185">
        <v>102</v>
      </c>
      <c r="I153" s="186"/>
      <c r="J153" s="187">
        <f>ROUND(I153*H153,2)</f>
        <v>0</v>
      </c>
      <c r="K153" s="183" t="s">
        <v>3239</v>
      </c>
      <c r="L153" s="41"/>
      <c r="M153" s="188" t="s">
        <v>19</v>
      </c>
      <c r="N153" s="189" t="s">
        <v>43</v>
      </c>
      <c r="O153" s="66"/>
      <c r="P153" s="190">
        <f>O153*H153</f>
        <v>0</v>
      </c>
      <c r="Q153" s="190">
        <v>8.3000000000000001E-4</v>
      </c>
      <c r="R153" s="190">
        <f>Q153*H153</f>
        <v>8.4659999999999999E-2</v>
      </c>
      <c r="S153" s="190">
        <v>0</v>
      </c>
      <c r="T153" s="191">
        <f>S153*H153</f>
        <v>0</v>
      </c>
      <c r="U153" s="36"/>
      <c r="V153" s="36"/>
      <c r="W153" s="36"/>
      <c r="X153" s="36"/>
      <c r="Y153" s="36"/>
      <c r="Z153" s="36"/>
      <c r="AA153" s="36"/>
      <c r="AB153" s="36"/>
      <c r="AC153" s="36"/>
      <c r="AD153" s="36"/>
      <c r="AE153" s="36"/>
      <c r="AR153" s="192" t="s">
        <v>281</v>
      </c>
      <c r="AT153" s="192" t="s">
        <v>382</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3688</v>
      </c>
    </row>
    <row r="154" spans="1:65" s="2" customFormat="1" ht="24.2" customHeight="1">
      <c r="A154" s="36"/>
      <c r="B154" s="37"/>
      <c r="C154" s="181" t="s">
        <v>525</v>
      </c>
      <c r="D154" s="181" t="s">
        <v>382</v>
      </c>
      <c r="E154" s="182" t="s">
        <v>3689</v>
      </c>
      <c r="F154" s="183" t="s">
        <v>3690</v>
      </c>
      <c r="G154" s="184" t="s">
        <v>641</v>
      </c>
      <c r="H154" s="185">
        <v>2</v>
      </c>
      <c r="I154" s="186"/>
      <c r="J154" s="187">
        <f>ROUND(I154*H154,2)</f>
        <v>0</v>
      </c>
      <c r="K154" s="183" t="s">
        <v>3239</v>
      </c>
      <c r="L154" s="41"/>
      <c r="M154" s="188" t="s">
        <v>19</v>
      </c>
      <c r="N154" s="189" t="s">
        <v>43</v>
      </c>
      <c r="O154" s="66"/>
      <c r="P154" s="190">
        <f>O154*H154</f>
        <v>0</v>
      </c>
      <c r="Q154" s="190">
        <v>1.17E-3</v>
      </c>
      <c r="R154" s="190">
        <f>Q154*H154</f>
        <v>2.3400000000000001E-3</v>
      </c>
      <c r="S154" s="190">
        <v>0</v>
      </c>
      <c r="T154" s="191">
        <f>S154*H154</f>
        <v>0</v>
      </c>
      <c r="U154" s="36"/>
      <c r="V154" s="36"/>
      <c r="W154" s="36"/>
      <c r="X154" s="36"/>
      <c r="Y154" s="36"/>
      <c r="Z154" s="36"/>
      <c r="AA154" s="36"/>
      <c r="AB154" s="36"/>
      <c r="AC154" s="36"/>
      <c r="AD154" s="36"/>
      <c r="AE154" s="36"/>
      <c r="AR154" s="192" t="s">
        <v>281</v>
      </c>
      <c r="AT154" s="192" t="s">
        <v>382</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3691</v>
      </c>
    </row>
    <row r="155" spans="1:65" s="13" customFormat="1" ht="11.25">
      <c r="B155" s="194"/>
      <c r="C155" s="195"/>
      <c r="D155" s="196" t="s">
        <v>388</v>
      </c>
      <c r="E155" s="197" t="s">
        <v>19</v>
      </c>
      <c r="F155" s="198" t="s">
        <v>3692</v>
      </c>
      <c r="G155" s="195"/>
      <c r="H155" s="197" t="s">
        <v>19</v>
      </c>
      <c r="I155" s="199"/>
      <c r="J155" s="195"/>
      <c r="K155" s="195"/>
      <c r="L155" s="200"/>
      <c r="M155" s="201"/>
      <c r="N155" s="202"/>
      <c r="O155" s="202"/>
      <c r="P155" s="202"/>
      <c r="Q155" s="202"/>
      <c r="R155" s="202"/>
      <c r="S155" s="202"/>
      <c r="T155" s="203"/>
      <c r="AT155" s="204" t="s">
        <v>388</v>
      </c>
      <c r="AU155" s="204" t="s">
        <v>82</v>
      </c>
      <c r="AV155" s="13" t="s">
        <v>79</v>
      </c>
      <c r="AW155" s="13" t="s">
        <v>33</v>
      </c>
      <c r="AX155" s="13" t="s">
        <v>72</v>
      </c>
      <c r="AY155" s="204" t="s">
        <v>380</v>
      </c>
    </row>
    <row r="156" spans="1:65" s="14" customFormat="1" ht="11.25">
      <c r="B156" s="205"/>
      <c r="C156" s="206"/>
      <c r="D156" s="196" t="s">
        <v>388</v>
      </c>
      <c r="E156" s="207" t="s">
        <v>19</v>
      </c>
      <c r="F156" s="208" t="s">
        <v>3403</v>
      </c>
      <c r="G156" s="206"/>
      <c r="H156" s="209">
        <v>2</v>
      </c>
      <c r="I156" s="210"/>
      <c r="J156" s="206"/>
      <c r="K156" s="206"/>
      <c r="L156" s="211"/>
      <c r="M156" s="212"/>
      <c r="N156" s="213"/>
      <c r="O156" s="213"/>
      <c r="P156" s="213"/>
      <c r="Q156" s="213"/>
      <c r="R156" s="213"/>
      <c r="S156" s="213"/>
      <c r="T156" s="214"/>
      <c r="AT156" s="215" t="s">
        <v>388</v>
      </c>
      <c r="AU156" s="215" t="s">
        <v>82</v>
      </c>
      <c r="AV156" s="14" t="s">
        <v>82</v>
      </c>
      <c r="AW156" s="14" t="s">
        <v>33</v>
      </c>
      <c r="AX156" s="14" t="s">
        <v>72</v>
      </c>
      <c r="AY156" s="215" t="s">
        <v>380</v>
      </c>
    </row>
    <row r="157" spans="1:65" s="16" customFormat="1" ht="11.25">
      <c r="B157" s="237"/>
      <c r="C157" s="238"/>
      <c r="D157" s="196" t="s">
        <v>388</v>
      </c>
      <c r="E157" s="239" t="s">
        <v>19</v>
      </c>
      <c r="F157" s="240" t="s">
        <v>572</v>
      </c>
      <c r="G157" s="238"/>
      <c r="H157" s="241">
        <v>2</v>
      </c>
      <c r="I157" s="242"/>
      <c r="J157" s="238"/>
      <c r="K157" s="238"/>
      <c r="L157" s="243"/>
      <c r="M157" s="244"/>
      <c r="N157" s="245"/>
      <c r="O157" s="245"/>
      <c r="P157" s="245"/>
      <c r="Q157" s="245"/>
      <c r="R157" s="245"/>
      <c r="S157" s="245"/>
      <c r="T157" s="246"/>
      <c r="AT157" s="247" t="s">
        <v>388</v>
      </c>
      <c r="AU157" s="247" t="s">
        <v>82</v>
      </c>
      <c r="AV157" s="16" t="s">
        <v>99</v>
      </c>
      <c r="AW157" s="16" t="s">
        <v>33</v>
      </c>
      <c r="AX157" s="16" t="s">
        <v>72</v>
      </c>
      <c r="AY157" s="247" t="s">
        <v>380</v>
      </c>
    </row>
    <row r="158" spans="1:65" s="15" customFormat="1" ht="11.25">
      <c r="B158" s="216"/>
      <c r="C158" s="217"/>
      <c r="D158" s="196" t="s">
        <v>388</v>
      </c>
      <c r="E158" s="218" t="s">
        <v>19</v>
      </c>
      <c r="F158" s="219" t="s">
        <v>419</v>
      </c>
      <c r="G158" s="217"/>
      <c r="H158" s="220">
        <v>2</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24.2" customHeight="1">
      <c r="A159" s="36"/>
      <c r="B159" s="37"/>
      <c r="C159" s="181" t="s">
        <v>529</v>
      </c>
      <c r="D159" s="181" t="s">
        <v>382</v>
      </c>
      <c r="E159" s="182" t="s">
        <v>3693</v>
      </c>
      <c r="F159" s="183" t="s">
        <v>3694</v>
      </c>
      <c r="G159" s="184" t="s">
        <v>641</v>
      </c>
      <c r="H159" s="185">
        <v>2</v>
      </c>
      <c r="I159" s="186"/>
      <c r="J159" s="187">
        <f>ROUND(I159*H159,2)</f>
        <v>0</v>
      </c>
      <c r="K159" s="183" t="s">
        <v>3239</v>
      </c>
      <c r="L159" s="41"/>
      <c r="M159" s="188" t="s">
        <v>19</v>
      </c>
      <c r="N159" s="189" t="s">
        <v>43</v>
      </c>
      <c r="O159" s="66"/>
      <c r="P159" s="190">
        <f>O159*H159</f>
        <v>0</v>
      </c>
      <c r="Q159" s="190">
        <v>1.42E-3</v>
      </c>
      <c r="R159" s="190">
        <f>Q159*H159</f>
        <v>2.8400000000000001E-3</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3695</v>
      </c>
    </row>
    <row r="160" spans="1:65" s="13" customFormat="1" ht="11.25">
      <c r="B160" s="194"/>
      <c r="C160" s="195"/>
      <c r="D160" s="196" t="s">
        <v>388</v>
      </c>
      <c r="E160" s="197" t="s">
        <v>19</v>
      </c>
      <c r="F160" s="198" t="s">
        <v>3696</v>
      </c>
      <c r="G160" s="195"/>
      <c r="H160" s="197" t="s">
        <v>19</v>
      </c>
      <c r="I160" s="199"/>
      <c r="J160" s="195"/>
      <c r="K160" s="195"/>
      <c r="L160" s="200"/>
      <c r="M160" s="201"/>
      <c r="N160" s="202"/>
      <c r="O160" s="202"/>
      <c r="P160" s="202"/>
      <c r="Q160" s="202"/>
      <c r="R160" s="202"/>
      <c r="S160" s="202"/>
      <c r="T160" s="203"/>
      <c r="AT160" s="204" t="s">
        <v>388</v>
      </c>
      <c r="AU160" s="204" t="s">
        <v>82</v>
      </c>
      <c r="AV160" s="13" t="s">
        <v>79</v>
      </c>
      <c r="AW160" s="13" t="s">
        <v>33</v>
      </c>
      <c r="AX160" s="13" t="s">
        <v>72</v>
      </c>
      <c r="AY160" s="204" t="s">
        <v>380</v>
      </c>
    </row>
    <row r="161" spans="1:65" s="14" customFormat="1" ht="11.25">
      <c r="B161" s="205"/>
      <c r="C161" s="206"/>
      <c r="D161" s="196" t="s">
        <v>388</v>
      </c>
      <c r="E161" s="207" t="s">
        <v>19</v>
      </c>
      <c r="F161" s="208" t="s">
        <v>3403</v>
      </c>
      <c r="G161" s="206"/>
      <c r="H161" s="209">
        <v>2</v>
      </c>
      <c r="I161" s="210"/>
      <c r="J161" s="206"/>
      <c r="K161" s="206"/>
      <c r="L161" s="211"/>
      <c r="M161" s="212"/>
      <c r="N161" s="213"/>
      <c r="O161" s="213"/>
      <c r="P161" s="213"/>
      <c r="Q161" s="213"/>
      <c r="R161" s="213"/>
      <c r="S161" s="213"/>
      <c r="T161" s="214"/>
      <c r="AT161" s="215" t="s">
        <v>388</v>
      </c>
      <c r="AU161" s="215" t="s">
        <v>82</v>
      </c>
      <c r="AV161" s="14" t="s">
        <v>82</v>
      </c>
      <c r="AW161" s="14" t="s">
        <v>33</v>
      </c>
      <c r="AX161" s="14" t="s">
        <v>72</v>
      </c>
      <c r="AY161" s="215" t="s">
        <v>380</v>
      </c>
    </row>
    <row r="162" spans="1:65" s="15" customFormat="1" ht="11.25">
      <c r="B162" s="216"/>
      <c r="C162" s="217"/>
      <c r="D162" s="196" t="s">
        <v>388</v>
      </c>
      <c r="E162" s="218" t="s">
        <v>19</v>
      </c>
      <c r="F162" s="219" t="s">
        <v>419</v>
      </c>
      <c r="G162" s="217"/>
      <c r="H162" s="220">
        <v>2</v>
      </c>
      <c r="I162" s="221"/>
      <c r="J162" s="217"/>
      <c r="K162" s="217"/>
      <c r="L162" s="222"/>
      <c r="M162" s="223"/>
      <c r="N162" s="224"/>
      <c r="O162" s="224"/>
      <c r="P162" s="224"/>
      <c r="Q162" s="224"/>
      <c r="R162" s="224"/>
      <c r="S162" s="224"/>
      <c r="T162" s="225"/>
      <c r="AT162" s="226" t="s">
        <v>388</v>
      </c>
      <c r="AU162" s="226" t="s">
        <v>82</v>
      </c>
      <c r="AV162" s="15" t="s">
        <v>386</v>
      </c>
      <c r="AW162" s="15" t="s">
        <v>33</v>
      </c>
      <c r="AX162" s="15" t="s">
        <v>79</v>
      </c>
      <c r="AY162" s="226" t="s">
        <v>380</v>
      </c>
    </row>
    <row r="163" spans="1:65" s="2" customFormat="1" ht="16.5" customHeight="1">
      <c r="A163" s="36"/>
      <c r="B163" s="37"/>
      <c r="C163" s="181" t="s">
        <v>534</v>
      </c>
      <c r="D163" s="181" t="s">
        <v>382</v>
      </c>
      <c r="E163" s="182" t="s">
        <v>3697</v>
      </c>
      <c r="F163" s="183" t="s">
        <v>3698</v>
      </c>
      <c r="G163" s="184" t="s">
        <v>641</v>
      </c>
      <c r="H163" s="185">
        <v>1</v>
      </c>
      <c r="I163" s="186"/>
      <c r="J163" s="187">
        <f>ROUND(I163*H163,2)</f>
        <v>0</v>
      </c>
      <c r="K163" s="183" t="s">
        <v>3239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281</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3699</v>
      </c>
    </row>
    <row r="164" spans="1:65" s="2" customFormat="1" ht="16.5" customHeight="1">
      <c r="A164" s="36"/>
      <c r="B164" s="37"/>
      <c r="C164" s="227" t="s">
        <v>540</v>
      </c>
      <c r="D164" s="227" t="s">
        <v>465</v>
      </c>
      <c r="E164" s="228" t="s">
        <v>3428</v>
      </c>
      <c r="F164" s="229" t="s">
        <v>3700</v>
      </c>
      <c r="G164" s="230" t="s">
        <v>3278</v>
      </c>
      <c r="H164" s="231">
        <v>1</v>
      </c>
      <c r="I164" s="232"/>
      <c r="J164" s="233">
        <f>ROUND(I164*H164,2)</f>
        <v>0</v>
      </c>
      <c r="K164" s="229" t="s">
        <v>19</v>
      </c>
      <c r="L164" s="234"/>
      <c r="M164" s="235" t="s">
        <v>19</v>
      </c>
      <c r="N164" s="236" t="s">
        <v>43</v>
      </c>
      <c r="O164" s="66"/>
      <c r="P164" s="190">
        <f>O164*H164</f>
        <v>0</v>
      </c>
      <c r="Q164" s="190">
        <v>0.14000000000000001</v>
      </c>
      <c r="R164" s="190">
        <f>Q164*H164</f>
        <v>0.14000000000000001</v>
      </c>
      <c r="S164" s="190">
        <v>0</v>
      </c>
      <c r="T164" s="191">
        <f>S164*H164</f>
        <v>0</v>
      </c>
      <c r="U164" s="36"/>
      <c r="V164" s="36"/>
      <c r="W164" s="36"/>
      <c r="X164" s="36"/>
      <c r="Y164" s="36"/>
      <c r="Z164" s="36"/>
      <c r="AA164" s="36"/>
      <c r="AB164" s="36"/>
      <c r="AC164" s="36"/>
      <c r="AD164" s="36"/>
      <c r="AE164" s="36"/>
      <c r="AR164" s="192" t="s">
        <v>546</v>
      </c>
      <c r="AT164" s="192" t="s">
        <v>465</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3701</v>
      </c>
    </row>
    <row r="165" spans="1:65" s="2" customFormat="1" ht="48.75">
      <c r="A165" s="36"/>
      <c r="B165" s="37"/>
      <c r="C165" s="38"/>
      <c r="D165" s="196" t="s">
        <v>1226</v>
      </c>
      <c r="E165" s="38"/>
      <c r="F165" s="248" t="s">
        <v>3702</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1226</v>
      </c>
      <c r="AU165" s="19" t="s">
        <v>82</v>
      </c>
    </row>
    <row r="166" spans="1:65" s="2" customFormat="1" ht="24.2" customHeight="1">
      <c r="A166" s="36"/>
      <c r="B166" s="37"/>
      <c r="C166" s="181" t="s">
        <v>546</v>
      </c>
      <c r="D166" s="181" t="s">
        <v>382</v>
      </c>
      <c r="E166" s="182" t="s">
        <v>3432</v>
      </c>
      <c r="F166" s="183" t="s">
        <v>3433</v>
      </c>
      <c r="G166" s="184" t="s">
        <v>3014</v>
      </c>
      <c r="H166" s="257"/>
      <c r="I166" s="186"/>
      <c r="J166" s="187">
        <f>ROUND(I166*H166,2)</f>
        <v>0</v>
      </c>
      <c r="K166" s="183" t="s">
        <v>3239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281</v>
      </c>
      <c r="AT166" s="192" t="s">
        <v>382</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3703</v>
      </c>
    </row>
    <row r="167" spans="1:65" s="2" customFormat="1" ht="24.2" customHeight="1">
      <c r="A167" s="36"/>
      <c r="B167" s="37"/>
      <c r="C167" s="181" t="s">
        <v>552</v>
      </c>
      <c r="D167" s="181" t="s">
        <v>382</v>
      </c>
      <c r="E167" s="182" t="s">
        <v>3435</v>
      </c>
      <c r="F167" s="183" t="s">
        <v>3436</v>
      </c>
      <c r="G167" s="184" t="s">
        <v>3014</v>
      </c>
      <c r="H167" s="257"/>
      <c r="I167" s="186"/>
      <c r="J167" s="187">
        <f>ROUND(I167*H167,2)</f>
        <v>0</v>
      </c>
      <c r="K167" s="183" t="s">
        <v>3239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281</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3704</v>
      </c>
    </row>
    <row r="168" spans="1:65" s="12" customFormat="1" ht="22.9" customHeight="1">
      <c r="B168" s="165"/>
      <c r="C168" s="166"/>
      <c r="D168" s="167" t="s">
        <v>71</v>
      </c>
      <c r="E168" s="179" t="s">
        <v>3450</v>
      </c>
      <c r="F168" s="179" t="s">
        <v>3451</v>
      </c>
      <c r="G168" s="166"/>
      <c r="H168" s="166"/>
      <c r="I168" s="169"/>
      <c r="J168" s="180">
        <f>BK168</f>
        <v>0</v>
      </c>
      <c r="K168" s="166"/>
      <c r="L168" s="171"/>
      <c r="M168" s="172"/>
      <c r="N168" s="173"/>
      <c r="O168" s="173"/>
      <c r="P168" s="174">
        <f>SUM(P169:P173)</f>
        <v>0</v>
      </c>
      <c r="Q168" s="173"/>
      <c r="R168" s="174">
        <f>SUM(R169:R173)</f>
        <v>0</v>
      </c>
      <c r="S168" s="173"/>
      <c r="T168" s="175">
        <f>SUM(T169:T173)</f>
        <v>0</v>
      </c>
      <c r="AR168" s="176" t="s">
        <v>82</v>
      </c>
      <c r="AT168" s="177" t="s">
        <v>71</v>
      </c>
      <c r="AU168" s="177" t="s">
        <v>79</v>
      </c>
      <c r="AY168" s="176" t="s">
        <v>380</v>
      </c>
      <c r="BK168" s="178">
        <f>SUM(BK169:BK173)</f>
        <v>0</v>
      </c>
    </row>
    <row r="169" spans="1:65" s="2" customFormat="1" ht="16.5" customHeight="1">
      <c r="A169" s="36"/>
      <c r="B169" s="37"/>
      <c r="C169" s="227" t="s">
        <v>556</v>
      </c>
      <c r="D169" s="227" t="s">
        <v>465</v>
      </c>
      <c r="E169" s="228" t="s">
        <v>3452</v>
      </c>
      <c r="F169" s="229" t="s">
        <v>3453</v>
      </c>
      <c r="G169" s="230" t="s">
        <v>2389</v>
      </c>
      <c r="H169" s="231">
        <v>40</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546</v>
      </c>
      <c r="AT169" s="192" t="s">
        <v>465</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3705</v>
      </c>
    </row>
    <row r="170" spans="1:65" s="14" customFormat="1" ht="11.25">
      <c r="B170" s="205"/>
      <c r="C170" s="206"/>
      <c r="D170" s="196" t="s">
        <v>388</v>
      </c>
      <c r="E170" s="207" t="s">
        <v>19</v>
      </c>
      <c r="F170" s="208" t="s">
        <v>3455</v>
      </c>
      <c r="G170" s="206"/>
      <c r="H170" s="209">
        <v>40</v>
      </c>
      <c r="I170" s="210"/>
      <c r="J170" s="206"/>
      <c r="K170" s="206"/>
      <c r="L170" s="211"/>
      <c r="M170" s="212"/>
      <c r="N170" s="213"/>
      <c r="O170" s="213"/>
      <c r="P170" s="213"/>
      <c r="Q170" s="213"/>
      <c r="R170" s="213"/>
      <c r="S170" s="213"/>
      <c r="T170" s="214"/>
      <c r="AT170" s="215" t="s">
        <v>388</v>
      </c>
      <c r="AU170" s="215" t="s">
        <v>82</v>
      </c>
      <c r="AV170" s="14" t="s">
        <v>82</v>
      </c>
      <c r="AW170" s="14" t="s">
        <v>33</v>
      </c>
      <c r="AX170" s="14" t="s">
        <v>79</v>
      </c>
      <c r="AY170" s="215" t="s">
        <v>380</v>
      </c>
    </row>
    <row r="171" spans="1:65" s="2" customFormat="1" ht="16.5" customHeight="1">
      <c r="A171" s="36"/>
      <c r="B171" s="37"/>
      <c r="C171" s="181" t="s">
        <v>565</v>
      </c>
      <c r="D171" s="181" t="s">
        <v>382</v>
      </c>
      <c r="E171" s="182" t="s">
        <v>3456</v>
      </c>
      <c r="F171" s="183" t="s">
        <v>2819</v>
      </c>
      <c r="G171" s="184" t="s">
        <v>2389</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3706</v>
      </c>
    </row>
    <row r="172" spans="1:65" s="2" customFormat="1" ht="16.5" customHeight="1">
      <c r="A172" s="36"/>
      <c r="B172" s="37"/>
      <c r="C172" s="181" t="s">
        <v>579</v>
      </c>
      <c r="D172" s="181" t="s">
        <v>382</v>
      </c>
      <c r="E172" s="182" t="s">
        <v>3458</v>
      </c>
      <c r="F172" s="183" t="s">
        <v>3459</v>
      </c>
      <c r="G172" s="184" t="s">
        <v>2389</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281</v>
      </c>
      <c r="AT172" s="192" t="s">
        <v>382</v>
      </c>
      <c r="AU172" s="192" t="s">
        <v>82</v>
      </c>
      <c r="AY172" s="19" t="s">
        <v>380</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281</v>
      </c>
      <c r="BM172" s="192" t="s">
        <v>3707</v>
      </c>
    </row>
    <row r="173" spans="1:65" s="2" customFormat="1" ht="16.5" customHeight="1">
      <c r="A173" s="36"/>
      <c r="B173" s="37"/>
      <c r="C173" s="181" t="s">
        <v>600</v>
      </c>
      <c r="D173" s="181" t="s">
        <v>382</v>
      </c>
      <c r="E173" s="182" t="s">
        <v>3461</v>
      </c>
      <c r="F173" s="183" t="s">
        <v>3462</v>
      </c>
      <c r="G173" s="184" t="s">
        <v>2389</v>
      </c>
      <c r="H173" s="185">
        <v>36</v>
      </c>
      <c r="I173" s="186"/>
      <c r="J173" s="187">
        <f>ROUND(I173*H173,2)</f>
        <v>0</v>
      </c>
      <c r="K173" s="183" t="s">
        <v>19</v>
      </c>
      <c r="L173" s="41"/>
      <c r="M173" s="252" t="s">
        <v>19</v>
      </c>
      <c r="N173" s="253" t="s">
        <v>43</v>
      </c>
      <c r="O173" s="254"/>
      <c r="P173" s="255">
        <f>O173*H173</f>
        <v>0</v>
      </c>
      <c r="Q173" s="255">
        <v>0</v>
      </c>
      <c r="R173" s="255">
        <f>Q173*H173</f>
        <v>0</v>
      </c>
      <c r="S173" s="255">
        <v>0</v>
      </c>
      <c r="T173" s="256">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3708</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Nih4NjphDPdUWMDiVLOmi/PTh2In0046gifE7ExvzexS3B+SZXz+2mDUveW+oQRXeez83E2wX5ranftFzuaiWA==" saltValue="RsKnQ9JbmnqnwqDDXq++Dm041RZZw9NMJL+ycQTSx/ndmLp0C6IuD34L5C9/H5VOHiz2nccjTM50i7xJLotpTg==" spinCount="100000" sheet="1" objects="1" scenarios="1" formatColumns="0" formatRows="0" autoFilter="0"/>
  <autoFilter ref="C94:K173"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3709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ROUND((SUM(BE95:BE230)),  2)</f>
        <v>0</v>
      </c>
      <c r="G37" s="36"/>
      <c r="H37" s="36"/>
      <c r="I37" s="127">
        <v>0.21</v>
      </c>
      <c r="J37" s="126">
        <f>ROUND(((SUM(BE95:BE230))*I37),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ROUND((SUM(BF95:BF230)),  2)</f>
        <v>0</v>
      </c>
      <c r="G38" s="36"/>
      <c r="H38" s="36"/>
      <c r="I38" s="127">
        <v>0.15</v>
      </c>
      <c r="J38" s="126">
        <f>ROUND(((SUM(BF95:BF230))*I38),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ROUND((SUM(BG95:BG230)),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ROUND((SUM(BH95:BH230)),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ROUND((SUM(BI95:BI230)),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07 - Větrání depozitářů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J225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07 - Větrání depozitářů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11.705337000000004</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P97+P111+P225</f>
        <v>0</v>
      </c>
      <c r="Q96" s="173"/>
      <c r="R96" s="174">
        <f>R97+R111+R225</f>
        <v>11.705337000000004</v>
      </c>
      <c r="S96" s="173"/>
      <c r="T96" s="175">
        <f>T97+T111+T225</f>
        <v>0</v>
      </c>
      <c r="AR96" s="176" t="s">
        <v>82</v>
      </c>
      <c r="AT96" s="177" t="s">
        <v>71</v>
      </c>
      <c r="AU96" s="177" t="s">
        <v>72</v>
      </c>
      <c r="AY96" s="176" t="s">
        <v>380</v>
      </c>
      <c r="BK96" s="178">
        <f>BK97+BK111+BK225</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1.4463790000000001</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314.5</v>
      </c>
      <c r="I98" s="186"/>
      <c r="J98" s="187">
        <f>ROUND(I98*H98,2)</f>
        <v>0</v>
      </c>
      <c r="K98" s="183" t="s">
        <v>3239</v>
      </c>
      <c r="L98" s="41"/>
      <c r="M98" s="188" t="s">
        <v>19</v>
      </c>
      <c r="N98" s="189" t="s">
        <v>43</v>
      </c>
      <c r="O98" s="66"/>
      <c r="P98" s="190">
        <f>O98*H98</f>
        <v>0</v>
      </c>
      <c r="Q98" s="190">
        <v>1.5100000000000001E-3</v>
      </c>
      <c r="R98" s="190">
        <f>Q98*H98</f>
        <v>0.47489500000000001</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3710</v>
      </c>
    </row>
    <row r="99" spans="1:65" s="2" customFormat="1" ht="16.5" customHeight="1">
      <c r="A99" s="36"/>
      <c r="B99" s="37"/>
      <c r="C99" s="227" t="s">
        <v>82</v>
      </c>
      <c r="D99" s="227" t="s">
        <v>465</v>
      </c>
      <c r="E99" s="228" t="s">
        <v>3245</v>
      </c>
      <c r="F99" s="229" t="s">
        <v>3246</v>
      </c>
      <c r="G99" s="230" t="s">
        <v>398</v>
      </c>
      <c r="H99" s="231">
        <v>185.5</v>
      </c>
      <c r="I99" s="232"/>
      <c r="J99" s="233">
        <f>ROUND(I99*H99,2)</f>
        <v>0</v>
      </c>
      <c r="K99" s="229" t="s">
        <v>3239</v>
      </c>
      <c r="L99" s="234"/>
      <c r="M99" s="235" t="s">
        <v>19</v>
      </c>
      <c r="N99" s="236" t="s">
        <v>43</v>
      </c>
      <c r="O99" s="66"/>
      <c r="P99" s="190">
        <f>O99*H99</f>
        <v>0</v>
      </c>
      <c r="Q99" s="190">
        <v>3.0000000000000001E-3</v>
      </c>
      <c r="R99" s="190">
        <f>Q99*H99</f>
        <v>0.55649999999999999</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3711</v>
      </c>
    </row>
    <row r="100" spans="1:65" s="14" customFormat="1" ht="11.25">
      <c r="B100" s="205"/>
      <c r="C100" s="206"/>
      <c r="D100" s="196" t="s">
        <v>388</v>
      </c>
      <c r="E100" s="207" t="s">
        <v>19</v>
      </c>
      <c r="F100" s="208" t="s">
        <v>3712</v>
      </c>
      <c r="G100" s="206"/>
      <c r="H100" s="209">
        <v>185.5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3249</v>
      </c>
      <c r="F101" s="229" t="s">
        <v>3250</v>
      </c>
      <c r="G101" s="230" t="s">
        <v>398</v>
      </c>
      <c r="H101" s="231">
        <v>129</v>
      </c>
      <c r="I101" s="232"/>
      <c r="J101" s="233">
        <f>ROUND(I101*H101,2)</f>
        <v>0</v>
      </c>
      <c r="K101" s="229" t="s">
        <v>3239</v>
      </c>
      <c r="L101" s="234"/>
      <c r="M101" s="235" t="s">
        <v>19</v>
      </c>
      <c r="N101" s="236" t="s">
        <v>43</v>
      </c>
      <c r="O101" s="66"/>
      <c r="P101" s="190">
        <f>O101*H101</f>
        <v>0</v>
      </c>
      <c r="Q101" s="190">
        <v>3.2000000000000002E-3</v>
      </c>
      <c r="R101" s="190">
        <f>Q101*H101</f>
        <v>0.4128</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3713</v>
      </c>
    </row>
    <row r="102" spans="1:65" s="2" customFormat="1" ht="19.5">
      <c r="A102" s="36"/>
      <c r="B102" s="37"/>
      <c r="C102" s="38"/>
      <c r="D102" s="196" t="s">
        <v>1226</v>
      </c>
      <c r="E102" s="38"/>
      <c r="F102" s="248" t="s">
        <v>3252</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14" customFormat="1" ht="11.25">
      <c r="B103" s="205"/>
      <c r="C103" s="206"/>
      <c r="D103" s="196" t="s">
        <v>388</v>
      </c>
      <c r="E103" s="207" t="s">
        <v>19</v>
      </c>
      <c r="F103" s="208" t="s">
        <v>3714</v>
      </c>
      <c r="G103" s="206"/>
      <c r="H103" s="209">
        <v>129</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31.2</v>
      </c>
      <c r="I104" s="186"/>
      <c r="J104" s="187">
        <f>ROUND(I104*H104,2)</f>
        <v>0</v>
      </c>
      <c r="K104" s="183" t="s">
        <v>3239</v>
      </c>
      <c r="L104" s="41"/>
      <c r="M104" s="188" t="s">
        <v>19</v>
      </c>
      <c r="N104" s="189" t="s">
        <v>43</v>
      </c>
      <c r="O104" s="66"/>
      <c r="P104" s="190">
        <f>O104*H104</f>
        <v>0</v>
      </c>
      <c r="Q104" s="190">
        <v>6.9999999999999994E-5</v>
      </c>
      <c r="R104" s="190">
        <f>Q104*H104</f>
        <v>2.1839999999999997E-3</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3715</v>
      </c>
    </row>
    <row r="105" spans="1:65" s="2" customFormat="1" ht="16.5" customHeight="1">
      <c r="A105" s="36"/>
      <c r="B105" s="37"/>
      <c r="C105" s="227" t="s">
        <v>405</v>
      </c>
      <c r="D105" s="227" t="s">
        <v>465</v>
      </c>
      <c r="E105" s="228" t="s">
        <v>3261</v>
      </c>
      <c r="F105" s="229" t="s">
        <v>3262</v>
      </c>
      <c r="G105" s="230" t="s">
        <v>398</v>
      </c>
      <c r="H105" s="231">
        <v>31.2</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3716</v>
      </c>
    </row>
    <row r="106" spans="1:65" s="14" customFormat="1" ht="11.25">
      <c r="B106" s="205"/>
      <c r="C106" s="206"/>
      <c r="D106" s="196" t="s">
        <v>388</v>
      </c>
      <c r="E106" s="207" t="s">
        <v>19</v>
      </c>
      <c r="F106" s="208" t="s">
        <v>3717</v>
      </c>
      <c r="G106" s="206"/>
      <c r="H106" s="209">
        <v>31.2</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3718</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3719</v>
      </c>
    </row>
    <row r="109" spans="1:65" s="2" customFormat="1" ht="16.5" customHeight="1">
      <c r="A109" s="36"/>
      <c r="B109" s="37"/>
      <c r="C109" s="181" t="s">
        <v>424</v>
      </c>
      <c r="D109" s="181" t="s">
        <v>382</v>
      </c>
      <c r="E109" s="182" t="s">
        <v>3720</v>
      </c>
      <c r="F109" s="183" t="s">
        <v>3721</v>
      </c>
      <c r="G109" s="184" t="s">
        <v>398</v>
      </c>
      <c r="H109" s="185">
        <v>426</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3722</v>
      </c>
    </row>
    <row r="110" spans="1:65" s="14" customFormat="1" ht="11.25">
      <c r="B110" s="205"/>
      <c r="C110" s="206"/>
      <c r="D110" s="196" t="s">
        <v>388</v>
      </c>
      <c r="E110" s="207" t="s">
        <v>19</v>
      </c>
      <c r="F110" s="208" t="s">
        <v>3723</v>
      </c>
      <c r="G110" s="206"/>
      <c r="H110" s="209">
        <v>426</v>
      </c>
      <c r="I110" s="210"/>
      <c r="J110" s="206"/>
      <c r="K110" s="206"/>
      <c r="L110" s="211"/>
      <c r="M110" s="212"/>
      <c r="N110" s="213"/>
      <c r="O110" s="213"/>
      <c r="P110" s="213"/>
      <c r="Q110" s="213"/>
      <c r="R110" s="213"/>
      <c r="S110" s="213"/>
      <c r="T110" s="214"/>
      <c r="AT110" s="215" t="s">
        <v>388</v>
      </c>
      <c r="AU110" s="215" t="s">
        <v>82</v>
      </c>
      <c r="AV110" s="14" t="s">
        <v>82</v>
      </c>
      <c r="AW110" s="14" t="s">
        <v>33</v>
      </c>
      <c r="AX110" s="14" t="s">
        <v>79</v>
      </c>
      <c r="AY110" s="215" t="s">
        <v>380</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SUM(P112:P224)</f>
        <v>0</v>
      </c>
      <c r="Q111" s="173"/>
      <c r="R111" s="174">
        <f>SUM(R112:R224)</f>
        <v>10.258958000000003</v>
      </c>
      <c r="S111" s="173"/>
      <c r="T111" s="175">
        <f>SUM(T112:T224)</f>
        <v>0</v>
      </c>
      <c r="AR111" s="176" t="s">
        <v>82</v>
      </c>
      <c r="AT111" s="177" t="s">
        <v>71</v>
      </c>
      <c r="AU111" s="177" t="s">
        <v>79</v>
      </c>
      <c r="AY111" s="176" t="s">
        <v>380</v>
      </c>
      <c r="BK111" s="178">
        <f>SUM(BK112:BK224)</f>
        <v>0</v>
      </c>
    </row>
    <row r="112" spans="1:65" s="2" customFormat="1" ht="16.5" customHeight="1">
      <c r="A112" s="36"/>
      <c r="B112" s="37"/>
      <c r="C112" s="181" t="s">
        <v>430</v>
      </c>
      <c r="D112" s="181" t="s">
        <v>382</v>
      </c>
      <c r="E112" s="182" t="s">
        <v>3724</v>
      </c>
      <c r="F112" s="183" t="s">
        <v>3725</v>
      </c>
      <c r="G112" s="184" t="s">
        <v>641</v>
      </c>
      <c r="H112" s="185">
        <v>96</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3726</v>
      </c>
    </row>
    <row r="113" spans="1:65" s="2" customFormat="1" ht="16.5" customHeight="1">
      <c r="A113" s="36"/>
      <c r="B113" s="37"/>
      <c r="C113" s="227" t="s">
        <v>122</v>
      </c>
      <c r="D113" s="227" t="s">
        <v>465</v>
      </c>
      <c r="E113" s="228" t="s">
        <v>3727</v>
      </c>
      <c r="F113" s="229" t="s">
        <v>3728</v>
      </c>
      <c r="G113" s="230" t="s">
        <v>3278</v>
      </c>
      <c r="H113" s="231">
        <v>96</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3729</v>
      </c>
    </row>
    <row r="114" spans="1:65" s="2" customFormat="1" ht="19.5">
      <c r="A114" s="36"/>
      <c r="B114" s="37"/>
      <c r="C114" s="38"/>
      <c r="D114" s="196" t="s">
        <v>1226</v>
      </c>
      <c r="E114" s="38"/>
      <c r="F114" s="248" t="s">
        <v>3730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14" customFormat="1" ht="11.25">
      <c r="B115" s="205"/>
      <c r="C115" s="206"/>
      <c r="D115" s="196" t="s">
        <v>388</v>
      </c>
      <c r="E115" s="207" t="s">
        <v>19</v>
      </c>
      <c r="F115" s="208" t="s">
        <v>3731</v>
      </c>
      <c r="G115" s="206"/>
      <c r="H115" s="209">
        <v>96</v>
      </c>
      <c r="I115" s="210"/>
      <c r="J115" s="206"/>
      <c r="K115" s="206"/>
      <c r="L115" s="211"/>
      <c r="M115" s="212"/>
      <c r="N115" s="213"/>
      <c r="O115" s="213"/>
      <c r="P115" s="213"/>
      <c r="Q115" s="213"/>
      <c r="R115" s="213"/>
      <c r="S115" s="213"/>
      <c r="T115" s="214"/>
      <c r="AT115" s="215" t="s">
        <v>388</v>
      </c>
      <c r="AU115" s="215" t="s">
        <v>82</v>
      </c>
      <c r="AV115" s="14" t="s">
        <v>82</v>
      </c>
      <c r="AW115" s="14" t="s">
        <v>33</v>
      </c>
      <c r="AX115" s="14" t="s">
        <v>79</v>
      </c>
      <c r="AY115" s="215" t="s">
        <v>380</v>
      </c>
    </row>
    <row r="116" spans="1:65" s="2" customFormat="1" ht="16.5" customHeight="1">
      <c r="A116" s="36"/>
      <c r="B116" s="37"/>
      <c r="C116" s="181" t="s">
        <v>125</v>
      </c>
      <c r="D116" s="181" t="s">
        <v>382</v>
      </c>
      <c r="E116" s="182" t="s">
        <v>3301</v>
      </c>
      <c r="F116" s="183" t="s">
        <v>3302</v>
      </c>
      <c r="G116" s="184" t="s">
        <v>641</v>
      </c>
      <c r="H116" s="185">
        <v>16</v>
      </c>
      <c r="I116" s="186"/>
      <c r="J116" s="187">
        <f>ROUND(I116*H116,2)</f>
        <v>0</v>
      </c>
      <c r="K116" s="183" t="s">
        <v>3239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3732</v>
      </c>
    </row>
    <row r="117" spans="1:65" s="2" customFormat="1" ht="16.5" customHeight="1">
      <c r="A117" s="36"/>
      <c r="B117" s="37"/>
      <c r="C117" s="227" t="s">
        <v>128</v>
      </c>
      <c r="D117" s="227" t="s">
        <v>465</v>
      </c>
      <c r="E117" s="228" t="s">
        <v>3304</v>
      </c>
      <c r="F117" s="229" t="s">
        <v>3305</v>
      </c>
      <c r="G117" s="230" t="s">
        <v>3278</v>
      </c>
      <c r="H117" s="231">
        <v>7</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546</v>
      </c>
      <c r="AT117" s="192" t="s">
        <v>465</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3733</v>
      </c>
    </row>
    <row r="118" spans="1:65" s="2" customFormat="1" ht="39">
      <c r="A118" s="36"/>
      <c r="B118" s="37"/>
      <c r="C118" s="38"/>
      <c r="D118" s="196" t="s">
        <v>1226</v>
      </c>
      <c r="E118" s="38"/>
      <c r="F118" s="248" t="s">
        <v>3307</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3734</v>
      </c>
      <c r="G119" s="206"/>
      <c r="H119" s="209">
        <v>7</v>
      </c>
      <c r="I119" s="210"/>
      <c r="J119" s="206"/>
      <c r="K119" s="206"/>
      <c r="L119" s="211"/>
      <c r="M119" s="212"/>
      <c r="N119" s="213"/>
      <c r="O119" s="213"/>
      <c r="P119" s="213"/>
      <c r="Q119" s="213"/>
      <c r="R119" s="213"/>
      <c r="S119" s="213"/>
      <c r="T119" s="214"/>
      <c r="AT119" s="215" t="s">
        <v>388</v>
      </c>
      <c r="AU119" s="215" t="s">
        <v>82</v>
      </c>
      <c r="AV119" s="14" t="s">
        <v>82</v>
      </c>
      <c r="AW119" s="14" t="s">
        <v>33</v>
      </c>
      <c r="AX119" s="14" t="s">
        <v>79</v>
      </c>
      <c r="AY119" s="215" t="s">
        <v>380</v>
      </c>
    </row>
    <row r="120" spans="1:65" s="2" customFormat="1" ht="16.5" customHeight="1">
      <c r="A120" s="36"/>
      <c r="B120" s="37"/>
      <c r="C120" s="227" t="s">
        <v>131</v>
      </c>
      <c r="D120" s="227" t="s">
        <v>465</v>
      </c>
      <c r="E120" s="228" t="s">
        <v>3735</v>
      </c>
      <c r="F120" s="229" t="s">
        <v>3736</v>
      </c>
      <c r="G120" s="230" t="s">
        <v>19</v>
      </c>
      <c r="H120" s="231">
        <v>8</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546</v>
      </c>
      <c r="AT120" s="192" t="s">
        <v>465</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3737</v>
      </c>
    </row>
    <row r="121" spans="1:65" s="2" customFormat="1" ht="39">
      <c r="A121" s="36"/>
      <c r="B121" s="37"/>
      <c r="C121" s="38"/>
      <c r="D121" s="196" t="s">
        <v>1226</v>
      </c>
      <c r="E121" s="38"/>
      <c r="F121" s="248" t="s">
        <v>3738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1226</v>
      </c>
      <c r="AU121" s="19" t="s">
        <v>82</v>
      </c>
    </row>
    <row r="122" spans="1:65" s="14" customFormat="1" ht="11.25">
      <c r="B122" s="205"/>
      <c r="C122" s="206"/>
      <c r="D122" s="196" t="s">
        <v>388</v>
      </c>
      <c r="E122" s="207" t="s">
        <v>19</v>
      </c>
      <c r="F122" s="208" t="s">
        <v>3739</v>
      </c>
      <c r="G122" s="206"/>
      <c r="H122" s="209">
        <v>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227" t="s">
        <v>134</v>
      </c>
      <c r="D123" s="227" t="s">
        <v>465</v>
      </c>
      <c r="E123" s="228" t="s">
        <v>3740</v>
      </c>
      <c r="F123" s="229" t="s">
        <v>3741</v>
      </c>
      <c r="G123" s="230" t="s">
        <v>19</v>
      </c>
      <c r="H123" s="231">
        <v>1</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546</v>
      </c>
      <c r="AT123" s="192" t="s">
        <v>465</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3742</v>
      </c>
    </row>
    <row r="124" spans="1:65" s="2" customFormat="1" ht="39">
      <c r="A124" s="36"/>
      <c r="B124" s="37"/>
      <c r="C124" s="38"/>
      <c r="D124" s="196" t="s">
        <v>1226</v>
      </c>
      <c r="E124" s="38"/>
      <c r="F124" s="248" t="s">
        <v>3743</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14" customFormat="1" ht="11.25">
      <c r="B125" s="205"/>
      <c r="C125" s="206"/>
      <c r="D125" s="196" t="s">
        <v>388</v>
      </c>
      <c r="E125" s="207" t="s">
        <v>19</v>
      </c>
      <c r="F125" s="208" t="s">
        <v>79</v>
      </c>
      <c r="G125" s="206"/>
      <c r="H125" s="209">
        <v>1</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2" customFormat="1" ht="16.5" customHeight="1">
      <c r="A126" s="36"/>
      <c r="B126" s="37"/>
      <c r="C126" s="181" t="s">
        <v>8</v>
      </c>
      <c r="D126" s="181" t="s">
        <v>382</v>
      </c>
      <c r="E126" s="182" t="s">
        <v>3308</v>
      </c>
      <c r="F126" s="183" t="s">
        <v>3309</v>
      </c>
      <c r="G126" s="184" t="s">
        <v>641</v>
      </c>
      <c r="H126" s="185">
        <v>16</v>
      </c>
      <c r="I126" s="186"/>
      <c r="J126" s="187">
        <f>ROUND(I126*H126,2)</f>
        <v>0</v>
      </c>
      <c r="K126" s="183" t="s">
        <v>3239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3744</v>
      </c>
    </row>
    <row r="127" spans="1:65" s="2" customFormat="1" ht="16.5" customHeight="1">
      <c r="A127" s="36"/>
      <c r="B127" s="37"/>
      <c r="C127" s="227" t="s">
        <v>281</v>
      </c>
      <c r="D127" s="227" t="s">
        <v>465</v>
      </c>
      <c r="E127" s="228" t="s">
        <v>3311</v>
      </c>
      <c r="F127" s="229" t="s">
        <v>3312</v>
      </c>
      <c r="G127" s="230" t="s">
        <v>3278</v>
      </c>
      <c r="H127" s="231">
        <v>11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546</v>
      </c>
      <c r="AT127" s="192" t="s">
        <v>465</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3745</v>
      </c>
    </row>
    <row r="128" spans="1:65" s="2" customFormat="1" ht="48.75">
      <c r="A128" s="36"/>
      <c r="B128" s="37"/>
      <c r="C128" s="38"/>
      <c r="D128" s="196" t="s">
        <v>1226</v>
      </c>
      <c r="E128" s="38"/>
      <c r="F128" s="248" t="s">
        <v>3314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14" customFormat="1" ht="11.25">
      <c r="B129" s="205"/>
      <c r="C129" s="206"/>
      <c r="D129" s="196" t="s">
        <v>388</v>
      </c>
      <c r="E129" s="207" t="s">
        <v>19</v>
      </c>
      <c r="F129" s="208" t="s">
        <v>3746</v>
      </c>
      <c r="G129" s="206"/>
      <c r="H129" s="209">
        <v>11</v>
      </c>
      <c r="I129" s="210"/>
      <c r="J129" s="206"/>
      <c r="K129" s="206"/>
      <c r="L129" s="211"/>
      <c r="M129" s="212"/>
      <c r="N129" s="213"/>
      <c r="O129" s="213"/>
      <c r="P129" s="213"/>
      <c r="Q129" s="213"/>
      <c r="R129" s="213"/>
      <c r="S129" s="213"/>
      <c r="T129" s="214"/>
      <c r="AT129" s="215" t="s">
        <v>388</v>
      </c>
      <c r="AU129" s="215" t="s">
        <v>82</v>
      </c>
      <c r="AV129" s="14" t="s">
        <v>82</v>
      </c>
      <c r="AW129" s="14" t="s">
        <v>33</v>
      </c>
      <c r="AX129" s="14" t="s">
        <v>79</v>
      </c>
      <c r="AY129" s="215" t="s">
        <v>380</v>
      </c>
    </row>
    <row r="130" spans="1:65" s="2" customFormat="1" ht="16.5" customHeight="1">
      <c r="A130" s="36"/>
      <c r="B130" s="37"/>
      <c r="C130" s="227" t="s">
        <v>471</v>
      </c>
      <c r="D130" s="227" t="s">
        <v>465</v>
      </c>
      <c r="E130" s="228" t="s">
        <v>3747</v>
      </c>
      <c r="F130" s="229" t="s">
        <v>3748</v>
      </c>
      <c r="G130" s="230" t="s">
        <v>3278</v>
      </c>
      <c r="H130" s="231">
        <v>5</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546</v>
      </c>
      <c r="AT130" s="192" t="s">
        <v>465</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3749</v>
      </c>
    </row>
    <row r="131" spans="1:65" s="2" customFormat="1" ht="48.75">
      <c r="A131" s="36"/>
      <c r="B131" s="37"/>
      <c r="C131" s="38"/>
      <c r="D131" s="196" t="s">
        <v>1226</v>
      </c>
      <c r="E131" s="38"/>
      <c r="F131" s="248" t="s">
        <v>3750</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1226</v>
      </c>
      <c r="AU131" s="19" t="s">
        <v>82</v>
      </c>
    </row>
    <row r="132" spans="1:65" s="14" customFormat="1" ht="11.25">
      <c r="B132" s="205"/>
      <c r="C132" s="206"/>
      <c r="D132" s="196" t="s">
        <v>388</v>
      </c>
      <c r="E132" s="207" t="s">
        <v>19</v>
      </c>
      <c r="F132" s="208" t="s">
        <v>3751</v>
      </c>
      <c r="G132" s="206"/>
      <c r="H132" s="209">
        <v>5</v>
      </c>
      <c r="I132" s="210"/>
      <c r="J132" s="206"/>
      <c r="K132" s="206"/>
      <c r="L132" s="211"/>
      <c r="M132" s="212"/>
      <c r="N132" s="213"/>
      <c r="O132" s="213"/>
      <c r="P132" s="213"/>
      <c r="Q132" s="213"/>
      <c r="R132" s="213"/>
      <c r="S132" s="213"/>
      <c r="T132" s="214"/>
      <c r="AT132" s="215" t="s">
        <v>388</v>
      </c>
      <c r="AU132" s="215" t="s">
        <v>82</v>
      </c>
      <c r="AV132" s="14" t="s">
        <v>82</v>
      </c>
      <c r="AW132" s="14" t="s">
        <v>33</v>
      </c>
      <c r="AX132" s="14" t="s">
        <v>79</v>
      </c>
      <c r="AY132" s="215" t="s">
        <v>380</v>
      </c>
    </row>
    <row r="133" spans="1:65" s="2" customFormat="1" ht="21.75" customHeight="1">
      <c r="A133" s="36"/>
      <c r="B133" s="37"/>
      <c r="C133" s="181" t="s">
        <v>477</v>
      </c>
      <c r="D133" s="181" t="s">
        <v>382</v>
      </c>
      <c r="E133" s="182" t="s">
        <v>3330</v>
      </c>
      <c r="F133" s="183" t="s">
        <v>3331</v>
      </c>
      <c r="G133" s="184" t="s">
        <v>452</v>
      </c>
      <c r="H133" s="185">
        <v>869.05</v>
      </c>
      <c r="I133" s="186"/>
      <c r="J133" s="187">
        <f>ROUND(I133*H133,2)</f>
        <v>0</v>
      </c>
      <c r="K133" s="183" t="s">
        <v>3239</v>
      </c>
      <c r="L133" s="41"/>
      <c r="M133" s="188" t="s">
        <v>19</v>
      </c>
      <c r="N133" s="189" t="s">
        <v>43</v>
      </c>
      <c r="O133" s="66"/>
      <c r="P133" s="190">
        <f>O133*H133</f>
        <v>0</v>
      </c>
      <c r="Q133" s="190">
        <v>8.26E-3</v>
      </c>
      <c r="R133" s="190">
        <f>Q133*H133</f>
        <v>7.1783529999999995</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3752</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3" customFormat="1" ht="11.25">
      <c r="B135" s="194"/>
      <c r="C135" s="195"/>
      <c r="D135" s="196" t="s">
        <v>388</v>
      </c>
      <c r="E135" s="197" t="s">
        <v>19</v>
      </c>
      <c r="F135" s="198" t="s">
        <v>3753</v>
      </c>
      <c r="G135" s="195"/>
      <c r="H135" s="197" t="s">
        <v>19</v>
      </c>
      <c r="I135" s="199"/>
      <c r="J135" s="195"/>
      <c r="K135" s="195"/>
      <c r="L135" s="200"/>
      <c r="M135" s="201"/>
      <c r="N135" s="202"/>
      <c r="O135" s="202"/>
      <c r="P135" s="202"/>
      <c r="Q135" s="202"/>
      <c r="R135" s="202"/>
      <c r="S135" s="202"/>
      <c r="T135" s="203"/>
      <c r="AT135" s="204" t="s">
        <v>388</v>
      </c>
      <c r="AU135" s="204" t="s">
        <v>82</v>
      </c>
      <c r="AV135" s="13" t="s">
        <v>79</v>
      </c>
      <c r="AW135" s="13" t="s">
        <v>33</v>
      </c>
      <c r="AX135" s="13" t="s">
        <v>72</v>
      </c>
      <c r="AY135" s="204" t="s">
        <v>380</v>
      </c>
    </row>
    <row r="136" spans="1:65" s="14" customFormat="1" ht="11.25">
      <c r="B136" s="205"/>
      <c r="C136" s="206"/>
      <c r="D136" s="196" t="s">
        <v>388</v>
      </c>
      <c r="E136" s="207" t="s">
        <v>19</v>
      </c>
      <c r="F136" s="208" t="s">
        <v>3754</v>
      </c>
      <c r="G136" s="206"/>
      <c r="H136" s="209">
        <v>41.6</v>
      </c>
      <c r="I136" s="210"/>
      <c r="J136" s="206"/>
      <c r="K136" s="206"/>
      <c r="L136" s="211"/>
      <c r="M136" s="212"/>
      <c r="N136" s="213"/>
      <c r="O136" s="213"/>
      <c r="P136" s="213"/>
      <c r="Q136" s="213"/>
      <c r="R136" s="213"/>
      <c r="S136" s="213"/>
      <c r="T136" s="214"/>
      <c r="AT136" s="215" t="s">
        <v>388</v>
      </c>
      <c r="AU136" s="215" t="s">
        <v>82</v>
      </c>
      <c r="AV136" s="14" t="s">
        <v>82</v>
      </c>
      <c r="AW136" s="14" t="s">
        <v>33</v>
      </c>
      <c r="AX136" s="14" t="s">
        <v>72</v>
      </c>
      <c r="AY136" s="215" t="s">
        <v>380</v>
      </c>
    </row>
    <row r="137" spans="1:65" s="13" customFormat="1" ht="11.25">
      <c r="B137" s="194"/>
      <c r="C137" s="195"/>
      <c r="D137" s="196" t="s">
        <v>388</v>
      </c>
      <c r="E137" s="197" t="s">
        <v>19</v>
      </c>
      <c r="F137" s="198" t="s">
        <v>3335</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3755</v>
      </c>
      <c r="G138" s="206"/>
      <c r="H138" s="209">
        <v>781.3</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3" customFormat="1" ht="11.25">
      <c r="B139" s="194"/>
      <c r="C139" s="195"/>
      <c r="D139" s="196" t="s">
        <v>388</v>
      </c>
      <c r="E139" s="197" t="s">
        <v>19</v>
      </c>
      <c r="F139" s="198" t="s">
        <v>3756</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3757</v>
      </c>
      <c r="G140" s="206"/>
      <c r="H140" s="209">
        <v>24.05</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3" customFormat="1" ht="11.25">
      <c r="B141" s="194"/>
      <c r="C141" s="195"/>
      <c r="D141" s="196" t="s">
        <v>388</v>
      </c>
      <c r="E141" s="197" t="s">
        <v>19</v>
      </c>
      <c r="F141" s="198" t="s">
        <v>3758</v>
      </c>
      <c r="G141" s="195"/>
      <c r="H141" s="197" t="s">
        <v>19</v>
      </c>
      <c r="I141" s="199"/>
      <c r="J141" s="195"/>
      <c r="K141" s="195"/>
      <c r="L141" s="200"/>
      <c r="M141" s="201"/>
      <c r="N141" s="202"/>
      <c r="O141" s="202"/>
      <c r="P141" s="202"/>
      <c r="Q141" s="202"/>
      <c r="R141" s="202"/>
      <c r="S141" s="202"/>
      <c r="T141" s="203"/>
      <c r="AT141" s="204" t="s">
        <v>388</v>
      </c>
      <c r="AU141" s="204" t="s">
        <v>82</v>
      </c>
      <c r="AV141" s="13" t="s">
        <v>79</v>
      </c>
      <c r="AW141" s="13" t="s">
        <v>33</v>
      </c>
      <c r="AX141" s="13" t="s">
        <v>72</v>
      </c>
      <c r="AY141" s="204" t="s">
        <v>380</v>
      </c>
    </row>
    <row r="142" spans="1:65" s="14" customFormat="1" ht="11.25">
      <c r="B142" s="205"/>
      <c r="C142" s="206"/>
      <c r="D142" s="196" t="s">
        <v>388</v>
      </c>
      <c r="E142" s="207" t="s">
        <v>19</v>
      </c>
      <c r="F142" s="208" t="s">
        <v>3759</v>
      </c>
      <c r="G142" s="206"/>
      <c r="H142" s="209">
        <v>16.899999999999999</v>
      </c>
      <c r="I142" s="210"/>
      <c r="J142" s="206"/>
      <c r="K142" s="206"/>
      <c r="L142" s="211"/>
      <c r="M142" s="212"/>
      <c r="N142" s="213"/>
      <c r="O142" s="213"/>
      <c r="P142" s="213"/>
      <c r="Q142" s="213"/>
      <c r="R142" s="213"/>
      <c r="S142" s="213"/>
      <c r="T142" s="214"/>
      <c r="AT142" s="215" t="s">
        <v>388</v>
      </c>
      <c r="AU142" s="215" t="s">
        <v>82</v>
      </c>
      <c r="AV142" s="14" t="s">
        <v>82</v>
      </c>
      <c r="AW142" s="14" t="s">
        <v>33</v>
      </c>
      <c r="AX142" s="14" t="s">
        <v>72</v>
      </c>
      <c r="AY142" s="215" t="s">
        <v>380</v>
      </c>
    </row>
    <row r="143" spans="1:65" s="13" customFormat="1" ht="11.25">
      <c r="B143" s="194"/>
      <c r="C143" s="195"/>
      <c r="D143" s="196" t="s">
        <v>388</v>
      </c>
      <c r="E143" s="197" t="s">
        <v>19</v>
      </c>
      <c r="F143" s="198" t="s">
        <v>3337</v>
      </c>
      <c r="G143" s="195"/>
      <c r="H143" s="197" t="s">
        <v>19</v>
      </c>
      <c r="I143" s="199"/>
      <c r="J143" s="195"/>
      <c r="K143" s="195"/>
      <c r="L143" s="200"/>
      <c r="M143" s="201"/>
      <c r="N143" s="202"/>
      <c r="O143" s="202"/>
      <c r="P143" s="202"/>
      <c r="Q143" s="202"/>
      <c r="R143" s="202"/>
      <c r="S143" s="202"/>
      <c r="T143" s="203"/>
      <c r="AT143" s="204" t="s">
        <v>388</v>
      </c>
      <c r="AU143" s="204" t="s">
        <v>82</v>
      </c>
      <c r="AV143" s="13" t="s">
        <v>79</v>
      </c>
      <c r="AW143" s="13" t="s">
        <v>33</v>
      </c>
      <c r="AX143" s="13" t="s">
        <v>72</v>
      </c>
      <c r="AY143" s="204" t="s">
        <v>380</v>
      </c>
    </row>
    <row r="144" spans="1:65" s="14" customFormat="1" ht="11.25">
      <c r="B144" s="205"/>
      <c r="C144" s="206"/>
      <c r="D144" s="196" t="s">
        <v>388</v>
      </c>
      <c r="E144" s="207" t="s">
        <v>19</v>
      </c>
      <c r="F144" s="208" t="s">
        <v>3760</v>
      </c>
      <c r="G144" s="206"/>
      <c r="H144" s="209">
        <v>5.2</v>
      </c>
      <c r="I144" s="210"/>
      <c r="J144" s="206"/>
      <c r="K144" s="206"/>
      <c r="L144" s="211"/>
      <c r="M144" s="212"/>
      <c r="N144" s="213"/>
      <c r="O144" s="213"/>
      <c r="P144" s="213"/>
      <c r="Q144" s="213"/>
      <c r="R144" s="213"/>
      <c r="S144" s="213"/>
      <c r="T144" s="214"/>
      <c r="AT144" s="215" t="s">
        <v>388</v>
      </c>
      <c r="AU144" s="215" t="s">
        <v>82</v>
      </c>
      <c r="AV144" s="14" t="s">
        <v>82</v>
      </c>
      <c r="AW144" s="14" t="s">
        <v>33</v>
      </c>
      <c r="AX144" s="14" t="s">
        <v>72</v>
      </c>
      <c r="AY144" s="215" t="s">
        <v>380</v>
      </c>
    </row>
    <row r="145" spans="1:65" s="15" customFormat="1" ht="11.25">
      <c r="B145" s="216"/>
      <c r="C145" s="217"/>
      <c r="D145" s="196" t="s">
        <v>388</v>
      </c>
      <c r="E145" s="218" t="s">
        <v>19</v>
      </c>
      <c r="F145" s="219" t="s">
        <v>419</v>
      </c>
      <c r="G145" s="217"/>
      <c r="H145" s="220">
        <v>869.05</v>
      </c>
      <c r="I145" s="221"/>
      <c r="J145" s="217"/>
      <c r="K145" s="217"/>
      <c r="L145" s="222"/>
      <c r="M145" s="223"/>
      <c r="N145" s="224"/>
      <c r="O145" s="224"/>
      <c r="P145" s="224"/>
      <c r="Q145" s="224"/>
      <c r="R145" s="224"/>
      <c r="S145" s="224"/>
      <c r="T145" s="225"/>
      <c r="AT145" s="226" t="s">
        <v>388</v>
      </c>
      <c r="AU145" s="226" t="s">
        <v>82</v>
      </c>
      <c r="AV145" s="15" t="s">
        <v>386</v>
      </c>
      <c r="AW145" s="15" t="s">
        <v>33</v>
      </c>
      <c r="AX145" s="15" t="s">
        <v>79</v>
      </c>
      <c r="AY145" s="226" t="s">
        <v>380</v>
      </c>
    </row>
    <row r="146" spans="1:65" s="2" customFormat="1" ht="21.75" customHeight="1">
      <c r="A146" s="36"/>
      <c r="B146" s="37"/>
      <c r="C146" s="181" t="s">
        <v>284</v>
      </c>
      <c r="D146" s="181" t="s">
        <v>382</v>
      </c>
      <c r="E146" s="182" t="s">
        <v>3339</v>
      </c>
      <c r="F146" s="183" t="s">
        <v>3340</v>
      </c>
      <c r="G146" s="184" t="s">
        <v>452</v>
      </c>
      <c r="H146" s="185">
        <v>14.3</v>
      </c>
      <c r="I146" s="186"/>
      <c r="J146" s="187">
        <f>ROUND(I146*H146,2)</f>
        <v>0</v>
      </c>
      <c r="K146" s="183" t="s">
        <v>3239</v>
      </c>
      <c r="L146" s="41"/>
      <c r="M146" s="188" t="s">
        <v>19</v>
      </c>
      <c r="N146" s="189" t="s">
        <v>43</v>
      </c>
      <c r="O146" s="66"/>
      <c r="P146" s="190">
        <f>O146*H146</f>
        <v>0</v>
      </c>
      <c r="Q146" s="190">
        <v>1.3010000000000001E-2</v>
      </c>
      <c r="R146" s="190">
        <f>Q146*H146</f>
        <v>0.18604300000000001</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3761</v>
      </c>
    </row>
    <row r="147" spans="1:65" s="2" customFormat="1" ht="29.25">
      <c r="A147" s="36"/>
      <c r="B147" s="37"/>
      <c r="C147" s="38"/>
      <c r="D147" s="196" t="s">
        <v>1226</v>
      </c>
      <c r="E147" s="38"/>
      <c r="F147" s="248" t="s">
        <v>3318</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1226</v>
      </c>
      <c r="AU147" s="19" t="s">
        <v>82</v>
      </c>
    </row>
    <row r="148" spans="1:65" s="13" customFormat="1" ht="11.25">
      <c r="B148" s="194"/>
      <c r="C148" s="195"/>
      <c r="D148" s="196" t="s">
        <v>388</v>
      </c>
      <c r="E148" s="197" t="s">
        <v>19</v>
      </c>
      <c r="F148" s="198" t="s">
        <v>3342</v>
      </c>
      <c r="G148" s="195"/>
      <c r="H148" s="197" t="s">
        <v>19</v>
      </c>
      <c r="I148" s="199"/>
      <c r="J148" s="195"/>
      <c r="K148" s="195"/>
      <c r="L148" s="200"/>
      <c r="M148" s="201"/>
      <c r="N148" s="202"/>
      <c r="O148" s="202"/>
      <c r="P148" s="202"/>
      <c r="Q148" s="202"/>
      <c r="R148" s="202"/>
      <c r="S148" s="202"/>
      <c r="T148" s="203"/>
      <c r="AT148" s="204" t="s">
        <v>388</v>
      </c>
      <c r="AU148" s="204" t="s">
        <v>82</v>
      </c>
      <c r="AV148" s="13" t="s">
        <v>79</v>
      </c>
      <c r="AW148" s="13" t="s">
        <v>33</v>
      </c>
      <c r="AX148" s="13" t="s">
        <v>72</v>
      </c>
      <c r="AY148" s="204" t="s">
        <v>380</v>
      </c>
    </row>
    <row r="149" spans="1:65" s="14" customFormat="1" ht="11.25">
      <c r="B149" s="205"/>
      <c r="C149" s="206"/>
      <c r="D149" s="196" t="s">
        <v>388</v>
      </c>
      <c r="E149" s="207" t="s">
        <v>19</v>
      </c>
      <c r="F149" s="208" t="s">
        <v>3762</v>
      </c>
      <c r="G149" s="206"/>
      <c r="H149" s="209">
        <v>14.3</v>
      </c>
      <c r="I149" s="210"/>
      <c r="J149" s="206"/>
      <c r="K149" s="206"/>
      <c r="L149" s="211"/>
      <c r="M149" s="212"/>
      <c r="N149" s="213"/>
      <c r="O149" s="213"/>
      <c r="P149" s="213"/>
      <c r="Q149" s="213"/>
      <c r="R149" s="213"/>
      <c r="S149" s="213"/>
      <c r="T149" s="214"/>
      <c r="AT149" s="215" t="s">
        <v>388</v>
      </c>
      <c r="AU149" s="215" t="s">
        <v>82</v>
      </c>
      <c r="AV149" s="14" t="s">
        <v>82</v>
      </c>
      <c r="AW149" s="14" t="s">
        <v>33</v>
      </c>
      <c r="AX149" s="14" t="s">
        <v>72</v>
      </c>
      <c r="AY149" s="215" t="s">
        <v>380</v>
      </c>
    </row>
    <row r="150" spans="1:65" s="15" customFormat="1" ht="11.25">
      <c r="B150" s="216"/>
      <c r="C150" s="217"/>
      <c r="D150" s="196" t="s">
        <v>388</v>
      </c>
      <c r="E150" s="218" t="s">
        <v>19</v>
      </c>
      <c r="F150" s="219" t="s">
        <v>419</v>
      </c>
      <c r="G150" s="217"/>
      <c r="H150" s="220">
        <v>14.3</v>
      </c>
      <c r="I150" s="221"/>
      <c r="J150" s="217"/>
      <c r="K150" s="217"/>
      <c r="L150" s="222"/>
      <c r="M150" s="223"/>
      <c r="N150" s="224"/>
      <c r="O150" s="224"/>
      <c r="P150" s="224"/>
      <c r="Q150" s="224"/>
      <c r="R150" s="224"/>
      <c r="S150" s="224"/>
      <c r="T150" s="225"/>
      <c r="AT150" s="226" t="s">
        <v>388</v>
      </c>
      <c r="AU150" s="226" t="s">
        <v>82</v>
      </c>
      <c r="AV150" s="15" t="s">
        <v>386</v>
      </c>
      <c r="AW150" s="15" t="s">
        <v>33</v>
      </c>
      <c r="AX150" s="15" t="s">
        <v>79</v>
      </c>
      <c r="AY150" s="226" t="s">
        <v>380</v>
      </c>
    </row>
    <row r="151" spans="1:65" s="2" customFormat="1" ht="24.2" customHeight="1">
      <c r="A151" s="36"/>
      <c r="B151" s="37"/>
      <c r="C151" s="181" t="s">
        <v>486</v>
      </c>
      <c r="D151" s="181" t="s">
        <v>382</v>
      </c>
      <c r="E151" s="182" t="s">
        <v>3353</v>
      </c>
      <c r="F151" s="183" t="s">
        <v>3354</v>
      </c>
      <c r="G151" s="184" t="s">
        <v>452</v>
      </c>
      <c r="H151" s="185">
        <v>62.4</v>
      </c>
      <c r="I151" s="186"/>
      <c r="J151" s="187">
        <f>ROUND(I151*H151,2)</f>
        <v>0</v>
      </c>
      <c r="K151" s="183" t="s">
        <v>3239</v>
      </c>
      <c r="L151" s="41"/>
      <c r="M151" s="188" t="s">
        <v>19</v>
      </c>
      <c r="N151" s="189" t="s">
        <v>43</v>
      </c>
      <c r="O151" s="66"/>
      <c r="P151" s="190">
        <f>O151*H151</f>
        <v>0</v>
      </c>
      <c r="Q151" s="190">
        <v>6.5300000000000002E-3</v>
      </c>
      <c r="R151" s="190">
        <f>Q151*H151</f>
        <v>0.407472</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3763</v>
      </c>
    </row>
    <row r="152" spans="1:65" s="2" customFormat="1" ht="29.25">
      <c r="A152" s="36"/>
      <c r="B152" s="37"/>
      <c r="C152" s="38"/>
      <c r="D152" s="196" t="s">
        <v>1226</v>
      </c>
      <c r="E152" s="38"/>
      <c r="F152" s="248" t="s">
        <v>3318</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1226</v>
      </c>
      <c r="AU152" s="19" t="s">
        <v>82</v>
      </c>
    </row>
    <row r="153" spans="1:65" s="13" customFormat="1" ht="11.25">
      <c r="B153" s="194"/>
      <c r="C153" s="195"/>
      <c r="D153" s="196" t="s">
        <v>388</v>
      </c>
      <c r="E153" s="197" t="s">
        <v>19</v>
      </c>
      <c r="F153" s="198" t="s">
        <v>3496</v>
      </c>
      <c r="G153" s="195"/>
      <c r="H153" s="197" t="s">
        <v>19</v>
      </c>
      <c r="I153" s="199"/>
      <c r="J153" s="195"/>
      <c r="K153" s="195"/>
      <c r="L153" s="200"/>
      <c r="M153" s="201"/>
      <c r="N153" s="202"/>
      <c r="O153" s="202"/>
      <c r="P153" s="202"/>
      <c r="Q153" s="202"/>
      <c r="R153" s="202"/>
      <c r="S153" s="202"/>
      <c r="T153" s="203"/>
      <c r="AT153" s="204" t="s">
        <v>388</v>
      </c>
      <c r="AU153" s="204" t="s">
        <v>82</v>
      </c>
      <c r="AV153" s="13" t="s">
        <v>79</v>
      </c>
      <c r="AW153" s="13" t="s">
        <v>33</v>
      </c>
      <c r="AX153" s="13" t="s">
        <v>72</v>
      </c>
      <c r="AY153" s="204" t="s">
        <v>380</v>
      </c>
    </row>
    <row r="154" spans="1:65" s="14" customFormat="1" ht="11.25">
      <c r="B154" s="205"/>
      <c r="C154" s="206"/>
      <c r="D154" s="196" t="s">
        <v>388</v>
      </c>
      <c r="E154" s="207" t="s">
        <v>19</v>
      </c>
      <c r="F154" s="208" t="s">
        <v>3764</v>
      </c>
      <c r="G154" s="206"/>
      <c r="H154" s="209">
        <v>32.5</v>
      </c>
      <c r="I154" s="210"/>
      <c r="J154" s="206"/>
      <c r="K154" s="206"/>
      <c r="L154" s="211"/>
      <c r="M154" s="212"/>
      <c r="N154" s="213"/>
      <c r="O154" s="213"/>
      <c r="P154" s="213"/>
      <c r="Q154" s="213"/>
      <c r="R154" s="213"/>
      <c r="S154" s="213"/>
      <c r="T154" s="214"/>
      <c r="AT154" s="215" t="s">
        <v>388</v>
      </c>
      <c r="AU154" s="215" t="s">
        <v>82</v>
      </c>
      <c r="AV154" s="14" t="s">
        <v>82</v>
      </c>
      <c r="AW154" s="14" t="s">
        <v>33</v>
      </c>
      <c r="AX154" s="14" t="s">
        <v>72</v>
      </c>
      <c r="AY154" s="215" t="s">
        <v>380</v>
      </c>
    </row>
    <row r="155" spans="1:65" s="13" customFormat="1" ht="11.25">
      <c r="B155" s="194"/>
      <c r="C155" s="195"/>
      <c r="D155" s="196" t="s">
        <v>388</v>
      </c>
      <c r="E155" s="197" t="s">
        <v>19</v>
      </c>
      <c r="F155" s="198" t="s">
        <v>3356</v>
      </c>
      <c r="G155" s="195"/>
      <c r="H155" s="197" t="s">
        <v>19</v>
      </c>
      <c r="I155" s="199"/>
      <c r="J155" s="195"/>
      <c r="K155" s="195"/>
      <c r="L155" s="200"/>
      <c r="M155" s="201"/>
      <c r="N155" s="202"/>
      <c r="O155" s="202"/>
      <c r="P155" s="202"/>
      <c r="Q155" s="202"/>
      <c r="R155" s="202"/>
      <c r="S155" s="202"/>
      <c r="T155" s="203"/>
      <c r="AT155" s="204" t="s">
        <v>388</v>
      </c>
      <c r="AU155" s="204" t="s">
        <v>82</v>
      </c>
      <c r="AV155" s="13" t="s">
        <v>79</v>
      </c>
      <c r="AW155" s="13" t="s">
        <v>33</v>
      </c>
      <c r="AX155" s="13" t="s">
        <v>72</v>
      </c>
      <c r="AY155" s="204" t="s">
        <v>380</v>
      </c>
    </row>
    <row r="156" spans="1:65" s="14" customFormat="1" ht="11.25">
      <c r="B156" s="205"/>
      <c r="C156" s="206"/>
      <c r="D156" s="196" t="s">
        <v>388</v>
      </c>
      <c r="E156" s="207" t="s">
        <v>19</v>
      </c>
      <c r="F156" s="208" t="s">
        <v>3765</v>
      </c>
      <c r="G156" s="206"/>
      <c r="H156" s="209">
        <v>29.9</v>
      </c>
      <c r="I156" s="210"/>
      <c r="J156" s="206"/>
      <c r="K156" s="206"/>
      <c r="L156" s="211"/>
      <c r="M156" s="212"/>
      <c r="N156" s="213"/>
      <c r="O156" s="213"/>
      <c r="P156" s="213"/>
      <c r="Q156" s="213"/>
      <c r="R156" s="213"/>
      <c r="S156" s="213"/>
      <c r="T156" s="214"/>
      <c r="AT156" s="215" t="s">
        <v>388</v>
      </c>
      <c r="AU156" s="215" t="s">
        <v>82</v>
      </c>
      <c r="AV156" s="14" t="s">
        <v>82</v>
      </c>
      <c r="AW156" s="14" t="s">
        <v>33</v>
      </c>
      <c r="AX156" s="14" t="s">
        <v>72</v>
      </c>
      <c r="AY156" s="215" t="s">
        <v>380</v>
      </c>
    </row>
    <row r="157" spans="1:65" s="15" customFormat="1" ht="11.25">
      <c r="B157" s="216"/>
      <c r="C157" s="217"/>
      <c r="D157" s="196" t="s">
        <v>388</v>
      </c>
      <c r="E157" s="218" t="s">
        <v>19</v>
      </c>
      <c r="F157" s="219" t="s">
        <v>419</v>
      </c>
      <c r="G157" s="217"/>
      <c r="H157" s="220">
        <v>62.4</v>
      </c>
      <c r="I157" s="221"/>
      <c r="J157" s="217"/>
      <c r="K157" s="217"/>
      <c r="L157" s="222"/>
      <c r="M157" s="223"/>
      <c r="N157" s="224"/>
      <c r="O157" s="224"/>
      <c r="P157" s="224"/>
      <c r="Q157" s="224"/>
      <c r="R157" s="224"/>
      <c r="S157" s="224"/>
      <c r="T157" s="225"/>
      <c r="AT157" s="226" t="s">
        <v>388</v>
      </c>
      <c r="AU157" s="226" t="s">
        <v>82</v>
      </c>
      <c r="AV157" s="15" t="s">
        <v>386</v>
      </c>
      <c r="AW157" s="15" t="s">
        <v>33</v>
      </c>
      <c r="AX157" s="15" t="s">
        <v>79</v>
      </c>
      <c r="AY157" s="226" t="s">
        <v>380</v>
      </c>
    </row>
    <row r="158" spans="1:65" s="2" customFormat="1" ht="24.2" customHeight="1">
      <c r="A158" s="36"/>
      <c r="B158" s="37"/>
      <c r="C158" s="181" t="s">
        <v>7</v>
      </c>
      <c r="D158" s="181" t="s">
        <v>382</v>
      </c>
      <c r="E158" s="182" t="s">
        <v>3766</v>
      </c>
      <c r="F158" s="183" t="s">
        <v>3767</v>
      </c>
      <c r="G158" s="184" t="s">
        <v>641</v>
      </c>
      <c r="H158" s="185">
        <v>16</v>
      </c>
      <c r="I158" s="186"/>
      <c r="J158" s="187">
        <f>ROUND(I158*H158,2)</f>
        <v>0</v>
      </c>
      <c r="K158" s="183" t="s">
        <v>3239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281</v>
      </c>
      <c r="AT158" s="192" t="s">
        <v>382</v>
      </c>
      <c r="AU158" s="192" t="s">
        <v>82</v>
      </c>
      <c r="AY158" s="19" t="s">
        <v>380</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281</v>
      </c>
      <c r="BM158" s="192" t="s">
        <v>3768</v>
      </c>
    </row>
    <row r="159" spans="1:65" s="2" customFormat="1" ht="16.5" customHeight="1">
      <c r="A159" s="36"/>
      <c r="B159" s="37"/>
      <c r="C159" s="227" t="s">
        <v>495</v>
      </c>
      <c r="D159" s="227" t="s">
        <v>465</v>
      </c>
      <c r="E159" s="228" t="s">
        <v>3769</v>
      </c>
      <c r="F159" s="229" t="s">
        <v>3770</v>
      </c>
      <c r="G159" s="230" t="s">
        <v>3278</v>
      </c>
      <c r="H159" s="231">
        <v>16</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546</v>
      </c>
      <c r="AT159" s="192" t="s">
        <v>465</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3771</v>
      </c>
    </row>
    <row r="160" spans="1:65" s="2" customFormat="1" ht="19.5">
      <c r="A160" s="36"/>
      <c r="B160" s="37"/>
      <c r="C160" s="38"/>
      <c r="D160" s="196" t="s">
        <v>1226</v>
      </c>
      <c r="E160" s="38"/>
      <c r="F160" s="248" t="s">
        <v>3772</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82</v>
      </c>
    </row>
    <row r="161" spans="1:65" s="2" customFormat="1" ht="24.2" customHeight="1">
      <c r="A161" s="36"/>
      <c r="B161" s="37"/>
      <c r="C161" s="181" t="s">
        <v>500</v>
      </c>
      <c r="D161" s="181" t="s">
        <v>382</v>
      </c>
      <c r="E161" s="182" t="s">
        <v>3358</v>
      </c>
      <c r="F161" s="183" t="s">
        <v>3359</v>
      </c>
      <c r="G161" s="184" t="s">
        <v>641</v>
      </c>
      <c r="H161" s="185">
        <v>8</v>
      </c>
      <c r="I161" s="186"/>
      <c r="J161" s="187">
        <f>ROUND(I161*H161,2)</f>
        <v>0</v>
      </c>
      <c r="K161" s="183" t="s">
        <v>3239</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281</v>
      </c>
      <c r="AT161" s="192" t="s">
        <v>382</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3773</v>
      </c>
    </row>
    <row r="162" spans="1:65" s="2" customFormat="1" ht="16.5" customHeight="1">
      <c r="A162" s="36"/>
      <c r="B162" s="37"/>
      <c r="C162" s="227" t="s">
        <v>505</v>
      </c>
      <c r="D162" s="227" t="s">
        <v>465</v>
      </c>
      <c r="E162" s="228" t="s">
        <v>3361</v>
      </c>
      <c r="F162" s="229" t="s">
        <v>3774</v>
      </c>
      <c r="G162" s="230" t="s">
        <v>3278</v>
      </c>
      <c r="H162" s="231">
        <v>4</v>
      </c>
      <c r="I162" s="232"/>
      <c r="J162" s="233">
        <f>ROUND(I162*H162,2)</f>
        <v>0</v>
      </c>
      <c r="K162" s="229" t="s">
        <v>19</v>
      </c>
      <c r="L162" s="234"/>
      <c r="M162" s="235" t="s">
        <v>19</v>
      </c>
      <c r="N162" s="236"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546</v>
      </c>
      <c r="AT162" s="192" t="s">
        <v>465</v>
      </c>
      <c r="AU162" s="192" t="s">
        <v>82</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281</v>
      </c>
      <c r="BM162" s="192" t="s">
        <v>3775</v>
      </c>
    </row>
    <row r="163" spans="1:65" s="2" customFormat="1" ht="19.5">
      <c r="A163" s="36"/>
      <c r="B163" s="37"/>
      <c r="C163" s="38"/>
      <c r="D163" s="196" t="s">
        <v>1226</v>
      </c>
      <c r="E163" s="38"/>
      <c r="F163" s="248" t="s">
        <v>3776</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1226</v>
      </c>
      <c r="AU163" s="19" t="s">
        <v>82</v>
      </c>
    </row>
    <row r="164" spans="1:65" s="2" customFormat="1" ht="16.5" customHeight="1">
      <c r="A164" s="36"/>
      <c r="B164" s="37"/>
      <c r="C164" s="227" t="s">
        <v>509</v>
      </c>
      <c r="D164" s="227" t="s">
        <v>465</v>
      </c>
      <c r="E164" s="228" t="s">
        <v>3777</v>
      </c>
      <c r="F164" s="229" t="s">
        <v>3778</v>
      </c>
      <c r="G164" s="230" t="s">
        <v>3278</v>
      </c>
      <c r="H164" s="231">
        <v>3</v>
      </c>
      <c r="I164" s="232"/>
      <c r="J164" s="233">
        <f>ROUND(I164*H164,2)</f>
        <v>0</v>
      </c>
      <c r="K164" s="229" t="s">
        <v>19</v>
      </c>
      <c r="L164" s="234"/>
      <c r="M164" s="235" t="s">
        <v>19</v>
      </c>
      <c r="N164" s="236" t="s">
        <v>43</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546</v>
      </c>
      <c r="AT164" s="192" t="s">
        <v>465</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3779</v>
      </c>
    </row>
    <row r="165" spans="1:65" s="2" customFormat="1" ht="19.5">
      <c r="A165" s="36"/>
      <c r="B165" s="37"/>
      <c r="C165" s="38"/>
      <c r="D165" s="196" t="s">
        <v>1226</v>
      </c>
      <c r="E165" s="38"/>
      <c r="F165" s="248" t="s">
        <v>3780</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1226</v>
      </c>
      <c r="AU165" s="19" t="s">
        <v>82</v>
      </c>
    </row>
    <row r="166" spans="1:65" s="2" customFormat="1" ht="16.5" customHeight="1">
      <c r="A166" s="36"/>
      <c r="B166" s="37"/>
      <c r="C166" s="227" t="s">
        <v>514</v>
      </c>
      <c r="D166" s="227" t="s">
        <v>465</v>
      </c>
      <c r="E166" s="228" t="s">
        <v>3781</v>
      </c>
      <c r="F166" s="229" t="s">
        <v>3362</v>
      </c>
      <c r="G166" s="230" t="s">
        <v>3278</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546</v>
      </c>
      <c r="AT166" s="192" t="s">
        <v>465</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3782</v>
      </c>
    </row>
    <row r="167" spans="1:65" s="2" customFormat="1" ht="19.5">
      <c r="A167" s="36"/>
      <c r="B167" s="37"/>
      <c r="C167" s="38"/>
      <c r="D167" s="196" t="s">
        <v>1226</v>
      </c>
      <c r="E167" s="38"/>
      <c r="F167" s="248" t="s">
        <v>3364</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1226</v>
      </c>
      <c r="AU167" s="19" t="s">
        <v>82</v>
      </c>
    </row>
    <row r="168" spans="1:65" s="2" customFormat="1" ht="24.2" customHeight="1">
      <c r="A168" s="36"/>
      <c r="B168" s="37"/>
      <c r="C168" s="181" t="s">
        <v>520</v>
      </c>
      <c r="D168" s="181" t="s">
        <v>382</v>
      </c>
      <c r="E168" s="182" t="s">
        <v>3365</v>
      </c>
      <c r="F168" s="183" t="s">
        <v>3366</v>
      </c>
      <c r="G168" s="184" t="s">
        <v>641</v>
      </c>
      <c r="H168" s="185">
        <v>7</v>
      </c>
      <c r="I168" s="186"/>
      <c r="J168" s="187">
        <f>ROUND(I168*H168,2)</f>
        <v>0</v>
      </c>
      <c r="K168" s="183" t="s">
        <v>3239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281</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3783</v>
      </c>
    </row>
    <row r="169" spans="1:65" s="2" customFormat="1" ht="16.5" customHeight="1">
      <c r="A169" s="36"/>
      <c r="B169" s="37"/>
      <c r="C169" s="227" t="s">
        <v>525</v>
      </c>
      <c r="D169" s="227" t="s">
        <v>465</v>
      </c>
      <c r="E169" s="228" t="s">
        <v>3368</v>
      </c>
      <c r="F169" s="229" t="s">
        <v>3369</v>
      </c>
      <c r="G169" s="230" t="s">
        <v>3278</v>
      </c>
      <c r="H169" s="231">
        <v>3</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546</v>
      </c>
      <c r="AT169" s="192" t="s">
        <v>465</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3784</v>
      </c>
    </row>
    <row r="170" spans="1:65" s="2" customFormat="1" ht="19.5">
      <c r="A170" s="36"/>
      <c r="B170" s="37"/>
      <c r="C170" s="38"/>
      <c r="D170" s="196" t="s">
        <v>1226</v>
      </c>
      <c r="E170" s="38"/>
      <c r="F170" s="248" t="s">
        <v>3371</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82</v>
      </c>
    </row>
    <row r="171" spans="1:65" s="2" customFormat="1" ht="16.5" customHeight="1">
      <c r="A171" s="36"/>
      <c r="B171" s="37"/>
      <c r="C171" s="227" t="s">
        <v>529</v>
      </c>
      <c r="D171" s="227" t="s">
        <v>465</v>
      </c>
      <c r="E171" s="228" t="s">
        <v>3785</v>
      </c>
      <c r="F171" s="229" t="s">
        <v>3786</v>
      </c>
      <c r="G171" s="230" t="s">
        <v>3278</v>
      </c>
      <c r="H171" s="231">
        <v>4</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546</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3787</v>
      </c>
    </row>
    <row r="172" spans="1:65" s="2" customFormat="1" ht="19.5">
      <c r="A172" s="36"/>
      <c r="B172" s="37"/>
      <c r="C172" s="38"/>
      <c r="D172" s="196" t="s">
        <v>1226</v>
      </c>
      <c r="E172" s="38"/>
      <c r="F172" s="248" t="s">
        <v>3788</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82</v>
      </c>
    </row>
    <row r="173" spans="1:65" s="2" customFormat="1" ht="24.2" customHeight="1">
      <c r="A173" s="36"/>
      <c r="B173" s="37"/>
      <c r="C173" s="181" t="s">
        <v>534</v>
      </c>
      <c r="D173" s="181" t="s">
        <v>382</v>
      </c>
      <c r="E173" s="182" t="s">
        <v>3387</v>
      </c>
      <c r="F173" s="183" t="s">
        <v>3388</v>
      </c>
      <c r="G173" s="184" t="s">
        <v>452</v>
      </c>
      <c r="H173" s="185">
        <v>870</v>
      </c>
      <c r="I173" s="186"/>
      <c r="J173" s="187">
        <f>ROUND(I173*H173,2)</f>
        <v>0</v>
      </c>
      <c r="K173" s="183" t="s">
        <v>3239</v>
      </c>
      <c r="L173" s="41"/>
      <c r="M173" s="188" t="s">
        <v>19</v>
      </c>
      <c r="N173" s="189" t="s">
        <v>43</v>
      </c>
      <c r="O173" s="66"/>
      <c r="P173" s="190">
        <f>O173*H173</f>
        <v>0</v>
      </c>
      <c r="Q173" s="190">
        <v>1.34E-3</v>
      </c>
      <c r="R173" s="190">
        <f>Q173*H173</f>
        <v>1.1657999999999999</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3789</v>
      </c>
    </row>
    <row r="174" spans="1:65" s="2" customFormat="1" ht="24.2" customHeight="1">
      <c r="A174" s="36"/>
      <c r="B174" s="37"/>
      <c r="C174" s="181" t="s">
        <v>540</v>
      </c>
      <c r="D174" s="181" t="s">
        <v>382</v>
      </c>
      <c r="E174" s="182" t="s">
        <v>3390</v>
      </c>
      <c r="F174" s="183" t="s">
        <v>3391</v>
      </c>
      <c r="G174" s="184" t="s">
        <v>452</v>
      </c>
      <c r="H174" s="185">
        <v>63</v>
      </c>
      <c r="I174" s="186"/>
      <c r="J174" s="187">
        <f>ROUND(I174*H174,2)</f>
        <v>0</v>
      </c>
      <c r="K174" s="183" t="s">
        <v>3239</v>
      </c>
      <c r="L174" s="41"/>
      <c r="M174" s="188" t="s">
        <v>19</v>
      </c>
      <c r="N174" s="189" t="s">
        <v>43</v>
      </c>
      <c r="O174" s="66"/>
      <c r="P174" s="190">
        <f>O174*H174</f>
        <v>0</v>
      </c>
      <c r="Q174" s="190">
        <v>1.56E-3</v>
      </c>
      <c r="R174" s="190">
        <f>Q174*H174</f>
        <v>9.8279999999999992E-2</v>
      </c>
      <c r="S174" s="190">
        <v>0</v>
      </c>
      <c r="T174" s="191">
        <f>S174*H174</f>
        <v>0</v>
      </c>
      <c r="U174" s="36"/>
      <c r="V174" s="36"/>
      <c r="W174" s="36"/>
      <c r="X174" s="36"/>
      <c r="Y174" s="36"/>
      <c r="Z174" s="36"/>
      <c r="AA174" s="36"/>
      <c r="AB174" s="36"/>
      <c r="AC174" s="36"/>
      <c r="AD174" s="36"/>
      <c r="AE174" s="36"/>
      <c r="AR174" s="192" t="s">
        <v>281</v>
      </c>
      <c r="AT174" s="192" t="s">
        <v>382</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3790</v>
      </c>
    </row>
    <row r="175" spans="1:65" s="2" customFormat="1" ht="24.2" customHeight="1">
      <c r="A175" s="36"/>
      <c r="B175" s="37"/>
      <c r="C175" s="181" t="s">
        <v>546</v>
      </c>
      <c r="D175" s="181" t="s">
        <v>382</v>
      </c>
      <c r="E175" s="182" t="s">
        <v>3396</v>
      </c>
      <c r="F175" s="183" t="s">
        <v>3397</v>
      </c>
      <c r="G175" s="184" t="s">
        <v>452</v>
      </c>
      <c r="H175" s="185">
        <v>63</v>
      </c>
      <c r="I175" s="186"/>
      <c r="J175" s="187">
        <f>ROUND(I175*H175,2)</f>
        <v>0</v>
      </c>
      <c r="K175" s="183" t="s">
        <v>3239</v>
      </c>
      <c r="L175" s="41"/>
      <c r="M175" s="188" t="s">
        <v>19</v>
      </c>
      <c r="N175" s="189" t="s">
        <v>43</v>
      </c>
      <c r="O175" s="66"/>
      <c r="P175" s="190">
        <f>O175*H175</f>
        <v>0</v>
      </c>
      <c r="Q175" s="190">
        <v>8.3000000000000001E-4</v>
      </c>
      <c r="R175" s="190">
        <f>Q175*H175</f>
        <v>5.2290000000000003E-2</v>
      </c>
      <c r="S175" s="190">
        <v>0</v>
      </c>
      <c r="T175" s="191">
        <f>S175*H175</f>
        <v>0</v>
      </c>
      <c r="U175" s="36"/>
      <c r="V175" s="36"/>
      <c r="W175" s="36"/>
      <c r="X175" s="36"/>
      <c r="Y175" s="36"/>
      <c r="Z175" s="36"/>
      <c r="AA175" s="36"/>
      <c r="AB175" s="36"/>
      <c r="AC175" s="36"/>
      <c r="AD175" s="36"/>
      <c r="AE175" s="36"/>
      <c r="AR175" s="192" t="s">
        <v>281</v>
      </c>
      <c r="AT175" s="192" t="s">
        <v>382</v>
      </c>
      <c r="AU175" s="192" t="s">
        <v>82</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3791</v>
      </c>
    </row>
    <row r="176" spans="1:65" s="2" customFormat="1" ht="24.2" customHeight="1">
      <c r="A176" s="36"/>
      <c r="B176" s="37"/>
      <c r="C176" s="181" t="s">
        <v>552</v>
      </c>
      <c r="D176" s="181" t="s">
        <v>382</v>
      </c>
      <c r="E176" s="182" t="s">
        <v>3399</v>
      </c>
      <c r="F176" s="183" t="s">
        <v>3400</v>
      </c>
      <c r="G176" s="184" t="s">
        <v>641</v>
      </c>
      <c r="H176" s="185">
        <v>32</v>
      </c>
      <c r="I176" s="186"/>
      <c r="J176" s="187">
        <f>ROUND(I176*H176,2)</f>
        <v>0</v>
      </c>
      <c r="K176" s="183" t="s">
        <v>3239</v>
      </c>
      <c r="L176" s="41"/>
      <c r="M176" s="188" t="s">
        <v>19</v>
      </c>
      <c r="N176" s="189" t="s">
        <v>43</v>
      </c>
      <c r="O176" s="66"/>
      <c r="P176" s="190">
        <f>O176*H176</f>
        <v>0</v>
      </c>
      <c r="Q176" s="190">
        <v>8.1999999999999998E-4</v>
      </c>
      <c r="R176" s="190">
        <f>Q176*H176</f>
        <v>2.6239999999999999E-2</v>
      </c>
      <c r="S176" s="190">
        <v>0</v>
      </c>
      <c r="T176" s="191">
        <f>S176*H176</f>
        <v>0</v>
      </c>
      <c r="U176" s="36"/>
      <c r="V176" s="36"/>
      <c r="W176" s="36"/>
      <c r="X176" s="36"/>
      <c r="Y176" s="36"/>
      <c r="Z176" s="36"/>
      <c r="AA176" s="36"/>
      <c r="AB176" s="36"/>
      <c r="AC176" s="36"/>
      <c r="AD176" s="36"/>
      <c r="AE176" s="36"/>
      <c r="AR176" s="192" t="s">
        <v>281</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281</v>
      </c>
      <c r="BM176" s="192" t="s">
        <v>3792</v>
      </c>
    </row>
    <row r="177" spans="1:65" s="13" customFormat="1" ht="11.25">
      <c r="B177" s="194"/>
      <c r="C177" s="195"/>
      <c r="D177" s="196" t="s">
        <v>388</v>
      </c>
      <c r="E177" s="197" t="s">
        <v>19</v>
      </c>
      <c r="F177" s="198" t="s">
        <v>3407</v>
      </c>
      <c r="G177" s="195"/>
      <c r="H177" s="197" t="s">
        <v>19</v>
      </c>
      <c r="I177" s="199"/>
      <c r="J177" s="195"/>
      <c r="K177" s="195"/>
      <c r="L177" s="200"/>
      <c r="M177" s="201"/>
      <c r="N177" s="202"/>
      <c r="O177" s="202"/>
      <c r="P177" s="202"/>
      <c r="Q177" s="202"/>
      <c r="R177" s="202"/>
      <c r="S177" s="202"/>
      <c r="T177" s="203"/>
      <c r="AT177" s="204" t="s">
        <v>388</v>
      </c>
      <c r="AU177" s="204" t="s">
        <v>82</v>
      </c>
      <c r="AV177" s="13" t="s">
        <v>79</v>
      </c>
      <c r="AW177" s="13" t="s">
        <v>33</v>
      </c>
      <c r="AX177" s="13" t="s">
        <v>72</v>
      </c>
      <c r="AY177" s="204" t="s">
        <v>380</v>
      </c>
    </row>
    <row r="178" spans="1:65" s="14" customFormat="1" ht="11.25">
      <c r="B178" s="205"/>
      <c r="C178" s="206"/>
      <c r="D178" s="196" t="s">
        <v>388</v>
      </c>
      <c r="E178" s="207" t="s">
        <v>19</v>
      </c>
      <c r="F178" s="208" t="s">
        <v>3793</v>
      </c>
      <c r="G178" s="206"/>
      <c r="H178" s="209">
        <v>32</v>
      </c>
      <c r="I178" s="210"/>
      <c r="J178" s="206"/>
      <c r="K178" s="206"/>
      <c r="L178" s="211"/>
      <c r="M178" s="212"/>
      <c r="N178" s="213"/>
      <c r="O178" s="213"/>
      <c r="P178" s="213"/>
      <c r="Q178" s="213"/>
      <c r="R178" s="213"/>
      <c r="S178" s="213"/>
      <c r="T178" s="214"/>
      <c r="AT178" s="215" t="s">
        <v>388</v>
      </c>
      <c r="AU178" s="215" t="s">
        <v>82</v>
      </c>
      <c r="AV178" s="14" t="s">
        <v>82</v>
      </c>
      <c r="AW178" s="14" t="s">
        <v>33</v>
      </c>
      <c r="AX178" s="14" t="s">
        <v>72</v>
      </c>
      <c r="AY178" s="215" t="s">
        <v>380</v>
      </c>
    </row>
    <row r="179" spans="1:65" s="16" customFormat="1" ht="11.25">
      <c r="B179" s="237"/>
      <c r="C179" s="238"/>
      <c r="D179" s="196" t="s">
        <v>388</v>
      </c>
      <c r="E179" s="239" t="s">
        <v>19</v>
      </c>
      <c r="F179" s="240" t="s">
        <v>572</v>
      </c>
      <c r="G179" s="238"/>
      <c r="H179" s="241">
        <v>32</v>
      </c>
      <c r="I179" s="242"/>
      <c r="J179" s="238"/>
      <c r="K179" s="238"/>
      <c r="L179" s="243"/>
      <c r="M179" s="244"/>
      <c r="N179" s="245"/>
      <c r="O179" s="245"/>
      <c r="P179" s="245"/>
      <c r="Q179" s="245"/>
      <c r="R179" s="245"/>
      <c r="S179" s="245"/>
      <c r="T179" s="246"/>
      <c r="AT179" s="247" t="s">
        <v>388</v>
      </c>
      <c r="AU179" s="247" t="s">
        <v>82</v>
      </c>
      <c r="AV179" s="16" t="s">
        <v>99</v>
      </c>
      <c r="AW179" s="16" t="s">
        <v>33</v>
      </c>
      <c r="AX179" s="16" t="s">
        <v>72</v>
      </c>
      <c r="AY179" s="247" t="s">
        <v>380</v>
      </c>
    </row>
    <row r="180" spans="1:65" s="15" customFormat="1" ht="11.25">
      <c r="B180" s="216"/>
      <c r="C180" s="217"/>
      <c r="D180" s="196" t="s">
        <v>388</v>
      </c>
      <c r="E180" s="218" t="s">
        <v>19</v>
      </c>
      <c r="F180" s="219" t="s">
        <v>419</v>
      </c>
      <c r="G180" s="217"/>
      <c r="H180" s="220">
        <v>32</v>
      </c>
      <c r="I180" s="221"/>
      <c r="J180" s="217"/>
      <c r="K180" s="217"/>
      <c r="L180" s="222"/>
      <c r="M180" s="223"/>
      <c r="N180" s="224"/>
      <c r="O180" s="224"/>
      <c r="P180" s="224"/>
      <c r="Q180" s="224"/>
      <c r="R180" s="224"/>
      <c r="S180" s="224"/>
      <c r="T180" s="225"/>
      <c r="AT180" s="226" t="s">
        <v>388</v>
      </c>
      <c r="AU180" s="226" t="s">
        <v>82</v>
      </c>
      <c r="AV180" s="15" t="s">
        <v>386</v>
      </c>
      <c r="AW180" s="15" t="s">
        <v>33</v>
      </c>
      <c r="AX180" s="15" t="s">
        <v>79</v>
      </c>
      <c r="AY180" s="226" t="s">
        <v>380</v>
      </c>
    </row>
    <row r="181" spans="1:65" s="2" customFormat="1" ht="24.2" customHeight="1">
      <c r="A181" s="36"/>
      <c r="B181" s="37"/>
      <c r="C181" s="181" t="s">
        <v>556</v>
      </c>
      <c r="D181" s="181" t="s">
        <v>382</v>
      </c>
      <c r="E181" s="182" t="s">
        <v>3408</v>
      </c>
      <c r="F181" s="183" t="s">
        <v>3409</v>
      </c>
      <c r="G181" s="184" t="s">
        <v>641</v>
      </c>
      <c r="H181" s="185">
        <v>24</v>
      </c>
      <c r="I181" s="186"/>
      <c r="J181" s="187">
        <f>ROUND(I181*H181,2)</f>
        <v>0</v>
      </c>
      <c r="K181" s="183" t="s">
        <v>3239</v>
      </c>
      <c r="L181" s="41"/>
      <c r="M181" s="188" t="s">
        <v>19</v>
      </c>
      <c r="N181" s="189" t="s">
        <v>43</v>
      </c>
      <c r="O181" s="66"/>
      <c r="P181" s="190">
        <f>O181*H181</f>
        <v>0</v>
      </c>
      <c r="Q181" s="190">
        <v>1.0200000000000001E-3</v>
      </c>
      <c r="R181" s="190">
        <f>Q181*H181</f>
        <v>2.4480000000000002E-2</v>
      </c>
      <c r="S181" s="190">
        <v>0</v>
      </c>
      <c r="T181" s="191">
        <f>S181*H181</f>
        <v>0</v>
      </c>
      <c r="U181" s="36"/>
      <c r="V181" s="36"/>
      <c r="W181" s="36"/>
      <c r="X181" s="36"/>
      <c r="Y181" s="36"/>
      <c r="Z181" s="36"/>
      <c r="AA181" s="36"/>
      <c r="AB181" s="36"/>
      <c r="AC181" s="36"/>
      <c r="AD181" s="36"/>
      <c r="AE181" s="36"/>
      <c r="AR181" s="192" t="s">
        <v>281</v>
      </c>
      <c r="AT181" s="192" t="s">
        <v>382</v>
      </c>
      <c r="AU181" s="192" t="s">
        <v>82</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281</v>
      </c>
      <c r="BM181" s="192" t="s">
        <v>3794</v>
      </c>
    </row>
    <row r="182" spans="1:65" s="13" customFormat="1" ht="11.25">
      <c r="B182" s="194"/>
      <c r="C182" s="195"/>
      <c r="D182" s="196" t="s">
        <v>388</v>
      </c>
      <c r="E182" s="197" t="s">
        <v>19</v>
      </c>
      <c r="F182" s="198" t="s">
        <v>3795</v>
      </c>
      <c r="G182" s="195"/>
      <c r="H182" s="197" t="s">
        <v>19</v>
      </c>
      <c r="I182" s="199"/>
      <c r="J182" s="195"/>
      <c r="K182" s="195"/>
      <c r="L182" s="200"/>
      <c r="M182" s="201"/>
      <c r="N182" s="202"/>
      <c r="O182" s="202"/>
      <c r="P182" s="202"/>
      <c r="Q182" s="202"/>
      <c r="R182" s="202"/>
      <c r="S182" s="202"/>
      <c r="T182" s="203"/>
      <c r="AT182" s="204" t="s">
        <v>388</v>
      </c>
      <c r="AU182" s="204" t="s">
        <v>82</v>
      </c>
      <c r="AV182" s="13" t="s">
        <v>79</v>
      </c>
      <c r="AW182" s="13" t="s">
        <v>33</v>
      </c>
      <c r="AX182" s="13" t="s">
        <v>72</v>
      </c>
      <c r="AY182" s="204" t="s">
        <v>380</v>
      </c>
    </row>
    <row r="183" spans="1:65" s="14" customFormat="1" ht="11.25">
      <c r="B183" s="205"/>
      <c r="C183" s="206"/>
      <c r="D183" s="196" t="s">
        <v>388</v>
      </c>
      <c r="E183" s="207" t="s">
        <v>19</v>
      </c>
      <c r="F183" s="208" t="s">
        <v>3796</v>
      </c>
      <c r="G183" s="206"/>
      <c r="H183" s="209">
        <v>24</v>
      </c>
      <c r="I183" s="210"/>
      <c r="J183" s="206"/>
      <c r="K183" s="206"/>
      <c r="L183" s="211"/>
      <c r="M183" s="212"/>
      <c r="N183" s="213"/>
      <c r="O183" s="213"/>
      <c r="P183" s="213"/>
      <c r="Q183" s="213"/>
      <c r="R183" s="213"/>
      <c r="S183" s="213"/>
      <c r="T183" s="214"/>
      <c r="AT183" s="215" t="s">
        <v>388</v>
      </c>
      <c r="AU183" s="215" t="s">
        <v>82</v>
      </c>
      <c r="AV183" s="14" t="s">
        <v>82</v>
      </c>
      <c r="AW183" s="14" t="s">
        <v>33</v>
      </c>
      <c r="AX183" s="14" t="s">
        <v>72</v>
      </c>
      <c r="AY183" s="215" t="s">
        <v>380</v>
      </c>
    </row>
    <row r="184" spans="1:65" s="16" customFormat="1" ht="11.25">
      <c r="B184" s="237"/>
      <c r="C184" s="238"/>
      <c r="D184" s="196" t="s">
        <v>388</v>
      </c>
      <c r="E184" s="239" t="s">
        <v>19</v>
      </c>
      <c r="F184" s="240" t="s">
        <v>572</v>
      </c>
      <c r="G184" s="238"/>
      <c r="H184" s="241">
        <v>24</v>
      </c>
      <c r="I184" s="242"/>
      <c r="J184" s="238"/>
      <c r="K184" s="238"/>
      <c r="L184" s="243"/>
      <c r="M184" s="244"/>
      <c r="N184" s="245"/>
      <c r="O184" s="245"/>
      <c r="P184" s="245"/>
      <c r="Q184" s="245"/>
      <c r="R184" s="245"/>
      <c r="S184" s="245"/>
      <c r="T184" s="246"/>
      <c r="AT184" s="247" t="s">
        <v>388</v>
      </c>
      <c r="AU184" s="247" t="s">
        <v>82</v>
      </c>
      <c r="AV184" s="16" t="s">
        <v>99</v>
      </c>
      <c r="AW184" s="16" t="s">
        <v>33</v>
      </c>
      <c r="AX184" s="16" t="s">
        <v>72</v>
      </c>
      <c r="AY184" s="247" t="s">
        <v>380</v>
      </c>
    </row>
    <row r="185" spans="1:65" s="15" customFormat="1" ht="11.25">
      <c r="B185" s="216"/>
      <c r="C185" s="217"/>
      <c r="D185" s="196" t="s">
        <v>388</v>
      </c>
      <c r="E185" s="218" t="s">
        <v>19</v>
      </c>
      <c r="F185" s="219" t="s">
        <v>419</v>
      </c>
      <c r="G185" s="217"/>
      <c r="H185" s="220">
        <v>24</v>
      </c>
      <c r="I185" s="221"/>
      <c r="J185" s="217"/>
      <c r="K185" s="217"/>
      <c r="L185" s="222"/>
      <c r="M185" s="223"/>
      <c r="N185" s="224"/>
      <c r="O185" s="224"/>
      <c r="P185" s="224"/>
      <c r="Q185" s="224"/>
      <c r="R185" s="224"/>
      <c r="S185" s="224"/>
      <c r="T185" s="225"/>
      <c r="AT185" s="226" t="s">
        <v>388</v>
      </c>
      <c r="AU185" s="226" t="s">
        <v>82</v>
      </c>
      <c r="AV185" s="15" t="s">
        <v>386</v>
      </c>
      <c r="AW185" s="15" t="s">
        <v>33</v>
      </c>
      <c r="AX185" s="15" t="s">
        <v>79</v>
      </c>
      <c r="AY185" s="226" t="s">
        <v>380</v>
      </c>
    </row>
    <row r="186" spans="1:65" s="2" customFormat="1" ht="16.5" customHeight="1">
      <c r="A186" s="36"/>
      <c r="B186" s="37"/>
      <c r="C186" s="181" t="s">
        <v>565</v>
      </c>
      <c r="D186" s="181" t="s">
        <v>382</v>
      </c>
      <c r="E186" s="182" t="s">
        <v>3697</v>
      </c>
      <c r="F186" s="183" t="s">
        <v>3698</v>
      </c>
      <c r="G186" s="184" t="s">
        <v>641</v>
      </c>
      <c r="H186" s="185">
        <v>8</v>
      </c>
      <c r="I186" s="186"/>
      <c r="J186" s="187">
        <f>ROUND(I186*H186,2)</f>
        <v>0</v>
      </c>
      <c r="K186" s="183" t="s">
        <v>3239</v>
      </c>
      <c r="L186" s="41"/>
      <c r="M186" s="188" t="s">
        <v>19</v>
      </c>
      <c r="N186" s="189" t="s">
        <v>43</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281</v>
      </c>
      <c r="AT186" s="192" t="s">
        <v>382</v>
      </c>
      <c r="AU186" s="192" t="s">
        <v>82</v>
      </c>
      <c r="AY186" s="19" t="s">
        <v>380</v>
      </c>
      <c r="BE186" s="193">
        <f>IF(N186="základní",J186,0)</f>
        <v>0</v>
      </c>
      <c r="BF186" s="193">
        <f>IF(N186="snížená",J186,0)</f>
        <v>0</v>
      </c>
      <c r="BG186" s="193">
        <f>IF(N186="zákl. přenesená",J186,0)</f>
        <v>0</v>
      </c>
      <c r="BH186" s="193">
        <f>IF(N186="sníž. přenesená",J186,0)</f>
        <v>0</v>
      </c>
      <c r="BI186" s="193">
        <f>IF(N186="nulová",J186,0)</f>
        <v>0</v>
      </c>
      <c r="BJ186" s="19" t="s">
        <v>79</v>
      </c>
      <c r="BK186" s="193">
        <f>ROUND(I186*H186,2)</f>
        <v>0</v>
      </c>
      <c r="BL186" s="19" t="s">
        <v>281</v>
      </c>
      <c r="BM186" s="192" t="s">
        <v>3797</v>
      </c>
    </row>
    <row r="187" spans="1:65" s="2" customFormat="1" ht="16.5" customHeight="1">
      <c r="A187" s="36"/>
      <c r="B187" s="37"/>
      <c r="C187" s="227" t="s">
        <v>579</v>
      </c>
      <c r="D187" s="227" t="s">
        <v>465</v>
      </c>
      <c r="E187" s="228" t="s">
        <v>3428</v>
      </c>
      <c r="F187" s="229" t="s">
        <v>3798</v>
      </c>
      <c r="G187" s="230" t="s">
        <v>3278</v>
      </c>
      <c r="H187" s="231">
        <v>1</v>
      </c>
      <c r="I187" s="232"/>
      <c r="J187" s="233">
        <f>ROUND(I187*H187,2)</f>
        <v>0</v>
      </c>
      <c r="K187" s="229" t="s">
        <v>19</v>
      </c>
      <c r="L187" s="234"/>
      <c r="M187" s="235" t="s">
        <v>19</v>
      </c>
      <c r="N187" s="236" t="s">
        <v>43</v>
      </c>
      <c r="O187" s="66"/>
      <c r="P187" s="190">
        <f>O187*H187</f>
        <v>0</v>
      </c>
      <c r="Q187" s="190">
        <v>0.14000000000000001</v>
      </c>
      <c r="R187" s="190">
        <f>Q187*H187</f>
        <v>0.14000000000000001</v>
      </c>
      <c r="S187" s="190">
        <v>0</v>
      </c>
      <c r="T187" s="191">
        <f>S187*H187</f>
        <v>0</v>
      </c>
      <c r="U187" s="36"/>
      <c r="V187" s="36"/>
      <c r="W187" s="36"/>
      <c r="X187" s="36"/>
      <c r="Y187" s="36"/>
      <c r="Z187" s="36"/>
      <c r="AA187" s="36"/>
      <c r="AB187" s="36"/>
      <c r="AC187" s="36"/>
      <c r="AD187" s="36"/>
      <c r="AE187" s="36"/>
      <c r="AR187" s="192" t="s">
        <v>546</v>
      </c>
      <c r="AT187" s="192" t="s">
        <v>465</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281</v>
      </c>
      <c r="BM187" s="192" t="s">
        <v>3799</v>
      </c>
    </row>
    <row r="188" spans="1:65" s="2" customFormat="1" ht="39">
      <c r="A188" s="36"/>
      <c r="B188" s="37"/>
      <c r="C188" s="38"/>
      <c r="D188" s="196" t="s">
        <v>1226</v>
      </c>
      <c r="E188" s="38"/>
      <c r="F188" s="248" t="s">
        <v>3800</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1226</v>
      </c>
      <c r="AU188" s="19" t="s">
        <v>82</v>
      </c>
    </row>
    <row r="189" spans="1:65" s="2" customFormat="1" ht="16.5" customHeight="1">
      <c r="A189" s="36"/>
      <c r="B189" s="37"/>
      <c r="C189" s="227" t="s">
        <v>600</v>
      </c>
      <c r="D189" s="227" t="s">
        <v>465</v>
      </c>
      <c r="E189" s="228" t="s">
        <v>3801</v>
      </c>
      <c r="F189" s="229" t="s">
        <v>3802</v>
      </c>
      <c r="G189" s="230" t="s">
        <v>3278</v>
      </c>
      <c r="H189" s="231">
        <v>1</v>
      </c>
      <c r="I189" s="232"/>
      <c r="J189" s="233">
        <f>ROUND(I189*H189,2)</f>
        <v>0</v>
      </c>
      <c r="K189" s="229" t="s">
        <v>19</v>
      </c>
      <c r="L189" s="234"/>
      <c r="M189" s="235" t="s">
        <v>19</v>
      </c>
      <c r="N189" s="236" t="s">
        <v>43</v>
      </c>
      <c r="O189" s="66"/>
      <c r="P189" s="190">
        <f>O189*H189</f>
        <v>0</v>
      </c>
      <c r="Q189" s="190">
        <v>0.14000000000000001</v>
      </c>
      <c r="R189" s="190">
        <f>Q189*H189</f>
        <v>0.14000000000000001</v>
      </c>
      <c r="S189" s="190">
        <v>0</v>
      </c>
      <c r="T189" s="191">
        <f>S189*H189</f>
        <v>0</v>
      </c>
      <c r="U189" s="36"/>
      <c r="V189" s="36"/>
      <c r="W189" s="36"/>
      <c r="X189" s="36"/>
      <c r="Y189" s="36"/>
      <c r="Z189" s="36"/>
      <c r="AA189" s="36"/>
      <c r="AB189" s="36"/>
      <c r="AC189" s="36"/>
      <c r="AD189" s="36"/>
      <c r="AE189" s="36"/>
      <c r="AR189" s="192" t="s">
        <v>546</v>
      </c>
      <c r="AT189" s="192" t="s">
        <v>465</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281</v>
      </c>
      <c r="BM189" s="192" t="s">
        <v>3803</v>
      </c>
    </row>
    <row r="190" spans="1:65" s="2" customFormat="1" ht="39">
      <c r="A190" s="36"/>
      <c r="B190" s="37"/>
      <c r="C190" s="38"/>
      <c r="D190" s="196" t="s">
        <v>1226</v>
      </c>
      <c r="E190" s="38"/>
      <c r="F190" s="248" t="s">
        <v>3800</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1226</v>
      </c>
      <c r="AU190" s="19" t="s">
        <v>82</v>
      </c>
    </row>
    <row r="191" spans="1:65" s="2" customFormat="1" ht="16.5" customHeight="1">
      <c r="A191" s="36"/>
      <c r="B191" s="37"/>
      <c r="C191" s="227" t="s">
        <v>619</v>
      </c>
      <c r="D191" s="227" t="s">
        <v>465</v>
      </c>
      <c r="E191" s="228" t="s">
        <v>3804</v>
      </c>
      <c r="F191" s="229" t="s">
        <v>3805</v>
      </c>
      <c r="G191" s="230" t="s">
        <v>3278</v>
      </c>
      <c r="H191" s="231">
        <v>1</v>
      </c>
      <c r="I191" s="232"/>
      <c r="J191" s="233">
        <f>ROUND(I191*H191,2)</f>
        <v>0</v>
      </c>
      <c r="K191" s="229" t="s">
        <v>19</v>
      </c>
      <c r="L191" s="234"/>
      <c r="M191" s="235" t="s">
        <v>19</v>
      </c>
      <c r="N191" s="236" t="s">
        <v>43</v>
      </c>
      <c r="O191" s="66"/>
      <c r="P191" s="190">
        <f>O191*H191</f>
        <v>0</v>
      </c>
      <c r="Q191" s="190">
        <v>0.14000000000000001</v>
      </c>
      <c r="R191" s="190">
        <f>Q191*H191</f>
        <v>0.14000000000000001</v>
      </c>
      <c r="S191" s="190">
        <v>0</v>
      </c>
      <c r="T191" s="191">
        <f>S191*H191</f>
        <v>0</v>
      </c>
      <c r="U191" s="36"/>
      <c r="V191" s="36"/>
      <c r="W191" s="36"/>
      <c r="X191" s="36"/>
      <c r="Y191" s="36"/>
      <c r="Z191" s="36"/>
      <c r="AA191" s="36"/>
      <c r="AB191" s="36"/>
      <c r="AC191" s="36"/>
      <c r="AD191" s="36"/>
      <c r="AE191" s="36"/>
      <c r="AR191" s="192" t="s">
        <v>546</v>
      </c>
      <c r="AT191" s="192" t="s">
        <v>465</v>
      </c>
      <c r="AU191" s="192" t="s">
        <v>82</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281</v>
      </c>
      <c r="BM191" s="192" t="s">
        <v>3806</v>
      </c>
    </row>
    <row r="192" spans="1:65" s="2" customFormat="1" ht="39">
      <c r="A192" s="36"/>
      <c r="B192" s="37"/>
      <c r="C192" s="38"/>
      <c r="D192" s="196" t="s">
        <v>1226</v>
      </c>
      <c r="E192" s="38"/>
      <c r="F192" s="248" t="s">
        <v>3807</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1226</v>
      </c>
      <c r="AU192" s="19" t="s">
        <v>82</v>
      </c>
    </row>
    <row r="193" spans="1:65" s="2" customFormat="1" ht="16.5" customHeight="1">
      <c r="A193" s="36"/>
      <c r="B193" s="37"/>
      <c r="C193" s="227" t="s">
        <v>623</v>
      </c>
      <c r="D193" s="227" t="s">
        <v>465</v>
      </c>
      <c r="E193" s="228" t="s">
        <v>3808</v>
      </c>
      <c r="F193" s="229" t="s">
        <v>3809</v>
      </c>
      <c r="G193" s="230" t="s">
        <v>3278</v>
      </c>
      <c r="H193" s="231">
        <v>1</v>
      </c>
      <c r="I193" s="232"/>
      <c r="J193" s="233">
        <f>ROUND(I193*H193,2)</f>
        <v>0</v>
      </c>
      <c r="K193" s="229" t="s">
        <v>19</v>
      </c>
      <c r="L193" s="234"/>
      <c r="M193" s="235" t="s">
        <v>19</v>
      </c>
      <c r="N193" s="236" t="s">
        <v>43</v>
      </c>
      <c r="O193" s="66"/>
      <c r="P193" s="190">
        <f>O193*H193</f>
        <v>0</v>
      </c>
      <c r="Q193" s="190">
        <v>0.14000000000000001</v>
      </c>
      <c r="R193" s="190">
        <f>Q193*H193</f>
        <v>0.14000000000000001</v>
      </c>
      <c r="S193" s="190">
        <v>0</v>
      </c>
      <c r="T193" s="191">
        <f>S193*H193</f>
        <v>0</v>
      </c>
      <c r="U193" s="36"/>
      <c r="V193" s="36"/>
      <c r="W193" s="36"/>
      <c r="X193" s="36"/>
      <c r="Y193" s="36"/>
      <c r="Z193" s="36"/>
      <c r="AA193" s="36"/>
      <c r="AB193" s="36"/>
      <c r="AC193" s="36"/>
      <c r="AD193" s="36"/>
      <c r="AE193" s="36"/>
      <c r="AR193" s="192" t="s">
        <v>546</v>
      </c>
      <c r="AT193" s="192" t="s">
        <v>465</v>
      </c>
      <c r="AU193" s="192" t="s">
        <v>82</v>
      </c>
      <c r="AY193" s="19" t="s">
        <v>380</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281</v>
      </c>
      <c r="BM193" s="192" t="s">
        <v>3810</v>
      </c>
    </row>
    <row r="194" spans="1:65" s="2" customFormat="1" ht="39">
      <c r="A194" s="36"/>
      <c r="B194" s="37"/>
      <c r="C194" s="38"/>
      <c r="D194" s="196" t="s">
        <v>1226</v>
      </c>
      <c r="E194" s="38"/>
      <c r="F194" s="248" t="s">
        <v>3807</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1226</v>
      </c>
      <c r="AU194" s="19" t="s">
        <v>82</v>
      </c>
    </row>
    <row r="195" spans="1:65" s="2" customFormat="1" ht="16.5" customHeight="1">
      <c r="A195" s="36"/>
      <c r="B195" s="37"/>
      <c r="C195" s="227" t="s">
        <v>631</v>
      </c>
      <c r="D195" s="227" t="s">
        <v>465</v>
      </c>
      <c r="E195" s="228" t="s">
        <v>3811</v>
      </c>
      <c r="F195" s="229" t="s">
        <v>3812</v>
      </c>
      <c r="G195" s="230" t="s">
        <v>3278</v>
      </c>
      <c r="H195" s="231">
        <v>1</v>
      </c>
      <c r="I195" s="232"/>
      <c r="J195" s="233">
        <f>ROUND(I195*H195,2)</f>
        <v>0</v>
      </c>
      <c r="K195" s="229" t="s">
        <v>19</v>
      </c>
      <c r="L195" s="234"/>
      <c r="M195" s="235" t="s">
        <v>19</v>
      </c>
      <c r="N195" s="236" t="s">
        <v>43</v>
      </c>
      <c r="O195" s="66"/>
      <c r="P195" s="190">
        <f>O195*H195</f>
        <v>0</v>
      </c>
      <c r="Q195" s="190">
        <v>0.14000000000000001</v>
      </c>
      <c r="R195" s="190">
        <f>Q195*H195</f>
        <v>0.14000000000000001</v>
      </c>
      <c r="S195" s="190">
        <v>0</v>
      </c>
      <c r="T195" s="191">
        <f>S195*H195</f>
        <v>0</v>
      </c>
      <c r="U195" s="36"/>
      <c r="V195" s="36"/>
      <c r="W195" s="36"/>
      <c r="X195" s="36"/>
      <c r="Y195" s="36"/>
      <c r="Z195" s="36"/>
      <c r="AA195" s="36"/>
      <c r="AB195" s="36"/>
      <c r="AC195" s="36"/>
      <c r="AD195" s="36"/>
      <c r="AE195" s="36"/>
      <c r="AR195" s="192" t="s">
        <v>546</v>
      </c>
      <c r="AT195" s="192" t="s">
        <v>465</v>
      </c>
      <c r="AU195" s="192" t="s">
        <v>82</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281</v>
      </c>
      <c r="BM195" s="192" t="s">
        <v>3813</v>
      </c>
    </row>
    <row r="196" spans="1:65" s="2" customFormat="1" ht="39">
      <c r="A196" s="36"/>
      <c r="B196" s="37"/>
      <c r="C196" s="38"/>
      <c r="D196" s="196" t="s">
        <v>1226</v>
      </c>
      <c r="E196" s="38"/>
      <c r="F196" s="248" t="s">
        <v>3800</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1226</v>
      </c>
      <c r="AU196" s="19" t="s">
        <v>82</v>
      </c>
    </row>
    <row r="197" spans="1:65" s="2" customFormat="1" ht="16.5" customHeight="1">
      <c r="A197" s="36"/>
      <c r="B197" s="37"/>
      <c r="C197" s="227" t="s">
        <v>638</v>
      </c>
      <c r="D197" s="227" t="s">
        <v>465</v>
      </c>
      <c r="E197" s="228" t="s">
        <v>3814</v>
      </c>
      <c r="F197" s="229" t="s">
        <v>3815</v>
      </c>
      <c r="G197" s="230" t="s">
        <v>3278</v>
      </c>
      <c r="H197" s="231">
        <v>1</v>
      </c>
      <c r="I197" s="232"/>
      <c r="J197" s="233">
        <f>ROUND(I197*H197,2)</f>
        <v>0</v>
      </c>
      <c r="K197" s="229" t="s">
        <v>19</v>
      </c>
      <c r="L197" s="234"/>
      <c r="M197" s="235" t="s">
        <v>19</v>
      </c>
      <c r="N197" s="236" t="s">
        <v>43</v>
      </c>
      <c r="O197" s="66"/>
      <c r="P197" s="190">
        <f>O197*H197</f>
        <v>0</v>
      </c>
      <c r="Q197" s="190">
        <v>0.14000000000000001</v>
      </c>
      <c r="R197" s="190">
        <f>Q197*H197</f>
        <v>0.14000000000000001</v>
      </c>
      <c r="S197" s="190">
        <v>0</v>
      </c>
      <c r="T197" s="191">
        <f>S197*H197</f>
        <v>0</v>
      </c>
      <c r="U197" s="36"/>
      <c r="V197" s="36"/>
      <c r="W197" s="36"/>
      <c r="X197" s="36"/>
      <c r="Y197" s="36"/>
      <c r="Z197" s="36"/>
      <c r="AA197" s="36"/>
      <c r="AB197" s="36"/>
      <c r="AC197" s="36"/>
      <c r="AD197" s="36"/>
      <c r="AE197" s="36"/>
      <c r="AR197" s="192" t="s">
        <v>546</v>
      </c>
      <c r="AT197" s="192" t="s">
        <v>465</v>
      </c>
      <c r="AU197" s="192" t="s">
        <v>82</v>
      </c>
      <c r="AY197" s="19" t="s">
        <v>380</v>
      </c>
      <c r="BE197" s="193">
        <f>IF(N197="základní",J197,0)</f>
        <v>0</v>
      </c>
      <c r="BF197" s="193">
        <f>IF(N197="snížená",J197,0)</f>
        <v>0</v>
      </c>
      <c r="BG197" s="193">
        <f>IF(N197="zákl. přenesená",J197,0)</f>
        <v>0</v>
      </c>
      <c r="BH197" s="193">
        <f>IF(N197="sníž. přenesená",J197,0)</f>
        <v>0</v>
      </c>
      <c r="BI197" s="193">
        <f>IF(N197="nulová",J197,0)</f>
        <v>0</v>
      </c>
      <c r="BJ197" s="19" t="s">
        <v>79</v>
      </c>
      <c r="BK197" s="193">
        <f>ROUND(I197*H197,2)</f>
        <v>0</v>
      </c>
      <c r="BL197" s="19" t="s">
        <v>281</v>
      </c>
      <c r="BM197" s="192" t="s">
        <v>3816</v>
      </c>
    </row>
    <row r="198" spans="1:65" s="2" customFormat="1" ht="39">
      <c r="A198" s="36"/>
      <c r="B198" s="37"/>
      <c r="C198" s="38"/>
      <c r="D198" s="196" t="s">
        <v>1226</v>
      </c>
      <c r="E198" s="38"/>
      <c r="F198" s="248" t="s">
        <v>3800</v>
      </c>
      <c r="G198" s="38"/>
      <c r="H198" s="38"/>
      <c r="I198" s="249"/>
      <c r="J198" s="38"/>
      <c r="K198" s="38"/>
      <c r="L198" s="41"/>
      <c r="M198" s="250"/>
      <c r="N198" s="251"/>
      <c r="O198" s="66"/>
      <c r="P198" s="66"/>
      <c r="Q198" s="66"/>
      <c r="R198" s="66"/>
      <c r="S198" s="66"/>
      <c r="T198" s="67"/>
      <c r="U198" s="36"/>
      <c r="V198" s="36"/>
      <c r="W198" s="36"/>
      <c r="X198" s="36"/>
      <c r="Y198" s="36"/>
      <c r="Z198" s="36"/>
      <c r="AA198" s="36"/>
      <c r="AB198" s="36"/>
      <c r="AC198" s="36"/>
      <c r="AD198" s="36"/>
      <c r="AE198" s="36"/>
      <c r="AT198" s="19" t="s">
        <v>1226</v>
      </c>
      <c r="AU198" s="19" t="s">
        <v>82</v>
      </c>
    </row>
    <row r="199" spans="1:65" s="2" customFormat="1" ht="16.5" customHeight="1">
      <c r="A199" s="36"/>
      <c r="B199" s="37"/>
      <c r="C199" s="227" t="s">
        <v>644</v>
      </c>
      <c r="D199" s="227" t="s">
        <v>465</v>
      </c>
      <c r="E199" s="228" t="s">
        <v>3817</v>
      </c>
      <c r="F199" s="229" t="s">
        <v>3818</v>
      </c>
      <c r="G199" s="230" t="s">
        <v>3278</v>
      </c>
      <c r="H199" s="231">
        <v>1</v>
      </c>
      <c r="I199" s="232"/>
      <c r="J199" s="233">
        <f>ROUND(I199*H199,2)</f>
        <v>0</v>
      </c>
      <c r="K199" s="229" t="s">
        <v>19</v>
      </c>
      <c r="L199" s="234"/>
      <c r="M199" s="235" t="s">
        <v>19</v>
      </c>
      <c r="N199" s="236" t="s">
        <v>43</v>
      </c>
      <c r="O199" s="66"/>
      <c r="P199" s="190">
        <f>O199*H199</f>
        <v>0</v>
      </c>
      <c r="Q199" s="190">
        <v>0.14000000000000001</v>
      </c>
      <c r="R199" s="190">
        <f>Q199*H199</f>
        <v>0.14000000000000001</v>
      </c>
      <c r="S199" s="190">
        <v>0</v>
      </c>
      <c r="T199" s="191">
        <f>S199*H199</f>
        <v>0</v>
      </c>
      <c r="U199" s="36"/>
      <c r="V199" s="36"/>
      <c r="W199" s="36"/>
      <c r="X199" s="36"/>
      <c r="Y199" s="36"/>
      <c r="Z199" s="36"/>
      <c r="AA199" s="36"/>
      <c r="AB199" s="36"/>
      <c r="AC199" s="36"/>
      <c r="AD199" s="36"/>
      <c r="AE199" s="36"/>
      <c r="AR199" s="192" t="s">
        <v>546</v>
      </c>
      <c r="AT199" s="192" t="s">
        <v>465</v>
      </c>
      <c r="AU199" s="192" t="s">
        <v>82</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281</v>
      </c>
      <c r="BM199" s="192" t="s">
        <v>3819</v>
      </c>
    </row>
    <row r="200" spans="1:65" s="2" customFormat="1" ht="39">
      <c r="A200" s="36"/>
      <c r="B200" s="37"/>
      <c r="C200" s="38"/>
      <c r="D200" s="196" t="s">
        <v>1226</v>
      </c>
      <c r="E200" s="38"/>
      <c r="F200" s="248" t="s">
        <v>3800</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1226</v>
      </c>
      <c r="AU200" s="19" t="s">
        <v>82</v>
      </c>
    </row>
    <row r="201" spans="1:65" s="2" customFormat="1" ht="16.5" customHeight="1">
      <c r="A201" s="36"/>
      <c r="B201" s="37"/>
      <c r="C201" s="227" t="s">
        <v>648</v>
      </c>
      <c r="D201" s="227" t="s">
        <v>465</v>
      </c>
      <c r="E201" s="228" t="s">
        <v>3820</v>
      </c>
      <c r="F201" s="229" t="s">
        <v>3821</v>
      </c>
      <c r="G201" s="230" t="s">
        <v>3278</v>
      </c>
      <c r="H201" s="231">
        <v>1</v>
      </c>
      <c r="I201" s="232"/>
      <c r="J201" s="233">
        <f>ROUND(I201*H201,2)</f>
        <v>0</v>
      </c>
      <c r="K201" s="229" t="s">
        <v>19</v>
      </c>
      <c r="L201" s="234"/>
      <c r="M201" s="235" t="s">
        <v>19</v>
      </c>
      <c r="N201" s="236" t="s">
        <v>43</v>
      </c>
      <c r="O201" s="66"/>
      <c r="P201" s="190">
        <f>O201*H201</f>
        <v>0</v>
      </c>
      <c r="Q201" s="190">
        <v>0.14000000000000001</v>
      </c>
      <c r="R201" s="190">
        <f>Q201*H201</f>
        <v>0.14000000000000001</v>
      </c>
      <c r="S201" s="190">
        <v>0</v>
      </c>
      <c r="T201" s="191">
        <f>S201*H201</f>
        <v>0</v>
      </c>
      <c r="U201" s="36"/>
      <c r="V201" s="36"/>
      <c r="W201" s="36"/>
      <c r="X201" s="36"/>
      <c r="Y201" s="36"/>
      <c r="Z201" s="36"/>
      <c r="AA201" s="36"/>
      <c r="AB201" s="36"/>
      <c r="AC201" s="36"/>
      <c r="AD201" s="36"/>
      <c r="AE201" s="36"/>
      <c r="AR201" s="192" t="s">
        <v>546</v>
      </c>
      <c r="AT201" s="192" t="s">
        <v>465</v>
      </c>
      <c r="AU201" s="192" t="s">
        <v>82</v>
      </c>
      <c r="AY201" s="19" t="s">
        <v>380</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281</v>
      </c>
      <c r="BM201" s="192" t="s">
        <v>3822</v>
      </c>
    </row>
    <row r="202" spans="1:65" s="2" customFormat="1" ht="39">
      <c r="A202" s="36"/>
      <c r="B202" s="37"/>
      <c r="C202" s="38"/>
      <c r="D202" s="196" t="s">
        <v>1226</v>
      </c>
      <c r="E202" s="38"/>
      <c r="F202" s="248" t="s">
        <v>3800</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1226</v>
      </c>
      <c r="AU202" s="19" t="s">
        <v>82</v>
      </c>
    </row>
    <row r="203" spans="1:65" s="2" customFormat="1" ht="24.2" customHeight="1">
      <c r="A203" s="36"/>
      <c r="B203" s="37"/>
      <c r="C203" s="181" t="s">
        <v>652</v>
      </c>
      <c r="D203" s="181" t="s">
        <v>382</v>
      </c>
      <c r="E203" s="182" t="s">
        <v>3432</v>
      </c>
      <c r="F203" s="183" t="s">
        <v>3433</v>
      </c>
      <c r="G203" s="184" t="s">
        <v>3014</v>
      </c>
      <c r="H203" s="257"/>
      <c r="I203" s="186"/>
      <c r="J203" s="187">
        <f>ROUND(I203*H203,2)</f>
        <v>0</v>
      </c>
      <c r="K203" s="183" t="s">
        <v>3239</v>
      </c>
      <c r="L203" s="41"/>
      <c r="M203" s="188" t="s">
        <v>19</v>
      </c>
      <c r="N203" s="189" t="s">
        <v>43</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281</v>
      </c>
      <c r="AT203" s="192" t="s">
        <v>382</v>
      </c>
      <c r="AU203" s="192" t="s">
        <v>82</v>
      </c>
      <c r="AY203" s="19" t="s">
        <v>380</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281</v>
      </c>
      <c r="BM203" s="192" t="s">
        <v>3823</v>
      </c>
    </row>
    <row r="204" spans="1:65" s="2" customFormat="1" ht="24.2" customHeight="1">
      <c r="A204" s="36"/>
      <c r="B204" s="37"/>
      <c r="C204" s="181" t="s">
        <v>656</v>
      </c>
      <c r="D204" s="181" t="s">
        <v>382</v>
      </c>
      <c r="E204" s="182" t="s">
        <v>3435</v>
      </c>
      <c r="F204" s="183" t="s">
        <v>3436</v>
      </c>
      <c r="G204" s="184" t="s">
        <v>3014</v>
      </c>
      <c r="H204" s="257"/>
      <c r="I204" s="186"/>
      <c r="J204" s="187">
        <f>ROUND(I204*H204,2)</f>
        <v>0</v>
      </c>
      <c r="K204" s="183" t="s">
        <v>3239</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281</v>
      </c>
      <c r="AT204" s="192" t="s">
        <v>382</v>
      </c>
      <c r="AU204" s="192" t="s">
        <v>82</v>
      </c>
      <c r="AY204" s="19" t="s">
        <v>380</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281</v>
      </c>
      <c r="BM204" s="192" t="s">
        <v>3824</v>
      </c>
    </row>
    <row r="205" spans="1:65" s="2" customFormat="1" ht="16.5" customHeight="1">
      <c r="A205" s="36"/>
      <c r="B205" s="37"/>
      <c r="C205" s="181" t="s">
        <v>660</v>
      </c>
      <c r="D205" s="181" t="s">
        <v>382</v>
      </c>
      <c r="E205" s="182" t="s">
        <v>3825</v>
      </c>
      <c r="F205" s="183" t="s">
        <v>3826</v>
      </c>
      <c r="G205" s="184" t="s">
        <v>2389</v>
      </c>
      <c r="H205" s="185">
        <v>48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281</v>
      </c>
      <c r="AT205" s="192" t="s">
        <v>382</v>
      </c>
      <c r="AU205" s="192" t="s">
        <v>82</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281</v>
      </c>
      <c r="BM205" s="192" t="s">
        <v>3827</v>
      </c>
    </row>
    <row r="206" spans="1:65" s="14" customFormat="1" ht="11.25">
      <c r="B206" s="205"/>
      <c r="C206" s="206"/>
      <c r="D206" s="196" t="s">
        <v>388</v>
      </c>
      <c r="E206" s="207" t="s">
        <v>19</v>
      </c>
      <c r="F206" s="208" t="s">
        <v>3828</v>
      </c>
      <c r="G206" s="206"/>
      <c r="H206" s="209">
        <v>48</v>
      </c>
      <c r="I206" s="210"/>
      <c r="J206" s="206"/>
      <c r="K206" s="206"/>
      <c r="L206" s="211"/>
      <c r="M206" s="212"/>
      <c r="N206" s="213"/>
      <c r="O206" s="213"/>
      <c r="P206" s="213"/>
      <c r="Q206" s="213"/>
      <c r="R206" s="213"/>
      <c r="S206" s="213"/>
      <c r="T206" s="214"/>
      <c r="AT206" s="215" t="s">
        <v>388</v>
      </c>
      <c r="AU206" s="215" t="s">
        <v>82</v>
      </c>
      <c r="AV206" s="14" t="s">
        <v>82</v>
      </c>
      <c r="AW206" s="14" t="s">
        <v>33</v>
      </c>
      <c r="AX206" s="14" t="s">
        <v>79</v>
      </c>
      <c r="AY206" s="215" t="s">
        <v>380</v>
      </c>
    </row>
    <row r="207" spans="1:65" s="2" customFormat="1" ht="16.5" customHeight="1">
      <c r="A207" s="36"/>
      <c r="B207" s="37"/>
      <c r="C207" s="227" t="s">
        <v>664</v>
      </c>
      <c r="D207" s="227" t="s">
        <v>465</v>
      </c>
      <c r="E207" s="228" t="s">
        <v>3829</v>
      </c>
      <c r="F207" s="229" t="s">
        <v>3830</v>
      </c>
      <c r="G207" s="230" t="s">
        <v>3278</v>
      </c>
      <c r="H207" s="231">
        <v>1</v>
      </c>
      <c r="I207" s="232"/>
      <c r="J207" s="233">
        <f>ROUND(I207*H207,2)</f>
        <v>0</v>
      </c>
      <c r="K207" s="229" t="s">
        <v>19</v>
      </c>
      <c r="L207" s="234"/>
      <c r="M207" s="235" t="s">
        <v>19</v>
      </c>
      <c r="N207" s="236" t="s">
        <v>43</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546</v>
      </c>
      <c r="AT207" s="192" t="s">
        <v>465</v>
      </c>
      <c r="AU207" s="192" t="s">
        <v>82</v>
      </c>
      <c r="AY207" s="19" t="s">
        <v>380</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281</v>
      </c>
      <c r="BM207" s="192" t="s">
        <v>3831</v>
      </c>
    </row>
    <row r="208" spans="1:65" s="2" customFormat="1" ht="39">
      <c r="A208" s="36"/>
      <c r="B208" s="37"/>
      <c r="C208" s="38"/>
      <c r="D208" s="196" t="s">
        <v>1226</v>
      </c>
      <c r="E208" s="38"/>
      <c r="F208" s="248" t="s">
        <v>3832</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1226</v>
      </c>
      <c r="AU208" s="19" t="s">
        <v>82</v>
      </c>
    </row>
    <row r="209" spans="1:65" s="2" customFormat="1" ht="16.5" customHeight="1">
      <c r="A209" s="36"/>
      <c r="B209" s="37"/>
      <c r="C209" s="227" t="s">
        <v>668</v>
      </c>
      <c r="D209" s="227" t="s">
        <v>465</v>
      </c>
      <c r="E209" s="228" t="s">
        <v>3833</v>
      </c>
      <c r="F209" s="229" t="s">
        <v>3834</v>
      </c>
      <c r="G209" s="230" t="s">
        <v>3278</v>
      </c>
      <c r="H209" s="231">
        <v>1</v>
      </c>
      <c r="I209" s="232"/>
      <c r="J209" s="233">
        <f>ROUND(I209*H209,2)</f>
        <v>0</v>
      </c>
      <c r="K209" s="229" t="s">
        <v>19</v>
      </c>
      <c r="L209" s="234"/>
      <c r="M209" s="235" t="s">
        <v>19</v>
      </c>
      <c r="N209" s="236" t="s">
        <v>43</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546</v>
      </c>
      <c r="AT209" s="192" t="s">
        <v>465</v>
      </c>
      <c r="AU209" s="192" t="s">
        <v>82</v>
      </c>
      <c r="AY209" s="19" t="s">
        <v>380</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281</v>
      </c>
      <c r="BM209" s="192" t="s">
        <v>3835</v>
      </c>
    </row>
    <row r="210" spans="1:65" s="2" customFormat="1" ht="39">
      <c r="A210" s="36"/>
      <c r="B210" s="37"/>
      <c r="C210" s="38"/>
      <c r="D210" s="196" t="s">
        <v>1226</v>
      </c>
      <c r="E210" s="38"/>
      <c r="F210" s="248" t="s">
        <v>3836</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1226</v>
      </c>
      <c r="AU210" s="19" t="s">
        <v>82</v>
      </c>
    </row>
    <row r="211" spans="1:65" s="2" customFormat="1" ht="16.5" customHeight="1">
      <c r="A211" s="36"/>
      <c r="B211" s="37"/>
      <c r="C211" s="227" t="s">
        <v>672</v>
      </c>
      <c r="D211" s="227" t="s">
        <v>465</v>
      </c>
      <c r="E211" s="228" t="s">
        <v>3837</v>
      </c>
      <c r="F211" s="229" t="s">
        <v>3838</v>
      </c>
      <c r="G211" s="230" t="s">
        <v>3278</v>
      </c>
      <c r="H211" s="231">
        <v>1</v>
      </c>
      <c r="I211" s="232"/>
      <c r="J211" s="233">
        <f>ROUND(I211*H211,2)</f>
        <v>0</v>
      </c>
      <c r="K211" s="229" t="s">
        <v>19</v>
      </c>
      <c r="L211" s="234"/>
      <c r="M211" s="235" t="s">
        <v>19</v>
      </c>
      <c r="N211" s="236" t="s">
        <v>43</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546</v>
      </c>
      <c r="AT211" s="192" t="s">
        <v>465</v>
      </c>
      <c r="AU211" s="192" t="s">
        <v>82</v>
      </c>
      <c r="AY211" s="19" t="s">
        <v>380</v>
      </c>
      <c r="BE211" s="193">
        <f>IF(N211="základní",J211,0)</f>
        <v>0</v>
      </c>
      <c r="BF211" s="193">
        <f>IF(N211="snížená",J211,0)</f>
        <v>0</v>
      </c>
      <c r="BG211" s="193">
        <f>IF(N211="zákl. přenesená",J211,0)</f>
        <v>0</v>
      </c>
      <c r="BH211" s="193">
        <f>IF(N211="sníž. přenesená",J211,0)</f>
        <v>0</v>
      </c>
      <c r="BI211" s="193">
        <f>IF(N211="nulová",J211,0)</f>
        <v>0</v>
      </c>
      <c r="BJ211" s="19" t="s">
        <v>79</v>
      </c>
      <c r="BK211" s="193">
        <f>ROUND(I211*H211,2)</f>
        <v>0</v>
      </c>
      <c r="BL211" s="19" t="s">
        <v>281</v>
      </c>
      <c r="BM211" s="192" t="s">
        <v>3839</v>
      </c>
    </row>
    <row r="212" spans="1:65" s="2" customFormat="1" ht="39">
      <c r="A212" s="36"/>
      <c r="B212" s="37"/>
      <c r="C212" s="38"/>
      <c r="D212" s="196" t="s">
        <v>1226</v>
      </c>
      <c r="E212" s="38"/>
      <c r="F212" s="248" t="s">
        <v>3840</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1226</v>
      </c>
      <c r="AU212" s="19" t="s">
        <v>82</v>
      </c>
    </row>
    <row r="213" spans="1:65" s="2" customFormat="1" ht="16.5" customHeight="1">
      <c r="A213" s="36"/>
      <c r="B213" s="37"/>
      <c r="C213" s="227" t="s">
        <v>677</v>
      </c>
      <c r="D213" s="227" t="s">
        <v>465</v>
      </c>
      <c r="E213" s="228" t="s">
        <v>3841</v>
      </c>
      <c r="F213" s="229" t="s">
        <v>3842</v>
      </c>
      <c r="G213" s="230" t="s">
        <v>3278</v>
      </c>
      <c r="H213" s="231">
        <v>1</v>
      </c>
      <c r="I213" s="232"/>
      <c r="J213" s="233">
        <f>ROUND(I213*H213,2)</f>
        <v>0</v>
      </c>
      <c r="K213" s="229" t="s">
        <v>19</v>
      </c>
      <c r="L213" s="234"/>
      <c r="M213" s="235" t="s">
        <v>19</v>
      </c>
      <c r="N213" s="236" t="s">
        <v>43</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546</v>
      </c>
      <c r="AT213" s="192" t="s">
        <v>465</v>
      </c>
      <c r="AU213" s="192" t="s">
        <v>82</v>
      </c>
      <c r="AY213" s="19" t="s">
        <v>380</v>
      </c>
      <c r="BE213" s="193">
        <f>IF(N213="základní",J213,0)</f>
        <v>0</v>
      </c>
      <c r="BF213" s="193">
        <f>IF(N213="snížená",J213,0)</f>
        <v>0</v>
      </c>
      <c r="BG213" s="193">
        <f>IF(N213="zákl. přenesená",J213,0)</f>
        <v>0</v>
      </c>
      <c r="BH213" s="193">
        <f>IF(N213="sníž. přenesená",J213,0)</f>
        <v>0</v>
      </c>
      <c r="BI213" s="193">
        <f>IF(N213="nulová",J213,0)</f>
        <v>0</v>
      </c>
      <c r="BJ213" s="19" t="s">
        <v>79</v>
      </c>
      <c r="BK213" s="193">
        <f>ROUND(I213*H213,2)</f>
        <v>0</v>
      </c>
      <c r="BL213" s="19" t="s">
        <v>281</v>
      </c>
      <c r="BM213" s="192" t="s">
        <v>3843</v>
      </c>
    </row>
    <row r="214" spans="1:65" s="2" customFormat="1" ht="39">
      <c r="A214" s="36"/>
      <c r="B214" s="37"/>
      <c r="C214" s="38"/>
      <c r="D214" s="196" t="s">
        <v>1226</v>
      </c>
      <c r="E214" s="38"/>
      <c r="F214" s="248" t="s">
        <v>3844</v>
      </c>
      <c r="G214" s="38"/>
      <c r="H214" s="38"/>
      <c r="I214" s="249"/>
      <c r="J214" s="38"/>
      <c r="K214" s="38"/>
      <c r="L214" s="41"/>
      <c r="M214" s="250"/>
      <c r="N214" s="251"/>
      <c r="O214" s="66"/>
      <c r="P214" s="66"/>
      <c r="Q214" s="66"/>
      <c r="R214" s="66"/>
      <c r="S214" s="66"/>
      <c r="T214" s="67"/>
      <c r="U214" s="36"/>
      <c r="V214" s="36"/>
      <c r="W214" s="36"/>
      <c r="X214" s="36"/>
      <c r="Y214" s="36"/>
      <c r="Z214" s="36"/>
      <c r="AA214" s="36"/>
      <c r="AB214" s="36"/>
      <c r="AC214" s="36"/>
      <c r="AD214" s="36"/>
      <c r="AE214" s="36"/>
      <c r="AT214" s="19" t="s">
        <v>1226</v>
      </c>
      <c r="AU214" s="19" t="s">
        <v>82</v>
      </c>
    </row>
    <row r="215" spans="1:65" s="2" customFormat="1" ht="16.5" customHeight="1">
      <c r="A215" s="36"/>
      <c r="B215" s="37"/>
      <c r="C215" s="227" t="s">
        <v>688</v>
      </c>
      <c r="D215" s="227" t="s">
        <v>465</v>
      </c>
      <c r="E215" s="228" t="s">
        <v>3845</v>
      </c>
      <c r="F215" s="229" t="s">
        <v>3846</v>
      </c>
      <c r="G215" s="230" t="s">
        <v>3278</v>
      </c>
      <c r="H215" s="231">
        <v>1</v>
      </c>
      <c r="I215" s="232"/>
      <c r="J215" s="233">
        <f>ROUND(I215*H215,2)</f>
        <v>0</v>
      </c>
      <c r="K215" s="229" t="s">
        <v>19</v>
      </c>
      <c r="L215" s="234"/>
      <c r="M215" s="235" t="s">
        <v>19</v>
      </c>
      <c r="N215" s="236"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546</v>
      </c>
      <c r="AT215" s="192" t="s">
        <v>465</v>
      </c>
      <c r="AU215" s="192" t="s">
        <v>82</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281</v>
      </c>
      <c r="BM215" s="192" t="s">
        <v>3847</v>
      </c>
    </row>
    <row r="216" spans="1:65" s="2" customFormat="1" ht="39">
      <c r="A216" s="36"/>
      <c r="B216" s="37"/>
      <c r="C216" s="38"/>
      <c r="D216" s="196" t="s">
        <v>1226</v>
      </c>
      <c r="E216" s="38"/>
      <c r="F216" s="248" t="s">
        <v>3848</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1226</v>
      </c>
      <c r="AU216" s="19" t="s">
        <v>82</v>
      </c>
    </row>
    <row r="217" spans="1:65" s="2" customFormat="1" ht="16.5" customHeight="1">
      <c r="A217" s="36"/>
      <c r="B217" s="37"/>
      <c r="C217" s="227" t="s">
        <v>699</v>
      </c>
      <c r="D217" s="227" t="s">
        <v>465</v>
      </c>
      <c r="E217" s="228" t="s">
        <v>3849</v>
      </c>
      <c r="F217" s="229" t="s">
        <v>3850</v>
      </c>
      <c r="G217" s="230" t="s">
        <v>3278</v>
      </c>
      <c r="H217" s="231">
        <v>1</v>
      </c>
      <c r="I217" s="232"/>
      <c r="J217" s="233">
        <f>ROUND(I217*H217,2)</f>
        <v>0</v>
      </c>
      <c r="K217" s="229" t="s">
        <v>19</v>
      </c>
      <c r="L217" s="234"/>
      <c r="M217" s="235" t="s">
        <v>19</v>
      </c>
      <c r="N217" s="236" t="s">
        <v>43</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546</v>
      </c>
      <c r="AT217" s="192" t="s">
        <v>465</v>
      </c>
      <c r="AU217" s="192" t="s">
        <v>82</v>
      </c>
      <c r="AY217" s="19" t="s">
        <v>380</v>
      </c>
      <c r="BE217" s="193">
        <f>IF(N217="základní",J217,0)</f>
        <v>0</v>
      </c>
      <c r="BF217" s="193">
        <f>IF(N217="snížená",J217,0)</f>
        <v>0</v>
      </c>
      <c r="BG217" s="193">
        <f>IF(N217="zákl. přenesená",J217,0)</f>
        <v>0</v>
      </c>
      <c r="BH217" s="193">
        <f>IF(N217="sníž. přenesená",J217,0)</f>
        <v>0</v>
      </c>
      <c r="BI217" s="193">
        <f>IF(N217="nulová",J217,0)</f>
        <v>0</v>
      </c>
      <c r="BJ217" s="19" t="s">
        <v>79</v>
      </c>
      <c r="BK217" s="193">
        <f>ROUND(I217*H217,2)</f>
        <v>0</v>
      </c>
      <c r="BL217" s="19" t="s">
        <v>281</v>
      </c>
      <c r="BM217" s="192" t="s">
        <v>3851</v>
      </c>
    </row>
    <row r="218" spans="1:65" s="2" customFormat="1" ht="39">
      <c r="A218" s="36"/>
      <c r="B218" s="37"/>
      <c r="C218" s="38"/>
      <c r="D218" s="196" t="s">
        <v>1226</v>
      </c>
      <c r="E218" s="38"/>
      <c r="F218" s="248" t="s">
        <v>3852</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1226</v>
      </c>
      <c r="AU218" s="19" t="s">
        <v>82</v>
      </c>
    </row>
    <row r="219" spans="1:65" s="2" customFormat="1" ht="16.5" customHeight="1">
      <c r="A219" s="36"/>
      <c r="B219" s="37"/>
      <c r="C219" s="227" t="s">
        <v>703</v>
      </c>
      <c r="D219" s="227" t="s">
        <v>465</v>
      </c>
      <c r="E219" s="228" t="s">
        <v>3853</v>
      </c>
      <c r="F219" s="229" t="s">
        <v>3854</v>
      </c>
      <c r="G219" s="230" t="s">
        <v>3278</v>
      </c>
      <c r="H219" s="231">
        <v>1</v>
      </c>
      <c r="I219" s="232"/>
      <c r="J219" s="233">
        <f>ROUND(I219*H219,2)</f>
        <v>0</v>
      </c>
      <c r="K219" s="229" t="s">
        <v>19</v>
      </c>
      <c r="L219" s="234"/>
      <c r="M219" s="235" t="s">
        <v>19</v>
      </c>
      <c r="N219" s="236" t="s">
        <v>43</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546</v>
      </c>
      <c r="AT219" s="192" t="s">
        <v>465</v>
      </c>
      <c r="AU219" s="192" t="s">
        <v>82</v>
      </c>
      <c r="AY219" s="19" t="s">
        <v>380</v>
      </c>
      <c r="BE219" s="193">
        <f>IF(N219="základní",J219,0)</f>
        <v>0</v>
      </c>
      <c r="BF219" s="193">
        <f>IF(N219="snížená",J219,0)</f>
        <v>0</v>
      </c>
      <c r="BG219" s="193">
        <f>IF(N219="zákl. přenesená",J219,0)</f>
        <v>0</v>
      </c>
      <c r="BH219" s="193">
        <f>IF(N219="sníž. přenesená",J219,0)</f>
        <v>0</v>
      </c>
      <c r="BI219" s="193">
        <f>IF(N219="nulová",J219,0)</f>
        <v>0</v>
      </c>
      <c r="BJ219" s="19" t="s">
        <v>79</v>
      </c>
      <c r="BK219" s="193">
        <f>ROUND(I219*H219,2)</f>
        <v>0</v>
      </c>
      <c r="BL219" s="19" t="s">
        <v>281</v>
      </c>
      <c r="BM219" s="192" t="s">
        <v>3855</v>
      </c>
    </row>
    <row r="220" spans="1:65" s="2" customFormat="1" ht="39">
      <c r="A220" s="36"/>
      <c r="B220" s="37"/>
      <c r="C220" s="38"/>
      <c r="D220" s="196" t="s">
        <v>1226</v>
      </c>
      <c r="E220" s="38"/>
      <c r="F220" s="248" t="s">
        <v>3856</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1226</v>
      </c>
      <c r="AU220" s="19" t="s">
        <v>82</v>
      </c>
    </row>
    <row r="221" spans="1:65" s="2" customFormat="1" ht="16.5" customHeight="1">
      <c r="A221" s="36"/>
      <c r="B221" s="37"/>
      <c r="C221" s="227" t="s">
        <v>709</v>
      </c>
      <c r="D221" s="227" t="s">
        <v>465</v>
      </c>
      <c r="E221" s="228" t="s">
        <v>3857</v>
      </c>
      <c r="F221" s="229" t="s">
        <v>3858</v>
      </c>
      <c r="G221" s="230" t="s">
        <v>3278</v>
      </c>
      <c r="H221" s="231">
        <v>1</v>
      </c>
      <c r="I221" s="232"/>
      <c r="J221" s="233">
        <f>ROUND(I221*H221,2)</f>
        <v>0</v>
      </c>
      <c r="K221" s="229" t="s">
        <v>19</v>
      </c>
      <c r="L221" s="234"/>
      <c r="M221" s="235" t="s">
        <v>19</v>
      </c>
      <c r="N221" s="236"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546</v>
      </c>
      <c r="AT221" s="192" t="s">
        <v>465</v>
      </c>
      <c r="AU221" s="192" t="s">
        <v>82</v>
      </c>
      <c r="AY221" s="19" t="s">
        <v>380</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281</v>
      </c>
      <c r="BM221" s="192" t="s">
        <v>3859</v>
      </c>
    </row>
    <row r="222" spans="1:65" s="2" customFormat="1" ht="39">
      <c r="A222" s="36"/>
      <c r="B222" s="37"/>
      <c r="C222" s="38"/>
      <c r="D222" s="196" t="s">
        <v>1226</v>
      </c>
      <c r="E222" s="38"/>
      <c r="F222" s="248" t="s">
        <v>3860</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1226</v>
      </c>
      <c r="AU222" s="19" t="s">
        <v>82</v>
      </c>
    </row>
    <row r="223" spans="1:65" s="2" customFormat="1" ht="16.5" customHeight="1">
      <c r="A223" s="36"/>
      <c r="B223" s="37"/>
      <c r="C223" s="227" t="s">
        <v>721</v>
      </c>
      <c r="D223" s="227" t="s">
        <v>465</v>
      </c>
      <c r="E223" s="228" t="s">
        <v>3861</v>
      </c>
      <c r="F223" s="229" t="s">
        <v>3862</v>
      </c>
      <c r="G223" s="230" t="s">
        <v>3278</v>
      </c>
      <c r="H223" s="231">
        <v>8</v>
      </c>
      <c r="I223" s="232"/>
      <c r="J223" s="233">
        <f>ROUND(I223*H223,2)</f>
        <v>0</v>
      </c>
      <c r="K223" s="229" t="s">
        <v>19</v>
      </c>
      <c r="L223" s="234"/>
      <c r="M223" s="235" t="s">
        <v>19</v>
      </c>
      <c r="N223" s="236"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546</v>
      </c>
      <c r="AT223" s="192" t="s">
        <v>465</v>
      </c>
      <c r="AU223" s="192" t="s">
        <v>82</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281</v>
      </c>
      <c r="BM223" s="192" t="s">
        <v>3863</v>
      </c>
    </row>
    <row r="224" spans="1:65" s="2" customFormat="1" ht="87.75">
      <c r="A224" s="36"/>
      <c r="B224" s="37"/>
      <c r="C224" s="38"/>
      <c r="D224" s="196" t="s">
        <v>1226</v>
      </c>
      <c r="E224" s="38"/>
      <c r="F224" s="248" t="s">
        <v>3864</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1226</v>
      </c>
      <c r="AU224" s="19" t="s">
        <v>82</v>
      </c>
    </row>
    <row r="225" spans="1:65" s="12" customFormat="1" ht="22.9" customHeight="1">
      <c r="B225" s="165"/>
      <c r="C225" s="166"/>
      <c r="D225" s="167" t="s">
        <v>71</v>
      </c>
      <c r="E225" s="179" t="s">
        <v>3450</v>
      </c>
      <c r="F225" s="179" t="s">
        <v>3451</v>
      </c>
      <c r="G225" s="166"/>
      <c r="H225" s="166"/>
      <c r="I225" s="169"/>
      <c r="J225" s="180">
        <f>BK225</f>
        <v>0</v>
      </c>
      <c r="K225" s="166"/>
      <c r="L225" s="171"/>
      <c r="M225" s="172"/>
      <c r="N225" s="173"/>
      <c r="O225" s="173"/>
      <c r="P225" s="174">
        <f>SUM(P226:P230)</f>
        <v>0</v>
      </c>
      <c r="Q225" s="173"/>
      <c r="R225" s="174">
        <f>SUM(R226:R230)</f>
        <v>0</v>
      </c>
      <c r="S225" s="173"/>
      <c r="T225" s="175">
        <f>SUM(T226:T230)</f>
        <v>0</v>
      </c>
      <c r="AR225" s="176" t="s">
        <v>82</v>
      </c>
      <c r="AT225" s="177" t="s">
        <v>71</v>
      </c>
      <c r="AU225" s="177" t="s">
        <v>79</v>
      </c>
      <c r="AY225" s="176" t="s">
        <v>380</v>
      </c>
      <c r="BK225" s="178">
        <f>SUM(BK226:BK230)</f>
        <v>0</v>
      </c>
    </row>
    <row r="226" spans="1:65" s="2" customFormat="1" ht="16.5" customHeight="1">
      <c r="A226" s="36"/>
      <c r="B226" s="37"/>
      <c r="C226" s="227" t="s">
        <v>733</v>
      </c>
      <c r="D226" s="227" t="s">
        <v>465</v>
      </c>
      <c r="E226" s="228" t="s">
        <v>3452</v>
      </c>
      <c r="F226" s="229" t="s">
        <v>3453</v>
      </c>
      <c r="G226" s="230" t="s">
        <v>2389</v>
      </c>
      <c r="H226" s="231">
        <v>40</v>
      </c>
      <c r="I226" s="232"/>
      <c r="J226" s="233">
        <f>ROUND(I226*H226,2)</f>
        <v>0</v>
      </c>
      <c r="K226" s="229" t="s">
        <v>19</v>
      </c>
      <c r="L226" s="234"/>
      <c r="M226" s="235" t="s">
        <v>19</v>
      </c>
      <c r="N226" s="236"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546</v>
      </c>
      <c r="AT226" s="192" t="s">
        <v>465</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281</v>
      </c>
      <c r="BM226" s="192" t="s">
        <v>3865</v>
      </c>
    </row>
    <row r="227" spans="1:65" s="14" customFormat="1" ht="11.25">
      <c r="B227" s="205"/>
      <c r="C227" s="206"/>
      <c r="D227" s="196" t="s">
        <v>388</v>
      </c>
      <c r="E227" s="207" t="s">
        <v>19</v>
      </c>
      <c r="F227" s="208" t="s">
        <v>3455</v>
      </c>
      <c r="G227" s="206"/>
      <c r="H227" s="209">
        <v>40</v>
      </c>
      <c r="I227" s="210"/>
      <c r="J227" s="206"/>
      <c r="K227" s="206"/>
      <c r="L227" s="211"/>
      <c r="M227" s="212"/>
      <c r="N227" s="213"/>
      <c r="O227" s="213"/>
      <c r="P227" s="213"/>
      <c r="Q227" s="213"/>
      <c r="R227" s="213"/>
      <c r="S227" s="213"/>
      <c r="T227" s="214"/>
      <c r="AT227" s="215" t="s">
        <v>388</v>
      </c>
      <c r="AU227" s="215" t="s">
        <v>82</v>
      </c>
      <c r="AV227" s="14" t="s">
        <v>82</v>
      </c>
      <c r="AW227" s="14" t="s">
        <v>33</v>
      </c>
      <c r="AX227" s="14" t="s">
        <v>79</v>
      </c>
      <c r="AY227" s="215" t="s">
        <v>380</v>
      </c>
    </row>
    <row r="228" spans="1:65" s="2" customFormat="1" ht="16.5" customHeight="1">
      <c r="A228" s="36"/>
      <c r="B228" s="37"/>
      <c r="C228" s="181" t="s">
        <v>744</v>
      </c>
      <c r="D228" s="181" t="s">
        <v>382</v>
      </c>
      <c r="E228" s="182" t="s">
        <v>3456</v>
      </c>
      <c r="F228" s="183" t="s">
        <v>2819</v>
      </c>
      <c r="G228" s="184" t="s">
        <v>2389</v>
      </c>
      <c r="H228" s="185">
        <v>36</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281</v>
      </c>
      <c r="AT228" s="192" t="s">
        <v>382</v>
      </c>
      <c r="AU228" s="192" t="s">
        <v>82</v>
      </c>
      <c r="AY228" s="19" t="s">
        <v>380</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281</v>
      </c>
      <c r="BM228" s="192" t="s">
        <v>3866</v>
      </c>
    </row>
    <row r="229" spans="1:65" s="2" customFormat="1" ht="16.5" customHeight="1">
      <c r="A229" s="36"/>
      <c r="B229" s="37"/>
      <c r="C229" s="181" t="s">
        <v>753</v>
      </c>
      <c r="D229" s="181" t="s">
        <v>382</v>
      </c>
      <c r="E229" s="182" t="s">
        <v>3458</v>
      </c>
      <c r="F229" s="183" t="s">
        <v>3459</v>
      </c>
      <c r="G229" s="184" t="s">
        <v>2389</v>
      </c>
      <c r="H229" s="185">
        <v>36</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281</v>
      </c>
      <c r="AT229" s="192" t="s">
        <v>382</v>
      </c>
      <c r="AU229" s="192" t="s">
        <v>82</v>
      </c>
      <c r="AY229" s="19" t="s">
        <v>380</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281</v>
      </c>
      <c r="BM229" s="192" t="s">
        <v>3867</v>
      </c>
    </row>
    <row r="230" spans="1:65" s="2" customFormat="1" ht="16.5" customHeight="1">
      <c r="A230" s="36"/>
      <c r="B230" s="37"/>
      <c r="C230" s="181" t="s">
        <v>760</v>
      </c>
      <c r="D230" s="181" t="s">
        <v>382</v>
      </c>
      <c r="E230" s="182" t="s">
        <v>3461</v>
      </c>
      <c r="F230" s="183" t="s">
        <v>3462</v>
      </c>
      <c r="G230" s="184" t="s">
        <v>2389</v>
      </c>
      <c r="H230" s="185">
        <v>36</v>
      </c>
      <c r="I230" s="186"/>
      <c r="J230" s="187">
        <f>ROUND(I230*H230,2)</f>
        <v>0</v>
      </c>
      <c r="K230" s="183" t="s">
        <v>19</v>
      </c>
      <c r="L230" s="41"/>
      <c r="M230" s="252" t="s">
        <v>19</v>
      </c>
      <c r="N230" s="253" t="s">
        <v>43</v>
      </c>
      <c r="O230" s="254"/>
      <c r="P230" s="255">
        <f>O230*H230</f>
        <v>0</v>
      </c>
      <c r="Q230" s="255">
        <v>0</v>
      </c>
      <c r="R230" s="255">
        <f>Q230*H230</f>
        <v>0</v>
      </c>
      <c r="S230" s="255">
        <v>0</v>
      </c>
      <c r="T230" s="256">
        <f>S230*H230</f>
        <v>0</v>
      </c>
      <c r="U230" s="36"/>
      <c r="V230" s="36"/>
      <c r="W230" s="36"/>
      <c r="X230" s="36"/>
      <c r="Y230" s="36"/>
      <c r="Z230" s="36"/>
      <c r="AA230" s="36"/>
      <c r="AB230" s="36"/>
      <c r="AC230" s="36"/>
      <c r="AD230" s="36"/>
      <c r="AE230" s="36"/>
      <c r="AR230" s="192" t="s">
        <v>281</v>
      </c>
      <c r="AT230" s="192" t="s">
        <v>382</v>
      </c>
      <c r="AU230" s="192" t="s">
        <v>82</v>
      </c>
      <c r="AY230" s="19" t="s">
        <v>380</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281</v>
      </c>
      <c r="BM230" s="192" t="s">
        <v>3868</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DirmSlZ3SieuQlbPrmBUQoqYjjSi0DV6AJw6ILkk0ustr8bOSDt99/j8MLEOrEeD8uBGTXR58d0LWNsQ4HMO2g==" saltValue="jH67XHj5PyxXOXWipngc7jogwbDi36UrC/xrATcclcZM2njwCf/wxUxBcZfr2ZjmDn5JePFZscdHJzkB3e1hJQ==" spinCount="100000" sheet="1" objects="1" scenarios="1" formatColumns="0" formatRows="0" autoFilter="0"/>
  <autoFilter ref="C94:K230"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3869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ROUND((SUM(BE95:BE175)),  2)</f>
        <v>0</v>
      </c>
      <c r="G37" s="36"/>
      <c r="H37" s="36"/>
      <c r="I37" s="127">
        <v>0.21</v>
      </c>
      <c r="J37" s="126">
        <f>ROUND(((SUM(BE95:BE175))*I37),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ROUND((SUM(BF95:BF175)),  2)</f>
        <v>0</v>
      </c>
      <c r="G38" s="36"/>
      <c r="H38" s="36"/>
      <c r="I38" s="127">
        <v>0.15</v>
      </c>
      <c r="J38" s="126">
        <f>ROUND(((SUM(BF95:BF175))*I38),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08 - Odvětrání hyg. zázemí a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J110</f>
        <v>0</v>
      </c>
      <c r="K70" s="99"/>
      <c r="L70" s="153"/>
    </row>
    <row r="71" spans="1:47" s="10" customFormat="1" ht="19.899999999999999" customHeight="1">
      <c r="B71" s="149"/>
      <c r="C71" s="99"/>
      <c r="D71" s="150" t="s">
        <v>3236</v>
      </c>
      <c r="E71" s="151"/>
      <c r="F71" s="151"/>
      <c r="G71" s="151"/>
      <c r="H71" s="151"/>
      <c r="I71" s="151"/>
      <c r="J71" s="152">
        <f>J170</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08 - Odvětrání hyg. zázemí a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0.26307800000000003</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P97+P110+P170</f>
        <v>0</v>
      </c>
      <c r="Q96" s="173"/>
      <c r="R96" s="174">
        <f>R97+R110+R170</f>
        <v>0.26307800000000003</v>
      </c>
      <c r="S96" s="173"/>
      <c r="T96" s="175">
        <f>T97+T110+T170</f>
        <v>0</v>
      </c>
      <c r="AR96" s="176" t="s">
        <v>82</v>
      </c>
      <c r="AT96" s="177" t="s">
        <v>71</v>
      </c>
      <c r="AU96" s="177" t="s">
        <v>72</v>
      </c>
      <c r="AY96" s="176" t="s">
        <v>380</v>
      </c>
      <c r="BK96" s="178">
        <f>BK97+BK110+BK170</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SUM(P98:P109)</f>
        <v>0</v>
      </c>
      <c r="Q97" s="173"/>
      <c r="R97" s="174">
        <f>SUM(R98:R109)</f>
        <v>9.8025000000000001E-2</v>
      </c>
      <c r="S97" s="173"/>
      <c r="T97" s="175">
        <f>SUM(T98:T109)</f>
        <v>0</v>
      </c>
      <c r="AR97" s="176" t="s">
        <v>82</v>
      </c>
      <c r="AT97" s="177" t="s">
        <v>71</v>
      </c>
      <c r="AU97" s="177" t="s">
        <v>79</v>
      </c>
      <c r="AY97" s="176" t="s">
        <v>380</v>
      </c>
      <c r="BK97" s="178">
        <f>SUM(BK98:BK109)</f>
        <v>0</v>
      </c>
    </row>
    <row r="98" spans="1:65" s="2" customFormat="1" ht="24.2" customHeight="1">
      <c r="A98" s="36"/>
      <c r="B98" s="37"/>
      <c r="C98" s="181" t="s">
        <v>79</v>
      </c>
      <c r="D98" s="181" t="s">
        <v>382</v>
      </c>
      <c r="E98" s="182" t="s">
        <v>3237</v>
      </c>
      <c r="F98" s="183" t="s">
        <v>3238</v>
      </c>
      <c r="G98" s="184" t="s">
        <v>398</v>
      </c>
      <c r="H98" s="185">
        <v>20.5</v>
      </c>
      <c r="I98" s="186"/>
      <c r="J98" s="187">
        <f>ROUND(I98*H98,2)</f>
        <v>0</v>
      </c>
      <c r="K98" s="183" t="s">
        <v>3239</v>
      </c>
      <c r="L98" s="41"/>
      <c r="M98" s="188" t="s">
        <v>19</v>
      </c>
      <c r="N98" s="189" t="s">
        <v>43</v>
      </c>
      <c r="O98" s="66"/>
      <c r="P98" s="190">
        <f>O98*H98</f>
        <v>0</v>
      </c>
      <c r="Q98" s="190">
        <v>1.5100000000000001E-3</v>
      </c>
      <c r="R98" s="190">
        <f>Q98*H98</f>
        <v>3.0955E-2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3870</v>
      </c>
    </row>
    <row r="99" spans="1:65" s="2" customFormat="1" ht="16.5" customHeight="1">
      <c r="A99" s="36"/>
      <c r="B99" s="37"/>
      <c r="C99" s="227" t="s">
        <v>82</v>
      </c>
      <c r="D99" s="227" t="s">
        <v>465</v>
      </c>
      <c r="E99" s="228" t="s">
        <v>3241</v>
      </c>
      <c r="F99" s="229" t="s">
        <v>3242</v>
      </c>
      <c r="G99" s="230" t="s">
        <v>398</v>
      </c>
      <c r="H99" s="231">
        <v>6.5</v>
      </c>
      <c r="I99" s="232"/>
      <c r="J99" s="233">
        <f>ROUND(I99*H99,2)</f>
        <v>0</v>
      </c>
      <c r="K99" s="229" t="s">
        <v>3239</v>
      </c>
      <c r="L99" s="234"/>
      <c r="M99" s="235" t="s">
        <v>19</v>
      </c>
      <c r="N99" s="236" t="s">
        <v>43</v>
      </c>
      <c r="O99" s="66"/>
      <c r="P99" s="190">
        <f>O99*H99</f>
        <v>0</v>
      </c>
      <c r="Q99" s="190">
        <v>2E-3</v>
      </c>
      <c r="R99" s="190">
        <f>Q99*H99</f>
        <v>1.3000000000000001E-2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3871</v>
      </c>
    </row>
    <row r="100" spans="1:65" s="14" customFormat="1" ht="11.25">
      <c r="B100" s="205"/>
      <c r="C100" s="206"/>
      <c r="D100" s="196" t="s">
        <v>388</v>
      </c>
      <c r="E100" s="207" t="s">
        <v>19</v>
      </c>
      <c r="F100" s="208" t="s">
        <v>3872</v>
      </c>
      <c r="G100" s="206"/>
      <c r="H100" s="209">
        <v>6.5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2</v>
      </c>
      <c r="I101" s="232"/>
      <c r="J101" s="233">
        <f>ROUND(I101*H101,2)</f>
        <v>0</v>
      </c>
      <c r="K101" s="229" t="s">
        <v>3239</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3873</v>
      </c>
    </row>
    <row r="102" spans="1:65" s="14" customFormat="1" ht="11.25">
      <c r="B102" s="205"/>
      <c r="C102" s="206"/>
      <c r="D102" s="196" t="s">
        <v>388</v>
      </c>
      <c r="E102" s="207" t="s">
        <v>19</v>
      </c>
      <c r="F102" s="208" t="s">
        <v>3874</v>
      </c>
      <c r="G102" s="206"/>
      <c r="H102" s="209">
        <v>2</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3254</v>
      </c>
      <c r="F103" s="229" t="s">
        <v>3255</v>
      </c>
      <c r="G103" s="230" t="s">
        <v>398</v>
      </c>
      <c r="H103" s="231">
        <v>12</v>
      </c>
      <c r="I103" s="232"/>
      <c r="J103" s="233">
        <f>ROUND(I103*H103,2)</f>
        <v>0</v>
      </c>
      <c r="K103" s="229" t="s">
        <v>3239</v>
      </c>
      <c r="L103" s="234"/>
      <c r="M103" s="235" t="s">
        <v>19</v>
      </c>
      <c r="N103" s="236" t="s">
        <v>43</v>
      </c>
      <c r="O103" s="66"/>
      <c r="P103" s="190">
        <f>O103*H103</f>
        <v>0</v>
      </c>
      <c r="Q103" s="190">
        <v>4.0000000000000001E-3</v>
      </c>
      <c r="R103" s="190">
        <f>Q103*H103</f>
        <v>4.8000000000000001E-2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3875</v>
      </c>
    </row>
    <row r="104" spans="1:65" s="14" customFormat="1" ht="11.25">
      <c r="B104" s="205"/>
      <c r="C104" s="206"/>
      <c r="D104" s="196" t="s">
        <v>388</v>
      </c>
      <c r="E104" s="207" t="s">
        <v>19</v>
      </c>
      <c r="F104" s="208" t="s">
        <v>3876</v>
      </c>
      <c r="G104" s="206"/>
      <c r="H104" s="209">
        <v>12</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405</v>
      </c>
      <c r="D105" s="181" t="s">
        <v>382</v>
      </c>
      <c r="E105" s="182" t="s">
        <v>3258</v>
      </c>
      <c r="F105" s="183" t="s">
        <v>3259</v>
      </c>
      <c r="G105" s="184" t="s">
        <v>398</v>
      </c>
      <c r="H105" s="185">
        <v>1</v>
      </c>
      <c r="I105" s="186"/>
      <c r="J105" s="187">
        <f>ROUND(I105*H105,2)</f>
        <v>0</v>
      </c>
      <c r="K105" s="183" t="s">
        <v>3239</v>
      </c>
      <c r="L105" s="41"/>
      <c r="M105" s="188" t="s">
        <v>19</v>
      </c>
      <c r="N105" s="189" t="s">
        <v>43</v>
      </c>
      <c r="O105" s="66"/>
      <c r="P105" s="190">
        <f>O105*H105</f>
        <v>0</v>
      </c>
      <c r="Q105" s="190">
        <v>6.9999999999999994E-5</v>
      </c>
      <c r="R105" s="190">
        <f>Q105*H105</f>
        <v>6.9999999999999994E-5</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3877</v>
      </c>
    </row>
    <row r="106" spans="1:65" s="2" customFormat="1" ht="16.5" customHeight="1">
      <c r="A106" s="36"/>
      <c r="B106" s="37"/>
      <c r="C106" s="227" t="s">
        <v>411</v>
      </c>
      <c r="D106" s="227" t="s">
        <v>465</v>
      </c>
      <c r="E106" s="228" t="s">
        <v>3261</v>
      </c>
      <c r="F106" s="229" t="s">
        <v>3262</v>
      </c>
      <c r="G106" s="230" t="s">
        <v>398</v>
      </c>
      <c r="H106" s="231">
        <v>1</v>
      </c>
      <c r="I106" s="232"/>
      <c r="J106" s="233">
        <f>ROUND(I106*H106,2)</f>
        <v>0</v>
      </c>
      <c r="K106" s="229" t="s">
        <v>19</v>
      </c>
      <c r="L106" s="234"/>
      <c r="M106" s="235" t="s">
        <v>19</v>
      </c>
      <c r="N106" s="236"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546</v>
      </c>
      <c r="AT106" s="192" t="s">
        <v>465</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3878</v>
      </c>
    </row>
    <row r="107" spans="1:65" s="14" customFormat="1" ht="11.25">
      <c r="B107" s="205"/>
      <c r="C107" s="206"/>
      <c r="D107" s="196" t="s">
        <v>388</v>
      </c>
      <c r="E107" s="207" t="s">
        <v>19</v>
      </c>
      <c r="F107" s="208" t="s">
        <v>79</v>
      </c>
      <c r="G107" s="206"/>
      <c r="H107" s="209">
        <v>1</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24.2" customHeight="1">
      <c r="A108" s="36"/>
      <c r="B108" s="37"/>
      <c r="C108" s="181" t="s">
        <v>420</v>
      </c>
      <c r="D108" s="181" t="s">
        <v>382</v>
      </c>
      <c r="E108" s="182" t="s">
        <v>3265</v>
      </c>
      <c r="F108" s="183" t="s">
        <v>3266</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3879</v>
      </c>
    </row>
    <row r="109" spans="1:65" s="2" customFormat="1" ht="24.2" customHeight="1">
      <c r="A109" s="36"/>
      <c r="B109" s="37"/>
      <c r="C109" s="181" t="s">
        <v>424</v>
      </c>
      <c r="D109" s="181" t="s">
        <v>382</v>
      </c>
      <c r="E109" s="182" t="s">
        <v>3268</v>
      </c>
      <c r="F109" s="183" t="s">
        <v>3269</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3880</v>
      </c>
    </row>
    <row r="110" spans="1:65" s="12" customFormat="1" ht="22.9" customHeight="1">
      <c r="B110" s="165"/>
      <c r="C110" s="166"/>
      <c r="D110" s="167" t="s">
        <v>71</v>
      </c>
      <c r="E110" s="179" t="s">
        <v>3271</v>
      </c>
      <c r="F110" s="179" t="s">
        <v>3272</v>
      </c>
      <c r="G110" s="166"/>
      <c r="H110" s="166"/>
      <c r="I110" s="169"/>
      <c r="J110" s="180">
        <f>BK110</f>
        <v>0</v>
      </c>
      <c r="K110" s="166"/>
      <c r="L110" s="171"/>
      <c r="M110" s="172"/>
      <c r="N110" s="173"/>
      <c r="O110" s="173"/>
      <c r="P110" s="174">
        <f>SUM(P111:P169)</f>
        <v>0</v>
      </c>
      <c r="Q110" s="173"/>
      <c r="R110" s="174">
        <f>SUM(R111:R169)</f>
        <v>0.16505300000000001</v>
      </c>
      <c r="S110" s="173"/>
      <c r="T110" s="175">
        <f>SUM(T111:T169)</f>
        <v>0</v>
      </c>
      <c r="AR110" s="176" t="s">
        <v>82</v>
      </c>
      <c r="AT110" s="177" t="s">
        <v>71</v>
      </c>
      <c r="AU110" s="177" t="s">
        <v>79</v>
      </c>
      <c r="AY110" s="176" t="s">
        <v>380</v>
      </c>
      <c r="BK110" s="178">
        <f>SUM(BK111:BK169)</f>
        <v>0</v>
      </c>
    </row>
    <row r="111" spans="1:65" s="2" customFormat="1" ht="16.5" customHeight="1">
      <c r="A111" s="36"/>
      <c r="B111" s="37"/>
      <c r="C111" s="181" t="s">
        <v>430</v>
      </c>
      <c r="D111" s="181" t="s">
        <v>382</v>
      </c>
      <c r="E111" s="182" t="s">
        <v>3881</v>
      </c>
      <c r="F111" s="183" t="s">
        <v>3882</v>
      </c>
      <c r="G111" s="184" t="s">
        <v>641</v>
      </c>
      <c r="H111" s="185">
        <v>1</v>
      </c>
      <c r="I111" s="186"/>
      <c r="J111" s="187">
        <f>ROUND(I111*H111,2)</f>
        <v>0</v>
      </c>
      <c r="K111" s="183" t="s">
        <v>3239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281</v>
      </c>
      <c r="AT111" s="192" t="s">
        <v>382</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3883</v>
      </c>
    </row>
    <row r="112" spans="1:65" s="2" customFormat="1" ht="16.5" customHeight="1">
      <c r="A112" s="36"/>
      <c r="B112" s="37"/>
      <c r="C112" s="227" t="s">
        <v>122</v>
      </c>
      <c r="D112" s="227" t="s">
        <v>465</v>
      </c>
      <c r="E112" s="228" t="s">
        <v>3438</v>
      </c>
      <c r="F112" s="229" t="s">
        <v>3884</v>
      </c>
      <c r="G112" s="230" t="s">
        <v>3278</v>
      </c>
      <c r="H112" s="231">
        <v>1</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546</v>
      </c>
      <c r="AT112" s="192" t="s">
        <v>465</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3885</v>
      </c>
    </row>
    <row r="113" spans="1:65" s="2" customFormat="1" ht="39">
      <c r="A113" s="36"/>
      <c r="B113" s="37"/>
      <c r="C113" s="38"/>
      <c r="D113" s="196" t="s">
        <v>1226</v>
      </c>
      <c r="E113" s="38"/>
      <c r="F113" s="248" t="s">
        <v>3886</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125</v>
      </c>
      <c r="D114" s="181" t="s">
        <v>382</v>
      </c>
      <c r="E114" s="182" t="s">
        <v>3273</v>
      </c>
      <c r="F114" s="183" t="s">
        <v>3274</v>
      </c>
      <c r="G114" s="184" t="s">
        <v>641</v>
      </c>
      <c r="H114" s="185">
        <v>3</v>
      </c>
      <c r="I114" s="186"/>
      <c r="J114" s="187">
        <f>ROUND(I114*H114,2)</f>
        <v>0</v>
      </c>
      <c r="K114" s="183" t="s">
        <v>3239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3887</v>
      </c>
    </row>
    <row r="115" spans="1:65" s="2" customFormat="1" ht="16.5" customHeight="1">
      <c r="A115" s="36"/>
      <c r="B115" s="37"/>
      <c r="C115" s="227" t="s">
        <v>128</v>
      </c>
      <c r="D115" s="227" t="s">
        <v>465</v>
      </c>
      <c r="E115" s="228" t="s">
        <v>3888</v>
      </c>
      <c r="F115" s="229" t="s">
        <v>3889</v>
      </c>
      <c r="G115" s="230" t="s">
        <v>641</v>
      </c>
      <c r="H115" s="231">
        <v>3</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3890</v>
      </c>
    </row>
    <row r="116" spans="1:65" s="2" customFormat="1" ht="29.25">
      <c r="A116" s="36"/>
      <c r="B116" s="37"/>
      <c r="C116" s="38"/>
      <c r="D116" s="196" t="s">
        <v>1226</v>
      </c>
      <c r="E116" s="38"/>
      <c r="F116" s="248" t="s">
        <v>3891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131</v>
      </c>
      <c r="D117" s="181" t="s">
        <v>382</v>
      </c>
      <c r="E117" s="182" t="s">
        <v>3892</v>
      </c>
      <c r="F117" s="183" t="s">
        <v>3893</v>
      </c>
      <c r="G117" s="184" t="s">
        <v>641</v>
      </c>
      <c r="H117" s="185">
        <v>4</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3894</v>
      </c>
    </row>
    <row r="118" spans="1:65" s="2" customFormat="1" ht="16.5" customHeight="1">
      <c r="A118" s="36"/>
      <c r="B118" s="37"/>
      <c r="C118" s="227" t="s">
        <v>134</v>
      </c>
      <c r="D118" s="227" t="s">
        <v>465</v>
      </c>
      <c r="E118" s="228" t="s">
        <v>3895</v>
      </c>
      <c r="F118" s="229" t="s">
        <v>3896</v>
      </c>
      <c r="G118" s="230" t="s">
        <v>641</v>
      </c>
      <c r="H118" s="231">
        <v>3</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3897</v>
      </c>
    </row>
    <row r="119" spans="1:65" s="2" customFormat="1" ht="29.25">
      <c r="A119" s="36"/>
      <c r="B119" s="37"/>
      <c r="C119" s="38"/>
      <c r="D119" s="196" t="s">
        <v>1226</v>
      </c>
      <c r="E119" s="38"/>
      <c r="F119" s="248" t="s">
        <v>3898</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227" t="s">
        <v>8</v>
      </c>
      <c r="D120" s="227" t="s">
        <v>465</v>
      </c>
      <c r="E120" s="228" t="s">
        <v>3899</v>
      </c>
      <c r="F120" s="229" t="s">
        <v>3900</v>
      </c>
      <c r="G120" s="230" t="s">
        <v>641</v>
      </c>
      <c r="H120" s="231">
        <v>1</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546</v>
      </c>
      <c r="AT120" s="192" t="s">
        <v>465</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3901</v>
      </c>
    </row>
    <row r="121" spans="1:65" s="2" customFormat="1" ht="29.25">
      <c r="A121" s="36"/>
      <c r="B121" s="37"/>
      <c r="C121" s="38"/>
      <c r="D121" s="196" t="s">
        <v>1226</v>
      </c>
      <c r="E121" s="38"/>
      <c r="F121" s="248" t="s">
        <v>3902</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1226</v>
      </c>
      <c r="AU121" s="19" t="s">
        <v>82</v>
      </c>
    </row>
    <row r="122" spans="1:65" s="2" customFormat="1" ht="24.2" customHeight="1">
      <c r="A122" s="36"/>
      <c r="B122" s="37"/>
      <c r="C122" s="181" t="s">
        <v>281</v>
      </c>
      <c r="D122" s="181" t="s">
        <v>382</v>
      </c>
      <c r="E122" s="182" t="s">
        <v>3903</v>
      </c>
      <c r="F122" s="183" t="s">
        <v>3904</v>
      </c>
      <c r="G122" s="184" t="s">
        <v>452</v>
      </c>
      <c r="H122" s="185">
        <v>1.95</v>
      </c>
      <c r="I122" s="186"/>
      <c r="J122" s="187">
        <f>ROUND(I122*H122,2)</f>
        <v>0</v>
      </c>
      <c r="K122" s="183" t="s">
        <v>3239</v>
      </c>
      <c r="L122" s="41"/>
      <c r="M122" s="188" t="s">
        <v>19</v>
      </c>
      <c r="N122" s="189" t="s">
        <v>43</v>
      </c>
      <c r="O122" s="66"/>
      <c r="P122" s="190">
        <f>O122*H122</f>
        <v>0</v>
      </c>
      <c r="Q122" s="190">
        <v>1.75E-3</v>
      </c>
      <c r="R122" s="190">
        <f>Q122*H122</f>
        <v>3.4125000000000002E-3</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3905</v>
      </c>
    </row>
    <row r="123" spans="1:65" s="2" customFormat="1" ht="29.25">
      <c r="A123" s="36"/>
      <c r="B123" s="37"/>
      <c r="C123" s="38"/>
      <c r="D123" s="196" t="s">
        <v>1226</v>
      </c>
      <c r="E123" s="38"/>
      <c r="F123" s="248" t="s">
        <v>3318</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1226</v>
      </c>
      <c r="AU123" s="19" t="s">
        <v>82</v>
      </c>
    </row>
    <row r="124" spans="1:65" s="13" customFormat="1" ht="11.25">
      <c r="B124" s="194"/>
      <c r="C124" s="195"/>
      <c r="D124" s="196" t="s">
        <v>388</v>
      </c>
      <c r="E124" s="197" t="s">
        <v>19</v>
      </c>
      <c r="F124" s="198" t="s">
        <v>3906</v>
      </c>
      <c r="G124" s="195"/>
      <c r="H124" s="197" t="s">
        <v>19</v>
      </c>
      <c r="I124" s="199"/>
      <c r="J124" s="195"/>
      <c r="K124" s="195"/>
      <c r="L124" s="200"/>
      <c r="M124" s="201"/>
      <c r="N124" s="202"/>
      <c r="O124" s="202"/>
      <c r="P124" s="202"/>
      <c r="Q124" s="202"/>
      <c r="R124" s="202"/>
      <c r="S124" s="202"/>
      <c r="T124" s="203"/>
      <c r="AT124" s="204" t="s">
        <v>388</v>
      </c>
      <c r="AU124" s="204" t="s">
        <v>82</v>
      </c>
      <c r="AV124" s="13" t="s">
        <v>79</v>
      </c>
      <c r="AW124" s="13" t="s">
        <v>33</v>
      </c>
      <c r="AX124" s="13" t="s">
        <v>72</v>
      </c>
      <c r="AY124" s="204" t="s">
        <v>380</v>
      </c>
    </row>
    <row r="125" spans="1:65" s="14" customFormat="1" ht="11.25">
      <c r="B125" s="205"/>
      <c r="C125" s="206"/>
      <c r="D125" s="196" t="s">
        <v>388</v>
      </c>
      <c r="E125" s="207" t="s">
        <v>19</v>
      </c>
      <c r="F125" s="208" t="s">
        <v>3343</v>
      </c>
      <c r="G125" s="206"/>
      <c r="H125" s="209">
        <v>1.95</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2" customFormat="1" ht="24.2" customHeight="1">
      <c r="A126" s="36"/>
      <c r="B126" s="37"/>
      <c r="C126" s="181" t="s">
        <v>471</v>
      </c>
      <c r="D126" s="181" t="s">
        <v>382</v>
      </c>
      <c r="E126" s="182" t="s">
        <v>3344</v>
      </c>
      <c r="F126" s="183" t="s">
        <v>3345</v>
      </c>
      <c r="G126" s="184" t="s">
        <v>452</v>
      </c>
      <c r="H126" s="185">
        <v>10.4</v>
      </c>
      <c r="I126" s="186"/>
      <c r="J126" s="187">
        <f>ROUND(I126*H126,2)</f>
        <v>0</v>
      </c>
      <c r="K126" s="183" t="s">
        <v>3239</v>
      </c>
      <c r="L126" s="41"/>
      <c r="M126" s="188" t="s">
        <v>19</v>
      </c>
      <c r="N126" s="189" t="s">
        <v>43</v>
      </c>
      <c r="O126" s="66"/>
      <c r="P126" s="190">
        <f>O126*H126</f>
        <v>0</v>
      </c>
      <c r="Q126" s="190">
        <v>3.1199999999999999E-3</v>
      </c>
      <c r="R126" s="190">
        <f>Q126*H126</f>
        <v>3.2447999999999998E-2</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3907</v>
      </c>
    </row>
    <row r="127" spans="1:65" s="2" customFormat="1" ht="29.25">
      <c r="A127" s="36"/>
      <c r="B127" s="37"/>
      <c r="C127" s="38"/>
      <c r="D127" s="196" t="s">
        <v>1226</v>
      </c>
      <c r="E127" s="38"/>
      <c r="F127" s="248" t="s">
        <v>3318</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1226</v>
      </c>
      <c r="AU127" s="19" t="s">
        <v>82</v>
      </c>
    </row>
    <row r="128" spans="1:65" s="13" customFormat="1" ht="11.25">
      <c r="B128" s="194"/>
      <c r="C128" s="195"/>
      <c r="D128" s="196" t="s">
        <v>388</v>
      </c>
      <c r="E128" s="197" t="s">
        <v>19</v>
      </c>
      <c r="F128" s="198" t="s">
        <v>3347</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3908</v>
      </c>
      <c r="G129" s="206"/>
      <c r="H129" s="209">
        <v>0.65</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3909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3760</v>
      </c>
      <c r="G131" s="206"/>
      <c r="H131" s="209">
        <v>5.2</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3910</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3911</v>
      </c>
      <c r="G133" s="206"/>
      <c r="H133" s="209">
        <v>1.3</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3" customFormat="1" ht="11.25">
      <c r="B134" s="194"/>
      <c r="C134" s="195"/>
      <c r="D134" s="196" t="s">
        <v>388</v>
      </c>
      <c r="E134" s="197" t="s">
        <v>19</v>
      </c>
      <c r="F134" s="198" t="s">
        <v>3351</v>
      </c>
      <c r="G134" s="195"/>
      <c r="H134" s="197" t="s">
        <v>19</v>
      </c>
      <c r="I134" s="199"/>
      <c r="J134" s="195"/>
      <c r="K134" s="195"/>
      <c r="L134" s="200"/>
      <c r="M134" s="201"/>
      <c r="N134" s="202"/>
      <c r="O134" s="202"/>
      <c r="P134" s="202"/>
      <c r="Q134" s="202"/>
      <c r="R134" s="202"/>
      <c r="S134" s="202"/>
      <c r="T134" s="203"/>
      <c r="AT134" s="204" t="s">
        <v>388</v>
      </c>
      <c r="AU134" s="204" t="s">
        <v>82</v>
      </c>
      <c r="AV134" s="13" t="s">
        <v>79</v>
      </c>
      <c r="AW134" s="13" t="s">
        <v>33</v>
      </c>
      <c r="AX134" s="13" t="s">
        <v>72</v>
      </c>
      <c r="AY134" s="204" t="s">
        <v>380</v>
      </c>
    </row>
    <row r="135" spans="1:65" s="14" customFormat="1" ht="11.25">
      <c r="B135" s="205"/>
      <c r="C135" s="206"/>
      <c r="D135" s="196" t="s">
        <v>388</v>
      </c>
      <c r="E135" s="207" t="s">
        <v>19</v>
      </c>
      <c r="F135" s="208" t="s">
        <v>3912</v>
      </c>
      <c r="G135" s="206"/>
      <c r="H135" s="209">
        <v>3.25</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5" customFormat="1" ht="11.25">
      <c r="B136" s="216"/>
      <c r="C136" s="217"/>
      <c r="D136" s="196" t="s">
        <v>388</v>
      </c>
      <c r="E136" s="218" t="s">
        <v>19</v>
      </c>
      <c r="F136" s="219" t="s">
        <v>419</v>
      </c>
      <c r="G136" s="217"/>
      <c r="H136" s="220">
        <v>10.4</v>
      </c>
      <c r="I136" s="221"/>
      <c r="J136" s="217"/>
      <c r="K136" s="217"/>
      <c r="L136" s="222"/>
      <c r="M136" s="223"/>
      <c r="N136" s="224"/>
      <c r="O136" s="224"/>
      <c r="P136" s="224"/>
      <c r="Q136" s="224"/>
      <c r="R136" s="224"/>
      <c r="S136" s="224"/>
      <c r="T136" s="225"/>
      <c r="AT136" s="226" t="s">
        <v>388</v>
      </c>
      <c r="AU136" s="226" t="s">
        <v>82</v>
      </c>
      <c r="AV136" s="15" t="s">
        <v>386</v>
      </c>
      <c r="AW136" s="15" t="s">
        <v>33</v>
      </c>
      <c r="AX136" s="15" t="s">
        <v>79</v>
      </c>
      <c r="AY136" s="226" t="s">
        <v>380</v>
      </c>
    </row>
    <row r="137" spans="1:65" s="2" customFormat="1" ht="24.2" customHeight="1">
      <c r="A137" s="36"/>
      <c r="B137" s="37"/>
      <c r="C137" s="181" t="s">
        <v>477</v>
      </c>
      <c r="D137" s="181" t="s">
        <v>382</v>
      </c>
      <c r="E137" s="182" t="s">
        <v>3353</v>
      </c>
      <c r="F137" s="183" t="s">
        <v>3354</v>
      </c>
      <c r="G137" s="184" t="s">
        <v>452</v>
      </c>
      <c r="H137" s="185">
        <v>16.25</v>
      </c>
      <c r="I137" s="186"/>
      <c r="J137" s="187">
        <f>ROUND(I137*H137,2)</f>
        <v>0</v>
      </c>
      <c r="K137" s="183" t="s">
        <v>3239</v>
      </c>
      <c r="L137" s="41"/>
      <c r="M137" s="188" t="s">
        <v>19</v>
      </c>
      <c r="N137" s="189" t="s">
        <v>43</v>
      </c>
      <c r="O137" s="66"/>
      <c r="P137" s="190">
        <f>O137*H137</f>
        <v>0</v>
      </c>
      <c r="Q137" s="190">
        <v>6.5300000000000002E-3</v>
      </c>
      <c r="R137" s="190">
        <f>Q137*H137</f>
        <v>0.1061125</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3913</v>
      </c>
    </row>
    <row r="138" spans="1:65" s="2" customFormat="1" ht="29.25">
      <c r="A138" s="36"/>
      <c r="B138" s="37"/>
      <c r="C138" s="38"/>
      <c r="D138" s="196" t="s">
        <v>1226</v>
      </c>
      <c r="E138" s="38"/>
      <c r="F138" s="248" t="s">
        <v>3318</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1226</v>
      </c>
      <c r="AU138" s="19" t="s">
        <v>82</v>
      </c>
    </row>
    <row r="139" spans="1:65" s="13" customFormat="1" ht="11.25">
      <c r="B139" s="194"/>
      <c r="C139" s="195"/>
      <c r="D139" s="196" t="s">
        <v>388</v>
      </c>
      <c r="E139" s="197" t="s">
        <v>19</v>
      </c>
      <c r="F139" s="198" t="s">
        <v>3496</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3914</v>
      </c>
      <c r="G140" s="206"/>
      <c r="H140" s="209">
        <v>16.25</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5" customFormat="1" ht="11.25">
      <c r="B141" s="216"/>
      <c r="C141" s="217"/>
      <c r="D141" s="196" t="s">
        <v>388</v>
      </c>
      <c r="E141" s="218" t="s">
        <v>19</v>
      </c>
      <c r="F141" s="219" t="s">
        <v>419</v>
      </c>
      <c r="G141" s="217"/>
      <c r="H141" s="220">
        <v>16.25</v>
      </c>
      <c r="I141" s="221"/>
      <c r="J141" s="217"/>
      <c r="K141" s="217"/>
      <c r="L141" s="222"/>
      <c r="M141" s="223"/>
      <c r="N141" s="224"/>
      <c r="O141" s="224"/>
      <c r="P141" s="224"/>
      <c r="Q141" s="224"/>
      <c r="R141" s="224"/>
      <c r="S141" s="224"/>
      <c r="T141" s="225"/>
      <c r="AT141" s="226" t="s">
        <v>388</v>
      </c>
      <c r="AU141" s="226" t="s">
        <v>82</v>
      </c>
      <c r="AV141" s="15" t="s">
        <v>386</v>
      </c>
      <c r="AW141" s="15" t="s">
        <v>33</v>
      </c>
      <c r="AX141" s="15" t="s">
        <v>79</v>
      </c>
      <c r="AY141" s="226" t="s">
        <v>380</v>
      </c>
    </row>
    <row r="142" spans="1:65" s="2" customFormat="1" ht="16.5" customHeight="1">
      <c r="A142" s="36"/>
      <c r="B142" s="37"/>
      <c r="C142" s="181" t="s">
        <v>284</v>
      </c>
      <c r="D142" s="181" t="s">
        <v>382</v>
      </c>
      <c r="E142" s="182" t="s">
        <v>3915</v>
      </c>
      <c r="F142" s="183" t="s">
        <v>3916</v>
      </c>
      <c r="G142" s="184" t="s">
        <v>452</v>
      </c>
      <c r="H142" s="185">
        <v>1.3</v>
      </c>
      <c r="I142" s="186"/>
      <c r="J142" s="187">
        <f>ROUND(I142*H142,2)</f>
        <v>0</v>
      </c>
      <c r="K142" s="183" t="s">
        <v>3239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281</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281</v>
      </c>
      <c r="BM142" s="192" t="s">
        <v>3917</v>
      </c>
    </row>
    <row r="143" spans="1:65" s="2" customFormat="1" ht="16.5" customHeight="1">
      <c r="A143" s="36"/>
      <c r="B143" s="37"/>
      <c r="C143" s="227" t="s">
        <v>486</v>
      </c>
      <c r="D143" s="227" t="s">
        <v>465</v>
      </c>
      <c r="E143" s="228" t="s">
        <v>3918</v>
      </c>
      <c r="F143" s="229" t="s">
        <v>3919</v>
      </c>
      <c r="G143" s="230" t="s">
        <v>452</v>
      </c>
      <c r="H143" s="231">
        <v>1.3</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546</v>
      </c>
      <c r="AT143" s="192" t="s">
        <v>465</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3920</v>
      </c>
    </row>
    <row r="144" spans="1:65" s="2" customFormat="1" ht="117">
      <c r="A144" s="36"/>
      <c r="B144" s="37"/>
      <c r="C144" s="38"/>
      <c r="D144" s="196" t="s">
        <v>1226</v>
      </c>
      <c r="E144" s="38"/>
      <c r="F144" s="248" t="s">
        <v>3378</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1226</v>
      </c>
      <c r="AU144" s="19" t="s">
        <v>82</v>
      </c>
    </row>
    <row r="145" spans="1:65" s="14" customFormat="1" ht="11.25">
      <c r="B145" s="205"/>
      <c r="C145" s="206"/>
      <c r="D145" s="196" t="s">
        <v>388</v>
      </c>
      <c r="E145" s="207" t="s">
        <v>19</v>
      </c>
      <c r="F145" s="208" t="s">
        <v>3911</v>
      </c>
      <c r="G145" s="206"/>
      <c r="H145" s="209">
        <v>1.3</v>
      </c>
      <c r="I145" s="210"/>
      <c r="J145" s="206"/>
      <c r="K145" s="206"/>
      <c r="L145" s="211"/>
      <c r="M145" s="212"/>
      <c r="N145" s="213"/>
      <c r="O145" s="213"/>
      <c r="P145" s="213"/>
      <c r="Q145" s="213"/>
      <c r="R145" s="213"/>
      <c r="S145" s="213"/>
      <c r="T145" s="214"/>
      <c r="AT145" s="215" t="s">
        <v>388</v>
      </c>
      <c r="AU145" s="215" t="s">
        <v>82</v>
      </c>
      <c r="AV145" s="14" t="s">
        <v>82</v>
      </c>
      <c r="AW145" s="14" t="s">
        <v>33</v>
      </c>
      <c r="AX145" s="14" t="s">
        <v>72</v>
      </c>
      <c r="AY145" s="215" t="s">
        <v>380</v>
      </c>
    </row>
    <row r="146" spans="1:65" s="15" customFormat="1" ht="11.25">
      <c r="B146" s="216"/>
      <c r="C146" s="217"/>
      <c r="D146" s="196" t="s">
        <v>388</v>
      </c>
      <c r="E146" s="218" t="s">
        <v>19</v>
      </c>
      <c r="F146" s="219" t="s">
        <v>419</v>
      </c>
      <c r="G146" s="217"/>
      <c r="H146" s="220">
        <v>1.3</v>
      </c>
      <c r="I146" s="221"/>
      <c r="J146" s="217"/>
      <c r="K146" s="217"/>
      <c r="L146" s="222"/>
      <c r="M146" s="223"/>
      <c r="N146" s="224"/>
      <c r="O146" s="224"/>
      <c r="P146" s="224"/>
      <c r="Q146" s="224"/>
      <c r="R146" s="224"/>
      <c r="S146" s="224"/>
      <c r="T146" s="225"/>
      <c r="AT146" s="226" t="s">
        <v>388</v>
      </c>
      <c r="AU146" s="226" t="s">
        <v>82</v>
      </c>
      <c r="AV146" s="15" t="s">
        <v>386</v>
      </c>
      <c r="AW146" s="15" t="s">
        <v>33</v>
      </c>
      <c r="AX146" s="15" t="s">
        <v>79</v>
      </c>
      <c r="AY146" s="226" t="s">
        <v>380</v>
      </c>
    </row>
    <row r="147" spans="1:65" s="2" customFormat="1" ht="21.75" customHeight="1">
      <c r="A147" s="36"/>
      <c r="B147" s="37"/>
      <c r="C147" s="181" t="s">
        <v>7</v>
      </c>
      <c r="D147" s="181" t="s">
        <v>382</v>
      </c>
      <c r="E147" s="182" t="s">
        <v>3372</v>
      </c>
      <c r="F147" s="183" t="s">
        <v>3373</v>
      </c>
      <c r="G147" s="184" t="s">
        <v>452</v>
      </c>
      <c r="H147" s="185">
        <v>1.3</v>
      </c>
      <c r="I147" s="186"/>
      <c r="J147" s="187">
        <f>ROUND(I147*H147,2)</f>
        <v>0</v>
      </c>
      <c r="K147" s="183" t="s">
        <v>3239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281</v>
      </c>
      <c r="AT147" s="192" t="s">
        <v>382</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3921</v>
      </c>
    </row>
    <row r="148" spans="1:65" s="2" customFormat="1" ht="16.5" customHeight="1">
      <c r="A148" s="36"/>
      <c r="B148" s="37"/>
      <c r="C148" s="227" t="s">
        <v>495</v>
      </c>
      <c r="D148" s="227" t="s">
        <v>465</v>
      </c>
      <c r="E148" s="228" t="s">
        <v>3922</v>
      </c>
      <c r="F148" s="229" t="s">
        <v>3376</v>
      </c>
      <c r="G148" s="230" t="s">
        <v>452</v>
      </c>
      <c r="H148" s="231">
        <v>0.65</v>
      </c>
      <c r="I148" s="232"/>
      <c r="J148" s="233">
        <f>ROUND(I148*H148,2)</f>
        <v>0</v>
      </c>
      <c r="K148" s="229" t="s">
        <v>19</v>
      </c>
      <c r="L148" s="234"/>
      <c r="M148" s="235" t="s">
        <v>19</v>
      </c>
      <c r="N148" s="236"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546</v>
      </c>
      <c r="AT148" s="192" t="s">
        <v>465</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3923</v>
      </c>
    </row>
    <row r="149" spans="1:65" s="2" customFormat="1" ht="117">
      <c r="A149" s="36"/>
      <c r="B149" s="37"/>
      <c r="C149" s="38"/>
      <c r="D149" s="196" t="s">
        <v>1226</v>
      </c>
      <c r="E149" s="38"/>
      <c r="F149" s="248" t="s">
        <v>3378</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1226</v>
      </c>
      <c r="AU149" s="19" t="s">
        <v>82</v>
      </c>
    </row>
    <row r="150" spans="1:65" s="14" customFormat="1" ht="11.25">
      <c r="B150" s="205"/>
      <c r="C150" s="206"/>
      <c r="D150" s="196" t="s">
        <v>388</v>
      </c>
      <c r="E150" s="207" t="s">
        <v>19</v>
      </c>
      <c r="F150" s="208" t="s">
        <v>3908</v>
      </c>
      <c r="G150" s="206"/>
      <c r="H150" s="209">
        <v>0.65</v>
      </c>
      <c r="I150" s="210"/>
      <c r="J150" s="206"/>
      <c r="K150" s="206"/>
      <c r="L150" s="211"/>
      <c r="M150" s="212"/>
      <c r="N150" s="213"/>
      <c r="O150" s="213"/>
      <c r="P150" s="213"/>
      <c r="Q150" s="213"/>
      <c r="R150" s="213"/>
      <c r="S150" s="213"/>
      <c r="T150" s="214"/>
      <c r="AT150" s="215" t="s">
        <v>388</v>
      </c>
      <c r="AU150" s="215" t="s">
        <v>82</v>
      </c>
      <c r="AV150" s="14" t="s">
        <v>82</v>
      </c>
      <c r="AW150" s="14" t="s">
        <v>33</v>
      </c>
      <c r="AX150" s="14" t="s">
        <v>72</v>
      </c>
      <c r="AY150" s="215" t="s">
        <v>380</v>
      </c>
    </row>
    <row r="151" spans="1:65" s="15" customFormat="1" ht="11.25">
      <c r="B151" s="216"/>
      <c r="C151" s="217"/>
      <c r="D151" s="196" t="s">
        <v>388</v>
      </c>
      <c r="E151" s="218" t="s">
        <v>19</v>
      </c>
      <c r="F151" s="219" t="s">
        <v>419</v>
      </c>
      <c r="G151" s="217"/>
      <c r="H151" s="220">
        <v>0.65</v>
      </c>
      <c r="I151" s="221"/>
      <c r="J151" s="217"/>
      <c r="K151" s="217"/>
      <c r="L151" s="222"/>
      <c r="M151" s="223"/>
      <c r="N151" s="224"/>
      <c r="O151" s="224"/>
      <c r="P151" s="224"/>
      <c r="Q151" s="224"/>
      <c r="R151" s="224"/>
      <c r="S151" s="224"/>
      <c r="T151" s="225"/>
      <c r="AT151" s="226" t="s">
        <v>388</v>
      </c>
      <c r="AU151" s="226" t="s">
        <v>82</v>
      </c>
      <c r="AV151" s="15" t="s">
        <v>386</v>
      </c>
      <c r="AW151" s="15" t="s">
        <v>33</v>
      </c>
      <c r="AX151" s="15" t="s">
        <v>79</v>
      </c>
      <c r="AY151" s="226" t="s">
        <v>380</v>
      </c>
    </row>
    <row r="152" spans="1:65" s="2" customFormat="1" ht="16.5" customHeight="1">
      <c r="A152" s="36"/>
      <c r="B152" s="37"/>
      <c r="C152" s="227" t="s">
        <v>500</v>
      </c>
      <c r="D152" s="227" t="s">
        <v>465</v>
      </c>
      <c r="E152" s="228" t="s">
        <v>3622</v>
      </c>
      <c r="F152" s="229" t="s">
        <v>3924</v>
      </c>
      <c r="G152" s="230" t="s">
        <v>452</v>
      </c>
      <c r="H152" s="231">
        <v>0.65</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546</v>
      </c>
      <c r="AT152" s="192" t="s">
        <v>465</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3925</v>
      </c>
    </row>
    <row r="153" spans="1:65" s="2" customFormat="1" ht="117">
      <c r="A153" s="36"/>
      <c r="B153" s="37"/>
      <c r="C153" s="38"/>
      <c r="D153" s="196" t="s">
        <v>1226</v>
      </c>
      <c r="E153" s="38"/>
      <c r="F153" s="248" t="s">
        <v>3378</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1226</v>
      </c>
      <c r="AU153" s="19" t="s">
        <v>82</v>
      </c>
    </row>
    <row r="154" spans="1:65" s="14" customFormat="1" ht="11.25">
      <c r="B154" s="205"/>
      <c r="C154" s="206"/>
      <c r="D154" s="196" t="s">
        <v>388</v>
      </c>
      <c r="E154" s="207" t="s">
        <v>19</v>
      </c>
      <c r="F154" s="208" t="s">
        <v>3908</v>
      </c>
      <c r="G154" s="206"/>
      <c r="H154" s="209">
        <v>0.65</v>
      </c>
      <c r="I154" s="210"/>
      <c r="J154" s="206"/>
      <c r="K154" s="206"/>
      <c r="L154" s="211"/>
      <c r="M154" s="212"/>
      <c r="N154" s="213"/>
      <c r="O154" s="213"/>
      <c r="P154" s="213"/>
      <c r="Q154" s="213"/>
      <c r="R154" s="213"/>
      <c r="S154" s="213"/>
      <c r="T154" s="214"/>
      <c r="AT154" s="215" t="s">
        <v>388</v>
      </c>
      <c r="AU154" s="215" t="s">
        <v>82</v>
      </c>
      <c r="AV154" s="14" t="s">
        <v>82</v>
      </c>
      <c r="AW154" s="14" t="s">
        <v>33</v>
      </c>
      <c r="AX154" s="14" t="s">
        <v>72</v>
      </c>
      <c r="AY154" s="215" t="s">
        <v>380</v>
      </c>
    </row>
    <row r="155" spans="1:65" s="15" customFormat="1" ht="11.25">
      <c r="B155" s="216"/>
      <c r="C155" s="217"/>
      <c r="D155" s="196" t="s">
        <v>388</v>
      </c>
      <c r="E155" s="218" t="s">
        <v>19</v>
      </c>
      <c r="F155" s="219" t="s">
        <v>419</v>
      </c>
      <c r="G155" s="217"/>
      <c r="H155" s="220">
        <v>0.65</v>
      </c>
      <c r="I155" s="221"/>
      <c r="J155" s="217"/>
      <c r="K155" s="217"/>
      <c r="L155" s="222"/>
      <c r="M155" s="223"/>
      <c r="N155" s="224"/>
      <c r="O155" s="224"/>
      <c r="P155" s="224"/>
      <c r="Q155" s="224"/>
      <c r="R155" s="224"/>
      <c r="S155" s="224"/>
      <c r="T155" s="225"/>
      <c r="AT155" s="226" t="s">
        <v>388</v>
      </c>
      <c r="AU155" s="226" t="s">
        <v>82</v>
      </c>
      <c r="AV155" s="15" t="s">
        <v>386</v>
      </c>
      <c r="AW155" s="15" t="s">
        <v>33</v>
      </c>
      <c r="AX155" s="15" t="s">
        <v>79</v>
      </c>
      <c r="AY155" s="226" t="s">
        <v>380</v>
      </c>
    </row>
    <row r="156" spans="1:65" s="2" customFormat="1" ht="24.2" customHeight="1">
      <c r="A156" s="36"/>
      <c r="B156" s="37"/>
      <c r="C156" s="181" t="s">
        <v>505</v>
      </c>
      <c r="D156" s="181" t="s">
        <v>382</v>
      </c>
      <c r="E156" s="182" t="s">
        <v>3393</v>
      </c>
      <c r="F156" s="183" t="s">
        <v>3394</v>
      </c>
      <c r="G156" s="184" t="s">
        <v>452</v>
      </c>
      <c r="H156" s="185">
        <v>28.6</v>
      </c>
      <c r="I156" s="186"/>
      <c r="J156" s="187">
        <f>ROUND(I156*H156,2)</f>
        <v>0</v>
      </c>
      <c r="K156" s="183" t="s">
        <v>3239</v>
      </c>
      <c r="L156" s="41"/>
      <c r="M156" s="188" t="s">
        <v>19</v>
      </c>
      <c r="N156" s="189" t="s">
        <v>43</v>
      </c>
      <c r="O156" s="66"/>
      <c r="P156" s="190">
        <f>O156*H156</f>
        <v>0</v>
      </c>
      <c r="Q156" s="190">
        <v>6.9999999999999999E-4</v>
      </c>
      <c r="R156" s="190">
        <f>Q156*H156</f>
        <v>2.002E-2</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3926</v>
      </c>
    </row>
    <row r="157" spans="1:65" s="14" customFormat="1" ht="11.25">
      <c r="B157" s="205"/>
      <c r="C157" s="206"/>
      <c r="D157" s="196" t="s">
        <v>388</v>
      </c>
      <c r="E157" s="207" t="s">
        <v>19</v>
      </c>
      <c r="F157" s="208" t="s">
        <v>3927</v>
      </c>
      <c r="G157" s="206"/>
      <c r="H157" s="209">
        <v>28.6</v>
      </c>
      <c r="I157" s="210"/>
      <c r="J157" s="206"/>
      <c r="K157" s="206"/>
      <c r="L157" s="211"/>
      <c r="M157" s="212"/>
      <c r="N157" s="213"/>
      <c r="O157" s="213"/>
      <c r="P157" s="213"/>
      <c r="Q157" s="213"/>
      <c r="R157" s="213"/>
      <c r="S157" s="213"/>
      <c r="T157" s="214"/>
      <c r="AT157" s="215" t="s">
        <v>388</v>
      </c>
      <c r="AU157" s="215" t="s">
        <v>82</v>
      </c>
      <c r="AV157" s="14" t="s">
        <v>82</v>
      </c>
      <c r="AW157" s="14" t="s">
        <v>33</v>
      </c>
      <c r="AX157" s="14" t="s">
        <v>79</v>
      </c>
      <c r="AY157" s="215" t="s">
        <v>380</v>
      </c>
    </row>
    <row r="158" spans="1:65" s="2" customFormat="1" ht="24.2" customHeight="1">
      <c r="A158" s="36"/>
      <c r="B158" s="37"/>
      <c r="C158" s="181" t="s">
        <v>509</v>
      </c>
      <c r="D158" s="181" t="s">
        <v>382</v>
      </c>
      <c r="E158" s="182" t="s">
        <v>3417</v>
      </c>
      <c r="F158" s="183" t="s">
        <v>3418</v>
      </c>
      <c r="G158" s="184" t="s">
        <v>641</v>
      </c>
      <c r="H158" s="185">
        <v>2</v>
      </c>
      <c r="I158" s="186"/>
      <c r="J158" s="187">
        <f>ROUND(I158*H158,2)</f>
        <v>0</v>
      </c>
      <c r="K158" s="183" t="s">
        <v>3239</v>
      </c>
      <c r="L158" s="41"/>
      <c r="M158" s="188" t="s">
        <v>19</v>
      </c>
      <c r="N158" s="189" t="s">
        <v>43</v>
      </c>
      <c r="O158" s="66"/>
      <c r="P158" s="190">
        <f>O158*H158</f>
        <v>0</v>
      </c>
      <c r="Q158" s="190">
        <v>8.1999999999999998E-4</v>
      </c>
      <c r="R158" s="190">
        <f>Q158*H158</f>
        <v>1.64E-3</v>
      </c>
      <c r="S158" s="190">
        <v>0</v>
      </c>
      <c r="T158" s="191">
        <f>S158*H158</f>
        <v>0</v>
      </c>
      <c r="U158" s="36"/>
      <c r="V158" s="36"/>
      <c r="W158" s="36"/>
      <c r="X158" s="36"/>
      <c r="Y158" s="36"/>
      <c r="Z158" s="36"/>
      <c r="AA158" s="36"/>
      <c r="AB158" s="36"/>
      <c r="AC158" s="36"/>
      <c r="AD158" s="36"/>
      <c r="AE158" s="36"/>
      <c r="AR158" s="192" t="s">
        <v>281</v>
      </c>
      <c r="AT158" s="192" t="s">
        <v>382</v>
      </c>
      <c r="AU158" s="192" t="s">
        <v>82</v>
      </c>
      <c r="AY158" s="19" t="s">
        <v>380</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281</v>
      </c>
      <c r="BM158" s="192" t="s">
        <v>3928</v>
      </c>
    </row>
    <row r="159" spans="1:65" s="13" customFormat="1" ht="11.25">
      <c r="B159" s="194"/>
      <c r="C159" s="195"/>
      <c r="D159" s="196" t="s">
        <v>388</v>
      </c>
      <c r="E159" s="197" t="s">
        <v>19</v>
      </c>
      <c r="F159" s="198" t="s">
        <v>3929</v>
      </c>
      <c r="G159" s="195"/>
      <c r="H159" s="197" t="s">
        <v>19</v>
      </c>
      <c r="I159" s="199"/>
      <c r="J159" s="195"/>
      <c r="K159" s="195"/>
      <c r="L159" s="200"/>
      <c r="M159" s="201"/>
      <c r="N159" s="202"/>
      <c r="O159" s="202"/>
      <c r="P159" s="202"/>
      <c r="Q159" s="202"/>
      <c r="R159" s="202"/>
      <c r="S159" s="202"/>
      <c r="T159" s="203"/>
      <c r="AT159" s="204" t="s">
        <v>388</v>
      </c>
      <c r="AU159" s="204" t="s">
        <v>82</v>
      </c>
      <c r="AV159" s="13" t="s">
        <v>79</v>
      </c>
      <c r="AW159" s="13" t="s">
        <v>33</v>
      </c>
      <c r="AX159" s="13" t="s">
        <v>72</v>
      </c>
      <c r="AY159" s="204" t="s">
        <v>380</v>
      </c>
    </row>
    <row r="160" spans="1:65" s="14" customFormat="1" ht="11.25">
      <c r="B160" s="205"/>
      <c r="C160" s="206"/>
      <c r="D160" s="196" t="s">
        <v>388</v>
      </c>
      <c r="E160" s="207" t="s">
        <v>19</v>
      </c>
      <c r="F160" s="208" t="s">
        <v>79</v>
      </c>
      <c r="G160" s="206"/>
      <c r="H160" s="209">
        <v>1</v>
      </c>
      <c r="I160" s="210"/>
      <c r="J160" s="206"/>
      <c r="K160" s="206"/>
      <c r="L160" s="211"/>
      <c r="M160" s="212"/>
      <c r="N160" s="213"/>
      <c r="O160" s="213"/>
      <c r="P160" s="213"/>
      <c r="Q160" s="213"/>
      <c r="R160" s="213"/>
      <c r="S160" s="213"/>
      <c r="T160" s="214"/>
      <c r="AT160" s="215" t="s">
        <v>388</v>
      </c>
      <c r="AU160" s="215" t="s">
        <v>82</v>
      </c>
      <c r="AV160" s="14" t="s">
        <v>82</v>
      </c>
      <c r="AW160" s="14" t="s">
        <v>33</v>
      </c>
      <c r="AX160" s="14" t="s">
        <v>72</v>
      </c>
      <c r="AY160" s="215" t="s">
        <v>380</v>
      </c>
    </row>
    <row r="161" spans="1:65" s="13" customFormat="1" ht="11.25">
      <c r="B161" s="194"/>
      <c r="C161" s="195"/>
      <c r="D161" s="196" t="s">
        <v>388</v>
      </c>
      <c r="E161" s="197" t="s">
        <v>19</v>
      </c>
      <c r="F161" s="198" t="s">
        <v>3930</v>
      </c>
      <c r="G161" s="195"/>
      <c r="H161" s="197" t="s">
        <v>19</v>
      </c>
      <c r="I161" s="199"/>
      <c r="J161" s="195"/>
      <c r="K161" s="195"/>
      <c r="L161" s="200"/>
      <c r="M161" s="201"/>
      <c r="N161" s="202"/>
      <c r="O161" s="202"/>
      <c r="P161" s="202"/>
      <c r="Q161" s="202"/>
      <c r="R161" s="202"/>
      <c r="S161" s="202"/>
      <c r="T161" s="203"/>
      <c r="AT161" s="204" t="s">
        <v>388</v>
      </c>
      <c r="AU161" s="204" t="s">
        <v>82</v>
      </c>
      <c r="AV161" s="13" t="s">
        <v>79</v>
      </c>
      <c r="AW161" s="13" t="s">
        <v>33</v>
      </c>
      <c r="AX161" s="13" t="s">
        <v>72</v>
      </c>
      <c r="AY161" s="204" t="s">
        <v>380</v>
      </c>
    </row>
    <row r="162" spans="1:65" s="14" customFormat="1" ht="11.25">
      <c r="B162" s="205"/>
      <c r="C162" s="206"/>
      <c r="D162" s="196" t="s">
        <v>388</v>
      </c>
      <c r="E162" s="207" t="s">
        <v>19</v>
      </c>
      <c r="F162" s="208" t="s">
        <v>79</v>
      </c>
      <c r="G162" s="206"/>
      <c r="H162" s="209">
        <v>1</v>
      </c>
      <c r="I162" s="210"/>
      <c r="J162" s="206"/>
      <c r="K162" s="206"/>
      <c r="L162" s="211"/>
      <c r="M162" s="212"/>
      <c r="N162" s="213"/>
      <c r="O162" s="213"/>
      <c r="P162" s="213"/>
      <c r="Q162" s="213"/>
      <c r="R162" s="213"/>
      <c r="S162" s="213"/>
      <c r="T162" s="214"/>
      <c r="AT162" s="215" t="s">
        <v>388</v>
      </c>
      <c r="AU162" s="215" t="s">
        <v>82</v>
      </c>
      <c r="AV162" s="14" t="s">
        <v>82</v>
      </c>
      <c r="AW162" s="14" t="s">
        <v>33</v>
      </c>
      <c r="AX162" s="14" t="s">
        <v>72</v>
      </c>
      <c r="AY162" s="215" t="s">
        <v>380</v>
      </c>
    </row>
    <row r="163" spans="1:65" s="15" customFormat="1" ht="11.25">
      <c r="B163" s="216"/>
      <c r="C163" s="217"/>
      <c r="D163" s="196" t="s">
        <v>388</v>
      </c>
      <c r="E163" s="218" t="s">
        <v>19</v>
      </c>
      <c r="F163" s="219" t="s">
        <v>419</v>
      </c>
      <c r="G163" s="217"/>
      <c r="H163" s="220">
        <v>2</v>
      </c>
      <c r="I163" s="221"/>
      <c r="J163" s="217"/>
      <c r="K163" s="217"/>
      <c r="L163" s="222"/>
      <c r="M163" s="223"/>
      <c r="N163" s="224"/>
      <c r="O163" s="224"/>
      <c r="P163" s="224"/>
      <c r="Q163" s="224"/>
      <c r="R163" s="224"/>
      <c r="S163" s="224"/>
      <c r="T163" s="225"/>
      <c r="AT163" s="226" t="s">
        <v>388</v>
      </c>
      <c r="AU163" s="226" t="s">
        <v>82</v>
      </c>
      <c r="AV163" s="15" t="s">
        <v>386</v>
      </c>
      <c r="AW163" s="15" t="s">
        <v>33</v>
      </c>
      <c r="AX163" s="15" t="s">
        <v>79</v>
      </c>
      <c r="AY163" s="226" t="s">
        <v>380</v>
      </c>
    </row>
    <row r="164" spans="1:65" s="2" customFormat="1" ht="24.2" customHeight="1">
      <c r="A164" s="36"/>
      <c r="B164" s="37"/>
      <c r="C164" s="181" t="s">
        <v>514</v>
      </c>
      <c r="D164" s="181" t="s">
        <v>382</v>
      </c>
      <c r="E164" s="182" t="s">
        <v>3693</v>
      </c>
      <c r="F164" s="183" t="s">
        <v>3694</v>
      </c>
      <c r="G164" s="184" t="s">
        <v>641</v>
      </c>
      <c r="H164" s="185">
        <v>1</v>
      </c>
      <c r="I164" s="186"/>
      <c r="J164" s="187">
        <f>ROUND(I164*H164,2)</f>
        <v>0</v>
      </c>
      <c r="K164" s="183" t="s">
        <v>3239</v>
      </c>
      <c r="L164" s="41"/>
      <c r="M164" s="188" t="s">
        <v>19</v>
      </c>
      <c r="N164" s="189" t="s">
        <v>43</v>
      </c>
      <c r="O164" s="66"/>
      <c r="P164" s="190">
        <f>O164*H164</f>
        <v>0</v>
      </c>
      <c r="Q164" s="190">
        <v>1.42E-3</v>
      </c>
      <c r="R164" s="190">
        <f>Q164*H164</f>
        <v>1.42E-3</v>
      </c>
      <c r="S164" s="190">
        <v>0</v>
      </c>
      <c r="T164" s="191">
        <f>S164*H164</f>
        <v>0</v>
      </c>
      <c r="U164" s="36"/>
      <c r="V164" s="36"/>
      <c r="W164" s="36"/>
      <c r="X164" s="36"/>
      <c r="Y164" s="36"/>
      <c r="Z164" s="36"/>
      <c r="AA164" s="36"/>
      <c r="AB164" s="36"/>
      <c r="AC164" s="36"/>
      <c r="AD164" s="36"/>
      <c r="AE164" s="36"/>
      <c r="AR164" s="192" t="s">
        <v>281</v>
      </c>
      <c r="AT164" s="192" t="s">
        <v>382</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3931</v>
      </c>
    </row>
    <row r="165" spans="1:65" s="13" customFormat="1" ht="11.25">
      <c r="B165" s="194"/>
      <c r="C165" s="195"/>
      <c r="D165" s="196" t="s">
        <v>388</v>
      </c>
      <c r="E165" s="197" t="s">
        <v>19</v>
      </c>
      <c r="F165" s="198" t="s">
        <v>3696</v>
      </c>
      <c r="G165" s="195"/>
      <c r="H165" s="197" t="s">
        <v>19</v>
      </c>
      <c r="I165" s="199"/>
      <c r="J165" s="195"/>
      <c r="K165" s="195"/>
      <c r="L165" s="200"/>
      <c r="M165" s="201"/>
      <c r="N165" s="202"/>
      <c r="O165" s="202"/>
      <c r="P165" s="202"/>
      <c r="Q165" s="202"/>
      <c r="R165" s="202"/>
      <c r="S165" s="202"/>
      <c r="T165" s="203"/>
      <c r="AT165" s="204" t="s">
        <v>388</v>
      </c>
      <c r="AU165" s="204" t="s">
        <v>82</v>
      </c>
      <c r="AV165" s="13" t="s">
        <v>79</v>
      </c>
      <c r="AW165" s="13" t="s">
        <v>33</v>
      </c>
      <c r="AX165" s="13" t="s">
        <v>72</v>
      </c>
      <c r="AY165" s="204" t="s">
        <v>380</v>
      </c>
    </row>
    <row r="166" spans="1:65" s="14" customFormat="1" ht="11.25">
      <c r="B166" s="205"/>
      <c r="C166" s="206"/>
      <c r="D166" s="196" t="s">
        <v>388</v>
      </c>
      <c r="E166" s="207" t="s">
        <v>19</v>
      </c>
      <c r="F166" s="208" t="s">
        <v>79</v>
      </c>
      <c r="G166" s="206"/>
      <c r="H166" s="209">
        <v>1</v>
      </c>
      <c r="I166" s="210"/>
      <c r="J166" s="206"/>
      <c r="K166" s="206"/>
      <c r="L166" s="211"/>
      <c r="M166" s="212"/>
      <c r="N166" s="213"/>
      <c r="O166" s="213"/>
      <c r="P166" s="213"/>
      <c r="Q166" s="213"/>
      <c r="R166" s="213"/>
      <c r="S166" s="213"/>
      <c r="T166" s="214"/>
      <c r="AT166" s="215" t="s">
        <v>388</v>
      </c>
      <c r="AU166" s="215" t="s">
        <v>82</v>
      </c>
      <c r="AV166" s="14" t="s">
        <v>82</v>
      </c>
      <c r="AW166" s="14" t="s">
        <v>33</v>
      </c>
      <c r="AX166" s="14" t="s">
        <v>72</v>
      </c>
      <c r="AY166" s="215" t="s">
        <v>380</v>
      </c>
    </row>
    <row r="167" spans="1:65" s="15" customFormat="1" ht="11.25">
      <c r="B167" s="216"/>
      <c r="C167" s="217"/>
      <c r="D167" s="196" t="s">
        <v>388</v>
      </c>
      <c r="E167" s="218" t="s">
        <v>19</v>
      </c>
      <c r="F167" s="219" t="s">
        <v>419</v>
      </c>
      <c r="G167" s="217"/>
      <c r="H167" s="220">
        <v>1</v>
      </c>
      <c r="I167" s="221"/>
      <c r="J167" s="217"/>
      <c r="K167" s="217"/>
      <c r="L167" s="222"/>
      <c r="M167" s="223"/>
      <c r="N167" s="224"/>
      <c r="O167" s="224"/>
      <c r="P167" s="224"/>
      <c r="Q167" s="224"/>
      <c r="R167" s="224"/>
      <c r="S167" s="224"/>
      <c r="T167" s="225"/>
      <c r="AT167" s="226" t="s">
        <v>388</v>
      </c>
      <c r="AU167" s="226" t="s">
        <v>82</v>
      </c>
      <c r="AV167" s="15" t="s">
        <v>386</v>
      </c>
      <c r="AW167" s="15" t="s">
        <v>33</v>
      </c>
      <c r="AX167" s="15" t="s">
        <v>79</v>
      </c>
      <c r="AY167" s="226" t="s">
        <v>380</v>
      </c>
    </row>
    <row r="168" spans="1:65" s="2" customFormat="1" ht="24.2" customHeight="1">
      <c r="A168" s="36"/>
      <c r="B168" s="37"/>
      <c r="C168" s="181" t="s">
        <v>520</v>
      </c>
      <c r="D168" s="181" t="s">
        <v>382</v>
      </c>
      <c r="E168" s="182" t="s">
        <v>3432</v>
      </c>
      <c r="F168" s="183" t="s">
        <v>3433</v>
      </c>
      <c r="G168" s="184" t="s">
        <v>3014</v>
      </c>
      <c r="H168" s="257"/>
      <c r="I168" s="186"/>
      <c r="J168" s="187">
        <f>ROUND(I168*H168,2)</f>
        <v>0</v>
      </c>
      <c r="K168" s="183" t="s">
        <v>3239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281</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3932</v>
      </c>
    </row>
    <row r="169" spans="1:65" s="2" customFormat="1" ht="24.2" customHeight="1">
      <c r="A169" s="36"/>
      <c r="B169" s="37"/>
      <c r="C169" s="181" t="s">
        <v>525</v>
      </c>
      <c r="D169" s="181" t="s">
        <v>382</v>
      </c>
      <c r="E169" s="182" t="s">
        <v>3435</v>
      </c>
      <c r="F169" s="183" t="s">
        <v>3436</v>
      </c>
      <c r="G169" s="184" t="s">
        <v>3014</v>
      </c>
      <c r="H169" s="257"/>
      <c r="I169" s="186"/>
      <c r="J169" s="187">
        <f>ROUND(I169*H169,2)</f>
        <v>0</v>
      </c>
      <c r="K169" s="183" t="s">
        <v>3239</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281</v>
      </c>
      <c r="AT169" s="192" t="s">
        <v>382</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3933</v>
      </c>
    </row>
    <row r="170" spans="1:65" s="12" customFormat="1" ht="22.9" customHeight="1">
      <c r="B170" s="165"/>
      <c r="C170" s="166"/>
      <c r="D170" s="167" t="s">
        <v>71</v>
      </c>
      <c r="E170" s="179" t="s">
        <v>3450</v>
      </c>
      <c r="F170" s="179" t="s">
        <v>3451</v>
      </c>
      <c r="G170" s="166"/>
      <c r="H170" s="166"/>
      <c r="I170" s="169"/>
      <c r="J170" s="180">
        <f>BK170</f>
        <v>0</v>
      </c>
      <c r="K170" s="166"/>
      <c r="L170" s="171"/>
      <c r="M170" s="172"/>
      <c r="N170" s="173"/>
      <c r="O170" s="173"/>
      <c r="P170" s="174">
        <f>SUM(P171:P175)</f>
        <v>0</v>
      </c>
      <c r="Q170" s="173"/>
      <c r="R170" s="174">
        <f>SUM(R171:R175)</f>
        <v>0</v>
      </c>
      <c r="S170" s="173"/>
      <c r="T170" s="175">
        <f>SUM(T171:T175)</f>
        <v>0</v>
      </c>
      <c r="AR170" s="176" t="s">
        <v>82</v>
      </c>
      <c r="AT170" s="177" t="s">
        <v>71</v>
      </c>
      <c r="AU170" s="177" t="s">
        <v>79</v>
      </c>
      <c r="AY170" s="176" t="s">
        <v>380</v>
      </c>
      <c r="BK170" s="178">
        <f>SUM(BK171:BK175)</f>
        <v>0</v>
      </c>
    </row>
    <row r="171" spans="1:65" s="2" customFormat="1" ht="16.5" customHeight="1">
      <c r="A171" s="36"/>
      <c r="B171" s="37"/>
      <c r="C171" s="227" t="s">
        <v>529</v>
      </c>
      <c r="D171" s="227" t="s">
        <v>465</v>
      </c>
      <c r="E171" s="228" t="s">
        <v>3452</v>
      </c>
      <c r="F171" s="229" t="s">
        <v>3453</v>
      </c>
      <c r="G171" s="230" t="s">
        <v>2389</v>
      </c>
      <c r="H171" s="231">
        <v>16</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546</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3934</v>
      </c>
    </row>
    <row r="172" spans="1:65" s="14" customFormat="1" ht="11.25">
      <c r="B172" s="205"/>
      <c r="C172" s="206"/>
      <c r="D172" s="196" t="s">
        <v>388</v>
      </c>
      <c r="E172" s="207" t="s">
        <v>19</v>
      </c>
      <c r="F172" s="208" t="s">
        <v>1028</v>
      </c>
      <c r="G172" s="206"/>
      <c r="H172" s="209">
        <v>16</v>
      </c>
      <c r="I172" s="210"/>
      <c r="J172" s="206"/>
      <c r="K172" s="206"/>
      <c r="L172" s="211"/>
      <c r="M172" s="212"/>
      <c r="N172" s="213"/>
      <c r="O172" s="213"/>
      <c r="P172" s="213"/>
      <c r="Q172" s="213"/>
      <c r="R172" s="213"/>
      <c r="S172" s="213"/>
      <c r="T172" s="214"/>
      <c r="AT172" s="215" t="s">
        <v>388</v>
      </c>
      <c r="AU172" s="215" t="s">
        <v>82</v>
      </c>
      <c r="AV172" s="14" t="s">
        <v>82</v>
      </c>
      <c r="AW172" s="14" t="s">
        <v>33</v>
      </c>
      <c r="AX172" s="14" t="s">
        <v>79</v>
      </c>
      <c r="AY172" s="215" t="s">
        <v>380</v>
      </c>
    </row>
    <row r="173" spans="1:65" s="2" customFormat="1" ht="16.5" customHeight="1">
      <c r="A173" s="36"/>
      <c r="B173" s="37"/>
      <c r="C173" s="181" t="s">
        <v>534</v>
      </c>
      <c r="D173" s="181" t="s">
        <v>382</v>
      </c>
      <c r="E173" s="182" t="s">
        <v>3456</v>
      </c>
      <c r="F173" s="183" t="s">
        <v>2819</v>
      </c>
      <c r="G173" s="184" t="s">
        <v>2389</v>
      </c>
      <c r="H173" s="185">
        <v>16</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3935</v>
      </c>
    </row>
    <row r="174" spans="1:65" s="2" customFormat="1" ht="16.5" customHeight="1">
      <c r="A174" s="36"/>
      <c r="B174" s="37"/>
      <c r="C174" s="181" t="s">
        <v>540</v>
      </c>
      <c r="D174" s="181" t="s">
        <v>382</v>
      </c>
      <c r="E174" s="182" t="s">
        <v>3458</v>
      </c>
      <c r="F174" s="183" t="s">
        <v>3459</v>
      </c>
      <c r="G174" s="184" t="s">
        <v>2389</v>
      </c>
      <c r="H174" s="185">
        <v>16</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281</v>
      </c>
      <c r="AT174" s="192" t="s">
        <v>382</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3936</v>
      </c>
    </row>
    <row r="175" spans="1:65" s="2" customFormat="1" ht="16.5" customHeight="1">
      <c r="A175" s="36"/>
      <c r="B175" s="37"/>
      <c r="C175" s="181" t="s">
        <v>546</v>
      </c>
      <c r="D175" s="181" t="s">
        <v>382</v>
      </c>
      <c r="E175" s="182" t="s">
        <v>3461</v>
      </c>
      <c r="F175" s="183" t="s">
        <v>3462</v>
      </c>
      <c r="G175" s="184" t="s">
        <v>2389</v>
      </c>
      <c r="H175" s="185">
        <v>8</v>
      </c>
      <c r="I175" s="186"/>
      <c r="J175" s="187">
        <f>ROUND(I175*H175,2)</f>
        <v>0</v>
      </c>
      <c r="K175" s="183" t="s">
        <v>19</v>
      </c>
      <c r="L175" s="41"/>
      <c r="M175" s="252" t="s">
        <v>19</v>
      </c>
      <c r="N175" s="253" t="s">
        <v>43</v>
      </c>
      <c r="O175" s="254"/>
      <c r="P175" s="255">
        <f>O175*H175</f>
        <v>0</v>
      </c>
      <c r="Q175" s="255">
        <v>0</v>
      </c>
      <c r="R175" s="255">
        <f>Q175*H175</f>
        <v>0</v>
      </c>
      <c r="S175" s="255">
        <v>0</v>
      </c>
      <c r="T175" s="256">
        <f>S175*H175</f>
        <v>0</v>
      </c>
      <c r="U175" s="36"/>
      <c r="V175" s="36"/>
      <c r="W175" s="36"/>
      <c r="X175" s="36"/>
      <c r="Y175" s="36"/>
      <c r="Z175" s="36"/>
      <c r="AA175" s="36"/>
      <c r="AB175" s="36"/>
      <c r="AC175" s="36"/>
      <c r="AD175" s="36"/>
      <c r="AE175" s="36"/>
      <c r="AR175" s="192" t="s">
        <v>281</v>
      </c>
      <c r="AT175" s="192" t="s">
        <v>382</v>
      </c>
      <c r="AU175" s="192" t="s">
        <v>82</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3937</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zQ2G1aoc29Bd9Rt/oycTGKXgiMGVNkT0Q4ZrdRpsb6yQId4RySUcdkeaOPfPOPSbnkZhcQw+blcKrBKrNbj+Cg==" saltValue="hinlgt6FBe5/fdF4aLszwKLSTSAjf5PEpmwT+TwrgqSFBg7MZnTkPj2gUmk6pUxWx3rFg+cTMP7cpHx1vkT1Pg==" spinCount="100000" sheet="1" objects="1" scenarios="1" formatColumns="0" formatRows="0" autoFilter="0"/>
  <autoFilter ref="C94:K175"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3938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ROUND((SUM(BE95:BE184)),  2)</f>
        <v>0</v>
      </c>
      <c r="G37" s="36"/>
      <c r="H37" s="36"/>
      <c r="I37" s="127">
        <v>0.21</v>
      </c>
      <c r="J37" s="126">
        <f>ROUND(((SUM(BE95:BE184))*I37),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ROUND((SUM(BF95:BF184)),  2)</f>
        <v>0</v>
      </c>
      <c r="G38" s="36"/>
      <c r="H38" s="36"/>
      <c r="I38" s="127">
        <v>0.15</v>
      </c>
      <c r="J38" s="126">
        <f>ROUND(((SUM(BF95:BF184))*I38),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ROUND((SUM(BG95:BG184)),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ROUND((SUM(BH95:BH184)),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ROUND((SUM(BI95:BI184)),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09 -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J108</f>
        <v>0</v>
      </c>
      <c r="K70" s="99"/>
      <c r="L70" s="153"/>
    </row>
    <row r="71" spans="1:47" s="10" customFormat="1" ht="19.899999999999999" customHeight="1">
      <c r="B71" s="149"/>
      <c r="C71" s="99"/>
      <c r="D71" s="150" t="s">
        <v>3236</v>
      </c>
      <c r="E71" s="151"/>
      <c r="F71" s="151"/>
      <c r="G71" s="151"/>
      <c r="H71" s="151"/>
      <c r="I71" s="151"/>
      <c r="J71" s="152">
        <f>J179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09 -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0.73724000000000001</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P97+P108+P179</f>
        <v>0</v>
      </c>
      <c r="Q96" s="173"/>
      <c r="R96" s="174">
        <f>R97+R108+R179</f>
        <v>0.73724000000000001</v>
      </c>
      <c r="S96" s="173"/>
      <c r="T96" s="175">
        <f>T97+T108+T179</f>
        <v>0</v>
      </c>
      <c r="AR96" s="176" t="s">
        <v>82</v>
      </c>
      <c r="AT96" s="177" t="s">
        <v>71</v>
      </c>
      <c r="AU96" s="177" t="s">
        <v>72</v>
      </c>
      <c r="AY96" s="176" t="s">
        <v>380</v>
      </c>
      <c r="BK96" s="178">
        <f>BK97+BK108+BK179</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SUM(P98:P107)</f>
        <v>0</v>
      </c>
      <c r="Q97" s="173"/>
      <c r="R97" s="174">
        <f>SUM(R98:R107)</f>
        <v>7.9452500000000009E-2</v>
      </c>
      <c r="S97" s="173"/>
      <c r="T97" s="175">
        <f>SUM(T98:T107)</f>
        <v>0</v>
      </c>
      <c r="AR97" s="176" t="s">
        <v>82</v>
      </c>
      <c r="AT97" s="177" t="s">
        <v>71</v>
      </c>
      <c r="AU97" s="177" t="s">
        <v>79</v>
      </c>
      <c r="AY97" s="176" t="s">
        <v>380</v>
      </c>
      <c r="BK97" s="178">
        <f>SUM(BK98:BK107)</f>
        <v>0</v>
      </c>
    </row>
    <row r="98" spans="1:65" s="2" customFormat="1" ht="24.2" customHeight="1">
      <c r="A98" s="36"/>
      <c r="B98" s="37"/>
      <c r="C98" s="181" t="s">
        <v>79</v>
      </c>
      <c r="D98" s="181" t="s">
        <v>382</v>
      </c>
      <c r="E98" s="182" t="s">
        <v>3237</v>
      </c>
      <c r="F98" s="183" t="s">
        <v>3238</v>
      </c>
      <c r="G98" s="184" t="s">
        <v>398</v>
      </c>
      <c r="H98" s="185">
        <v>21.6</v>
      </c>
      <c r="I98" s="186"/>
      <c r="J98" s="187">
        <f>ROUND(I98*H98,2)</f>
        <v>0</v>
      </c>
      <c r="K98" s="183" t="s">
        <v>3239</v>
      </c>
      <c r="L98" s="41"/>
      <c r="M98" s="188" t="s">
        <v>19</v>
      </c>
      <c r="N98" s="189" t="s">
        <v>43</v>
      </c>
      <c r="O98" s="66"/>
      <c r="P98" s="190">
        <f>O98*H98</f>
        <v>0</v>
      </c>
      <c r="Q98" s="190">
        <v>1.5100000000000001E-3</v>
      </c>
      <c r="R98" s="190">
        <f>Q98*H98</f>
        <v>3.2616000000000006E-2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3939</v>
      </c>
    </row>
    <row r="99" spans="1:65" s="2" customFormat="1" ht="16.5" customHeight="1">
      <c r="A99" s="36"/>
      <c r="B99" s="37"/>
      <c r="C99" s="227" t="s">
        <v>82</v>
      </c>
      <c r="D99" s="227" t="s">
        <v>465</v>
      </c>
      <c r="E99" s="228" t="s">
        <v>3241</v>
      </c>
      <c r="F99" s="229" t="s">
        <v>3242</v>
      </c>
      <c r="G99" s="230" t="s">
        <v>398</v>
      </c>
      <c r="H99" s="231">
        <v>18.100000000000001</v>
      </c>
      <c r="I99" s="232"/>
      <c r="J99" s="233">
        <f>ROUND(I99*H99,2)</f>
        <v>0</v>
      </c>
      <c r="K99" s="229" t="s">
        <v>3239</v>
      </c>
      <c r="L99" s="234"/>
      <c r="M99" s="235" t="s">
        <v>19</v>
      </c>
      <c r="N99" s="236" t="s">
        <v>43</v>
      </c>
      <c r="O99" s="66"/>
      <c r="P99" s="190">
        <f>O99*H99</f>
        <v>0</v>
      </c>
      <c r="Q99" s="190">
        <v>2E-3</v>
      </c>
      <c r="R99" s="190">
        <f>Q99*H99</f>
        <v>3.6200000000000003E-2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3940</v>
      </c>
    </row>
    <row r="100" spans="1:65" s="14" customFormat="1" ht="11.25">
      <c r="B100" s="205"/>
      <c r="C100" s="206"/>
      <c r="D100" s="196" t="s">
        <v>388</v>
      </c>
      <c r="E100" s="207" t="s">
        <v>19</v>
      </c>
      <c r="F100" s="208" t="s">
        <v>3941</v>
      </c>
      <c r="G100" s="206"/>
      <c r="H100" s="209">
        <v>18.100000000000001</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3.5</v>
      </c>
      <c r="I101" s="232"/>
      <c r="J101" s="233">
        <f>ROUND(I101*H101,2)</f>
        <v>0</v>
      </c>
      <c r="K101" s="229" t="s">
        <v>3239</v>
      </c>
      <c r="L101" s="234"/>
      <c r="M101" s="235" t="s">
        <v>19</v>
      </c>
      <c r="N101" s="236" t="s">
        <v>43</v>
      </c>
      <c r="O101" s="66"/>
      <c r="P101" s="190">
        <f>O101*H101</f>
        <v>0</v>
      </c>
      <c r="Q101" s="190">
        <v>3.0000000000000001E-3</v>
      </c>
      <c r="R101" s="190">
        <f>Q101*H101</f>
        <v>1.0500000000000001E-2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3942</v>
      </c>
    </row>
    <row r="102" spans="1:65" s="14" customFormat="1" ht="11.25">
      <c r="B102" s="205"/>
      <c r="C102" s="206"/>
      <c r="D102" s="196" t="s">
        <v>388</v>
      </c>
      <c r="E102" s="207" t="s">
        <v>19</v>
      </c>
      <c r="F102" s="208" t="s">
        <v>3943</v>
      </c>
      <c r="G102" s="206"/>
      <c r="H102" s="209">
        <v>3.5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24.2" customHeight="1">
      <c r="A103" s="36"/>
      <c r="B103" s="37"/>
      <c r="C103" s="181" t="s">
        <v>386</v>
      </c>
      <c r="D103" s="181" t="s">
        <v>382</v>
      </c>
      <c r="E103" s="182" t="s">
        <v>3258</v>
      </c>
      <c r="F103" s="183" t="s">
        <v>3259</v>
      </c>
      <c r="G103" s="184" t="s">
        <v>398</v>
      </c>
      <c r="H103" s="185">
        <v>1.95</v>
      </c>
      <c r="I103" s="186"/>
      <c r="J103" s="187">
        <f>ROUND(I103*H103,2)</f>
        <v>0</v>
      </c>
      <c r="K103" s="183" t="s">
        <v>3239</v>
      </c>
      <c r="L103" s="41"/>
      <c r="M103" s="188" t="s">
        <v>19</v>
      </c>
      <c r="N103" s="189" t="s">
        <v>43</v>
      </c>
      <c r="O103" s="66"/>
      <c r="P103" s="190">
        <f>O103*H103</f>
        <v>0</v>
      </c>
      <c r="Q103" s="190">
        <v>6.9999999999999994E-5</v>
      </c>
      <c r="R103" s="190">
        <f>Q103*H103</f>
        <v>1.3649999999999998E-4</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3944</v>
      </c>
    </row>
    <row r="104" spans="1:65" s="2" customFormat="1" ht="16.5" customHeight="1">
      <c r="A104" s="36"/>
      <c r="B104" s="37"/>
      <c r="C104" s="227" t="s">
        <v>405</v>
      </c>
      <c r="D104" s="227" t="s">
        <v>465</v>
      </c>
      <c r="E104" s="228" t="s">
        <v>3261</v>
      </c>
      <c r="F104" s="229" t="s">
        <v>3262</v>
      </c>
      <c r="G104" s="230" t="s">
        <v>398</v>
      </c>
      <c r="H104" s="231">
        <v>1.95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3945</v>
      </c>
    </row>
    <row r="105" spans="1:65" s="14" customFormat="1" ht="11.25">
      <c r="B105" s="205"/>
      <c r="C105" s="206"/>
      <c r="D105" s="196" t="s">
        <v>388</v>
      </c>
      <c r="E105" s="207" t="s">
        <v>19</v>
      </c>
      <c r="F105" s="208" t="s">
        <v>3946</v>
      </c>
      <c r="G105" s="206"/>
      <c r="H105" s="209">
        <v>1.95</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411</v>
      </c>
      <c r="D106" s="181" t="s">
        <v>382</v>
      </c>
      <c r="E106" s="182" t="s">
        <v>3265</v>
      </c>
      <c r="F106" s="183" t="s">
        <v>3266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3947</v>
      </c>
    </row>
    <row r="107" spans="1:65" s="2" customFormat="1" ht="24.2" customHeight="1">
      <c r="A107" s="36"/>
      <c r="B107" s="37"/>
      <c r="C107" s="181" t="s">
        <v>420</v>
      </c>
      <c r="D107" s="181" t="s">
        <v>382</v>
      </c>
      <c r="E107" s="182" t="s">
        <v>3268</v>
      </c>
      <c r="F107" s="183" t="s">
        <v>3269</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3948</v>
      </c>
    </row>
    <row r="108" spans="1:65" s="12" customFormat="1" ht="22.9" customHeight="1">
      <c r="B108" s="165"/>
      <c r="C108" s="166"/>
      <c r="D108" s="167" t="s">
        <v>71</v>
      </c>
      <c r="E108" s="179" t="s">
        <v>3271</v>
      </c>
      <c r="F108" s="179" t="s">
        <v>3272</v>
      </c>
      <c r="G108" s="166"/>
      <c r="H108" s="166"/>
      <c r="I108" s="169"/>
      <c r="J108" s="180">
        <f>BK108</f>
        <v>0</v>
      </c>
      <c r="K108" s="166"/>
      <c r="L108" s="171"/>
      <c r="M108" s="172"/>
      <c r="N108" s="173"/>
      <c r="O108" s="173"/>
      <c r="P108" s="174">
        <f>SUM(P109:P178)</f>
        <v>0</v>
      </c>
      <c r="Q108" s="173"/>
      <c r="R108" s="174">
        <f>SUM(R109:R178)</f>
        <v>0.65778749999999997</v>
      </c>
      <c r="S108" s="173"/>
      <c r="T108" s="175">
        <f>SUM(T109:T178)</f>
        <v>0</v>
      </c>
      <c r="AR108" s="176" t="s">
        <v>82</v>
      </c>
      <c r="AT108" s="177" t="s">
        <v>71</v>
      </c>
      <c r="AU108" s="177" t="s">
        <v>79</v>
      </c>
      <c r="AY108" s="176" t="s">
        <v>380</v>
      </c>
      <c r="BK108" s="178">
        <f>SUM(BK109:BK178)</f>
        <v>0</v>
      </c>
    </row>
    <row r="109" spans="1:65" s="2" customFormat="1" ht="24.2" customHeight="1">
      <c r="A109" s="36"/>
      <c r="B109" s="37"/>
      <c r="C109" s="181" t="s">
        <v>424</v>
      </c>
      <c r="D109" s="181" t="s">
        <v>382</v>
      </c>
      <c r="E109" s="182" t="s">
        <v>3949</v>
      </c>
      <c r="F109" s="183" t="s">
        <v>3950</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3951</v>
      </c>
    </row>
    <row r="110" spans="1:65" s="2" customFormat="1" ht="16.5" customHeight="1">
      <c r="A110" s="36"/>
      <c r="B110" s="37"/>
      <c r="C110" s="227" t="s">
        <v>430</v>
      </c>
      <c r="D110" s="227" t="s">
        <v>465</v>
      </c>
      <c r="E110" s="228" t="s">
        <v>3952</v>
      </c>
      <c r="F110" s="229" t="s">
        <v>3953</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3954</v>
      </c>
    </row>
    <row r="111" spans="1:65" s="2" customFormat="1" ht="39">
      <c r="A111" s="36"/>
      <c r="B111" s="37"/>
      <c r="C111" s="38"/>
      <c r="D111" s="196" t="s">
        <v>1226</v>
      </c>
      <c r="E111" s="38"/>
      <c r="F111" s="248" t="s">
        <v>3955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122</v>
      </c>
      <c r="D112" s="181" t="s">
        <v>382</v>
      </c>
      <c r="E112" s="182" t="s">
        <v>3892</v>
      </c>
      <c r="F112" s="183" t="s">
        <v>3893</v>
      </c>
      <c r="G112" s="184" t="s">
        <v>641</v>
      </c>
      <c r="H112" s="185">
        <v>11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3956</v>
      </c>
    </row>
    <row r="113" spans="1:65" s="2" customFormat="1" ht="16.5" customHeight="1">
      <c r="A113" s="36"/>
      <c r="B113" s="37"/>
      <c r="C113" s="227" t="s">
        <v>125</v>
      </c>
      <c r="D113" s="227" t="s">
        <v>465</v>
      </c>
      <c r="E113" s="228" t="s">
        <v>3895</v>
      </c>
      <c r="F113" s="229" t="s">
        <v>3896</v>
      </c>
      <c r="G113" s="230" t="s">
        <v>641</v>
      </c>
      <c r="H113" s="231">
        <v>7</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3957</v>
      </c>
    </row>
    <row r="114" spans="1:65" s="2" customFormat="1" ht="29.25">
      <c r="A114" s="36"/>
      <c r="B114" s="37"/>
      <c r="C114" s="38"/>
      <c r="D114" s="196" t="s">
        <v>1226</v>
      </c>
      <c r="E114" s="38"/>
      <c r="F114" s="248" t="s">
        <v>3898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227" t="s">
        <v>128</v>
      </c>
      <c r="D115" s="227" t="s">
        <v>465</v>
      </c>
      <c r="E115" s="228" t="s">
        <v>3958</v>
      </c>
      <c r="F115" s="229" t="s">
        <v>3959</v>
      </c>
      <c r="G115" s="230" t="s">
        <v>641</v>
      </c>
      <c r="H115" s="231">
        <v>4</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3960</v>
      </c>
    </row>
    <row r="116" spans="1:65" s="2" customFormat="1" ht="29.25">
      <c r="A116" s="36"/>
      <c r="B116" s="37"/>
      <c r="C116" s="38"/>
      <c r="D116" s="196" t="s">
        <v>1226</v>
      </c>
      <c r="E116" s="38"/>
      <c r="F116" s="248" t="s">
        <v>3961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131</v>
      </c>
      <c r="D117" s="181" t="s">
        <v>382</v>
      </c>
      <c r="E117" s="182" t="s">
        <v>3301</v>
      </c>
      <c r="F117" s="183" t="s">
        <v>3302</v>
      </c>
      <c r="G117" s="184" t="s">
        <v>641</v>
      </c>
      <c r="H117" s="185">
        <v>2</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3962</v>
      </c>
    </row>
    <row r="118" spans="1:65" s="2" customFormat="1" ht="16.5" customHeight="1">
      <c r="A118" s="36"/>
      <c r="B118" s="37"/>
      <c r="C118" s="227" t="s">
        <v>134</v>
      </c>
      <c r="D118" s="227" t="s">
        <v>465</v>
      </c>
      <c r="E118" s="228" t="s">
        <v>3304</v>
      </c>
      <c r="F118" s="229" t="s">
        <v>3305</v>
      </c>
      <c r="G118" s="230" t="s">
        <v>3278</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3963</v>
      </c>
    </row>
    <row r="119" spans="1:65" s="2" customFormat="1" ht="39">
      <c r="A119" s="36"/>
      <c r="B119" s="37"/>
      <c r="C119" s="38"/>
      <c r="D119" s="196" t="s">
        <v>1226</v>
      </c>
      <c r="E119" s="38"/>
      <c r="F119" s="248" t="s">
        <v>3964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4" customFormat="1" ht="11.25">
      <c r="B120" s="205"/>
      <c r="C120" s="206"/>
      <c r="D120" s="196" t="s">
        <v>388</v>
      </c>
      <c r="E120" s="207" t="s">
        <v>19</v>
      </c>
      <c r="F120" s="208" t="s">
        <v>82</v>
      </c>
      <c r="G120" s="206"/>
      <c r="H120" s="209">
        <v>2</v>
      </c>
      <c r="I120" s="210"/>
      <c r="J120" s="206"/>
      <c r="K120" s="206"/>
      <c r="L120" s="211"/>
      <c r="M120" s="212"/>
      <c r="N120" s="213"/>
      <c r="O120" s="213"/>
      <c r="P120" s="213"/>
      <c r="Q120" s="213"/>
      <c r="R120" s="213"/>
      <c r="S120" s="213"/>
      <c r="T120" s="214"/>
      <c r="AT120" s="215" t="s">
        <v>388</v>
      </c>
      <c r="AU120" s="215" t="s">
        <v>82</v>
      </c>
      <c r="AV120" s="14" t="s">
        <v>82</v>
      </c>
      <c r="AW120" s="14" t="s">
        <v>33</v>
      </c>
      <c r="AX120" s="14" t="s">
        <v>79</v>
      </c>
      <c r="AY120" s="215" t="s">
        <v>380</v>
      </c>
    </row>
    <row r="121" spans="1:65" s="2" customFormat="1" ht="24.2" customHeight="1">
      <c r="A121" s="36"/>
      <c r="B121" s="37"/>
      <c r="C121" s="181" t="s">
        <v>8</v>
      </c>
      <c r="D121" s="181" t="s">
        <v>382</v>
      </c>
      <c r="E121" s="182" t="s">
        <v>3903</v>
      </c>
      <c r="F121" s="183" t="s">
        <v>3904</v>
      </c>
      <c r="G121" s="184" t="s">
        <v>452</v>
      </c>
      <c r="H121" s="185">
        <v>1.95</v>
      </c>
      <c r="I121" s="186"/>
      <c r="J121" s="187">
        <f>ROUND(I121*H121,2)</f>
        <v>0</v>
      </c>
      <c r="K121" s="183" t="s">
        <v>3239</v>
      </c>
      <c r="L121" s="41"/>
      <c r="M121" s="188" t="s">
        <v>19</v>
      </c>
      <c r="N121" s="189" t="s">
        <v>43</v>
      </c>
      <c r="O121" s="66"/>
      <c r="P121" s="190">
        <f>O121*H121</f>
        <v>0</v>
      </c>
      <c r="Q121" s="190">
        <v>1.75E-3</v>
      </c>
      <c r="R121" s="190">
        <f>Q121*H121</f>
        <v>3.4125000000000002E-3</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3965</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3906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3343</v>
      </c>
      <c r="G124" s="206"/>
      <c r="H124" s="209">
        <v>1.95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2" customFormat="1" ht="24.2" customHeight="1">
      <c r="A125" s="36"/>
      <c r="B125" s="37"/>
      <c r="C125" s="181" t="s">
        <v>281</v>
      </c>
      <c r="D125" s="181" t="s">
        <v>382</v>
      </c>
      <c r="E125" s="182" t="s">
        <v>3344</v>
      </c>
      <c r="F125" s="183" t="s">
        <v>3345</v>
      </c>
      <c r="G125" s="184" t="s">
        <v>452</v>
      </c>
      <c r="H125" s="185">
        <v>88.4</v>
      </c>
      <c r="I125" s="186"/>
      <c r="J125" s="187">
        <f>ROUND(I125*H125,2)</f>
        <v>0</v>
      </c>
      <c r="K125" s="183" t="s">
        <v>3239</v>
      </c>
      <c r="L125" s="41"/>
      <c r="M125" s="188" t="s">
        <v>19</v>
      </c>
      <c r="N125" s="189" t="s">
        <v>43</v>
      </c>
      <c r="O125" s="66"/>
      <c r="P125" s="190">
        <f>O125*H125</f>
        <v>0</v>
      </c>
      <c r="Q125" s="190">
        <v>3.1199999999999999E-3</v>
      </c>
      <c r="R125" s="190">
        <f>Q125*H125</f>
        <v>0.275808</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3966</v>
      </c>
    </row>
    <row r="126" spans="1:65" s="2" customFormat="1" ht="29.25">
      <c r="A126" s="36"/>
      <c r="B126" s="37"/>
      <c r="C126" s="38"/>
      <c r="D126" s="196" t="s">
        <v>1226</v>
      </c>
      <c r="E126" s="38"/>
      <c r="F126" s="248" t="s">
        <v>3318</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13" customFormat="1" ht="11.25">
      <c r="B127" s="194"/>
      <c r="C127" s="195"/>
      <c r="D127" s="196" t="s">
        <v>388</v>
      </c>
      <c r="E127" s="197" t="s">
        <v>19</v>
      </c>
      <c r="F127" s="198" t="s">
        <v>3347</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3967</v>
      </c>
      <c r="G128" s="206"/>
      <c r="H128" s="209">
        <v>23.4</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3" customFormat="1" ht="11.25">
      <c r="B129" s="194"/>
      <c r="C129" s="195"/>
      <c r="D129" s="196" t="s">
        <v>388</v>
      </c>
      <c r="E129" s="197" t="s">
        <v>19</v>
      </c>
      <c r="F129" s="198" t="s">
        <v>3349</v>
      </c>
      <c r="G129" s="195"/>
      <c r="H129" s="197" t="s">
        <v>19</v>
      </c>
      <c r="I129" s="199"/>
      <c r="J129" s="195"/>
      <c r="K129" s="195"/>
      <c r="L129" s="200"/>
      <c r="M129" s="201"/>
      <c r="N129" s="202"/>
      <c r="O129" s="202"/>
      <c r="P129" s="202"/>
      <c r="Q129" s="202"/>
      <c r="R129" s="202"/>
      <c r="S129" s="202"/>
      <c r="T129" s="203"/>
      <c r="AT129" s="204" t="s">
        <v>388</v>
      </c>
      <c r="AU129" s="204" t="s">
        <v>82</v>
      </c>
      <c r="AV129" s="13" t="s">
        <v>79</v>
      </c>
      <c r="AW129" s="13" t="s">
        <v>33</v>
      </c>
      <c r="AX129" s="13" t="s">
        <v>72</v>
      </c>
      <c r="AY129" s="204" t="s">
        <v>380</v>
      </c>
    </row>
    <row r="130" spans="1:65" s="14" customFormat="1" ht="11.25">
      <c r="B130" s="205"/>
      <c r="C130" s="206"/>
      <c r="D130" s="196" t="s">
        <v>388</v>
      </c>
      <c r="E130" s="207" t="s">
        <v>19</v>
      </c>
      <c r="F130" s="208" t="s">
        <v>3968</v>
      </c>
      <c r="G130" s="206"/>
      <c r="H130" s="209">
        <v>12.35</v>
      </c>
      <c r="I130" s="210"/>
      <c r="J130" s="206"/>
      <c r="K130" s="206"/>
      <c r="L130" s="211"/>
      <c r="M130" s="212"/>
      <c r="N130" s="213"/>
      <c r="O130" s="213"/>
      <c r="P130" s="213"/>
      <c r="Q130" s="213"/>
      <c r="R130" s="213"/>
      <c r="S130" s="213"/>
      <c r="T130" s="214"/>
      <c r="AT130" s="215" t="s">
        <v>388</v>
      </c>
      <c r="AU130" s="215" t="s">
        <v>82</v>
      </c>
      <c r="AV130" s="14" t="s">
        <v>82</v>
      </c>
      <c r="AW130" s="14" t="s">
        <v>33</v>
      </c>
      <c r="AX130" s="14" t="s">
        <v>72</v>
      </c>
      <c r="AY130" s="215" t="s">
        <v>380</v>
      </c>
    </row>
    <row r="131" spans="1:65" s="13" customFormat="1" ht="11.25">
      <c r="B131" s="194"/>
      <c r="C131" s="195"/>
      <c r="D131" s="196" t="s">
        <v>388</v>
      </c>
      <c r="E131" s="197" t="s">
        <v>19</v>
      </c>
      <c r="F131" s="198" t="s">
        <v>3909</v>
      </c>
      <c r="G131" s="195"/>
      <c r="H131" s="197" t="s">
        <v>19</v>
      </c>
      <c r="I131" s="199"/>
      <c r="J131" s="195"/>
      <c r="K131" s="195"/>
      <c r="L131" s="200"/>
      <c r="M131" s="201"/>
      <c r="N131" s="202"/>
      <c r="O131" s="202"/>
      <c r="P131" s="202"/>
      <c r="Q131" s="202"/>
      <c r="R131" s="202"/>
      <c r="S131" s="202"/>
      <c r="T131" s="203"/>
      <c r="AT131" s="204" t="s">
        <v>388</v>
      </c>
      <c r="AU131" s="204" t="s">
        <v>82</v>
      </c>
      <c r="AV131" s="13" t="s">
        <v>79</v>
      </c>
      <c r="AW131" s="13" t="s">
        <v>33</v>
      </c>
      <c r="AX131" s="13" t="s">
        <v>72</v>
      </c>
      <c r="AY131" s="204" t="s">
        <v>380</v>
      </c>
    </row>
    <row r="132" spans="1:65" s="14" customFormat="1" ht="11.25">
      <c r="B132" s="205"/>
      <c r="C132" s="206"/>
      <c r="D132" s="196" t="s">
        <v>388</v>
      </c>
      <c r="E132" s="207" t="s">
        <v>19</v>
      </c>
      <c r="F132" s="208" t="s">
        <v>3969</v>
      </c>
      <c r="G132" s="206"/>
      <c r="H132" s="209">
        <v>27.3</v>
      </c>
      <c r="I132" s="210"/>
      <c r="J132" s="206"/>
      <c r="K132" s="206"/>
      <c r="L132" s="211"/>
      <c r="M132" s="212"/>
      <c r="N132" s="213"/>
      <c r="O132" s="213"/>
      <c r="P132" s="213"/>
      <c r="Q132" s="213"/>
      <c r="R132" s="213"/>
      <c r="S132" s="213"/>
      <c r="T132" s="214"/>
      <c r="AT132" s="215" t="s">
        <v>388</v>
      </c>
      <c r="AU132" s="215" t="s">
        <v>82</v>
      </c>
      <c r="AV132" s="14" t="s">
        <v>82</v>
      </c>
      <c r="AW132" s="14" t="s">
        <v>33</v>
      </c>
      <c r="AX132" s="14" t="s">
        <v>72</v>
      </c>
      <c r="AY132" s="215" t="s">
        <v>380</v>
      </c>
    </row>
    <row r="133" spans="1:65" s="13" customFormat="1" ht="11.25">
      <c r="B133" s="194"/>
      <c r="C133" s="195"/>
      <c r="D133" s="196" t="s">
        <v>388</v>
      </c>
      <c r="E133" s="197" t="s">
        <v>19</v>
      </c>
      <c r="F133" s="198" t="s">
        <v>3351</v>
      </c>
      <c r="G133" s="195"/>
      <c r="H133" s="197" t="s">
        <v>19</v>
      </c>
      <c r="I133" s="199"/>
      <c r="J133" s="195"/>
      <c r="K133" s="195"/>
      <c r="L133" s="200"/>
      <c r="M133" s="201"/>
      <c r="N133" s="202"/>
      <c r="O133" s="202"/>
      <c r="P133" s="202"/>
      <c r="Q133" s="202"/>
      <c r="R133" s="202"/>
      <c r="S133" s="202"/>
      <c r="T133" s="203"/>
      <c r="AT133" s="204" t="s">
        <v>388</v>
      </c>
      <c r="AU133" s="204" t="s">
        <v>82</v>
      </c>
      <c r="AV133" s="13" t="s">
        <v>79</v>
      </c>
      <c r="AW133" s="13" t="s">
        <v>33</v>
      </c>
      <c r="AX133" s="13" t="s">
        <v>72</v>
      </c>
      <c r="AY133" s="204" t="s">
        <v>380</v>
      </c>
    </row>
    <row r="134" spans="1:65" s="14" customFormat="1" ht="11.25">
      <c r="B134" s="205"/>
      <c r="C134" s="206"/>
      <c r="D134" s="196" t="s">
        <v>388</v>
      </c>
      <c r="E134" s="207" t="s">
        <v>19</v>
      </c>
      <c r="F134" s="208" t="s">
        <v>3970</v>
      </c>
      <c r="G134" s="206"/>
      <c r="H134" s="209">
        <v>25.35</v>
      </c>
      <c r="I134" s="210"/>
      <c r="J134" s="206"/>
      <c r="K134" s="206"/>
      <c r="L134" s="211"/>
      <c r="M134" s="212"/>
      <c r="N134" s="213"/>
      <c r="O134" s="213"/>
      <c r="P134" s="213"/>
      <c r="Q134" s="213"/>
      <c r="R134" s="213"/>
      <c r="S134" s="213"/>
      <c r="T134" s="214"/>
      <c r="AT134" s="215" t="s">
        <v>388</v>
      </c>
      <c r="AU134" s="215" t="s">
        <v>82</v>
      </c>
      <c r="AV134" s="14" t="s">
        <v>82</v>
      </c>
      <c r="AW134" s="14" t="s">
        <v>33</v>
      </c>
      <c r="AX134" s="14" t="s">
        <v>72</v>
      </c>
      <c r="AY134" s="215" t="s">
        <v>380</v>
      </c>
    </row>
    <row r="135" spans="1:65" s="15" customFormat="1" ht="11.25">
      <c r="B135" s="216"/>
      <c r="C135" s="217"/>
      <c r="D135" s="196" t="s">
        <v>388</v>
      </c>
      <c r="E135" s="218" t="s">
        <v>19</v>
      </c>
      <c r="F135" s="219" t="s">
        <v>419</v>
      </c>
      <c r="G135" s="217"/>
      <c r="H135" s="220">
        <v>88.4</v>
      </c>
      <c r="I135" s="221"/>
      <c r="J135" s="217"/>
      <c r="K135" s="217"/>
      <c r="L135" s="222"/>
      <c r="M135" s="223"/>
      <c r="N135" s="224"/>
      <c r="O135" s="224"/>
      <c r="P135" s="224"/>
      <c r="Q135" s="224"/>
      <c r="R135" s="224"/>
      <c r="S135" s="224"/>
      <c r="T135" s="225"/>
      <c r="AT135" s="226" t="s">
        <v>388</v>
      </c>
      <c r="AU135" s="226" t="s">
        <v>82</v>
      </c>
      <c r="AV135" s="15" t="s">
        <v>386</v>
      </c>
      <c r="AW135" s="15" t="s">
        <v>33</v>
      </c>
      <c r="AX135" s="15" t="s">
        <v>79</v>
      </c>
      <c r="AY135" s="226" t="s">
        <v>380</v>
      </c>
    </row>
    <row r="136" spans="1:65" s="2" customFormat="1" ht="24.2" customHeight="1">
      <c r="A136" s="36"/>
      <c r="B136" s="37"/>
      <c r="C136" s="181" t="s">
        <v>471</v>
      </c>
      <c r="D136" s="181" t="s">
        <v>382</v>
      </c>
      <c r="E136" s="182" t="s">
        <v>3353</v>
      </c>
      <c r="F136" s="183" t="s">
        <v>3354</v>
      </c>
      <c r="G136" s="184" t="s">
        <v>452</v>
      </c>
      <c r="H136" s="185">
        <v>42.9</v>
      </c>
      <c r="I136" s="186"/>
      <c r="J136" s="187">
        <f>ROUND(I136*H136,2)</f>
        <v>0</v>
      </c>
      <c r="K136" s="183" t="s">
        <v>3239</v>
      </c>
      <c r="L136" s="41"/>
      <c r="M136" s="188" t="s">
        <v>19</v>
      </c>
      <c r="N136" s="189" t="s">
        <v>43</v>
      </c>
      <c r="O136" s="66"/>
      <c r="P136" s="190">
        <f>O136*H136</f>
        <v>0</v>
      </c>
      <c r="Q136" s="190">
        <v>6.5300000000000002E-3</v>
      </c>
      <c r="R136" s="190">
        <f>Q136*H136</f>
        <v>0.28013700000000002</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3971</v>
      </c>
    </row>
    <row r="137" spans="1:65" s="2" customFormat="1" ht="29.25">
      <c r="A137" s="36"/>
      <c r="B137" s="37"/>
      <c r="C137" s="38"/>
      <c r="D137" s="196" t="s">
        <v>1226</v>
      </c>
      <c r="E137" s="38"/>
      <c r="F137" s="248" t="s">
        <v>3318</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1226</v>
      </c>
      <c r="AU137" s="19" t="s">
        <v>82</v>
      </c>
    </row>
    <row r="138" spans="1:65" s="13" customFormat="1" ht="11.25">
      <c r="B138" s="194"/>
      <c r="C138" s="195"/>
      <c r="D138" s="196" t="s">
        <v>388</v>
      </c>
      <c r="E138" s="197" t="s">
        <v>19</v>
      </c>
      <c r="F138" s="198" t="s">
        <v>3496</v>
      </c>
      <c r="G138" s="195"/>
      <c r="H138" s="197" t="s">
        <v>19</v>
      </c>
      <c r="I138" s="199"/>
      <c r="J138" s="195"/>
      <c r="K138" s="195"/>
      <c r="L138" s="200"/>
      <c r="M138" s="201"/>
      <c r="N138" s="202"/>
      <c r="O138" s="202"/>
      <c r="P138" s="202"/>
      <c r="Q138" s="202"/>
      <c r="R138" s="202"/>
      <c r="S138" s="202"/>
      <c r="T138" s="203"/>
      <c r="AT138" s="204" t="s">
        <v>388</v>
      </c>
      <c r="AU138" s="204" t="s">
        <v>82</v>
      </c>
      <c r="AV138" s="13" t="s">
        <v>79</v>
      </c>
      <c r="AW138" s="13" t="s">
        <v>33</v>
      </c>
      <c r="AX138" s="13" t="s">
        <v>72</v>
      </c>
      <c r="AY138" s="204" t="s">
        <v>380</v>
      </c>
    </row>
    <row r="139" spans="1:65" s="14" customFormat="1" ht="11.25">
      <c r="B139" s="205"/>
      <c r="C139" s="206"/>
      <c r="D139" s="196" t="s">
        <v>388</v>
      </c>
      <c r="E139" s="207" t="s">
        <v>19</v>
      </c>
      <c r="F139" s="208" t="s">
        <v>3972</v>
      </c>
      <c r="G139" s="206"/>
      <c r="H139" s="209">
        <v>39.65</v>
      </c>
      <c r="I139" s="210"/>
      <c r="J139" s="206"/>
      <c r="K139" s="206"/>
      <c r="L139" s="211"/>
      <c r="M139" s="212"/>
      <c r="N139" s="213"/>
      <c r="O139" s="213"/>
      <c r="P139" s="213"/>
      <c r="Q139" s="213"/>
      <c r="R139" s="213"/>
      <c r="S139" s="213"/>
      <c r="T139" s="214"/>
      <c r="AT139" s="215" t="s">
        <v>388</v>
      </c>
      <c r="AU139" s="215" t="s">
        <v>82</v>
      </c>
      <c r="AV139" s="14" t="s">
        <v>82</v>
      </c>
      <c r="AW139" s="14" t="s">
        <v>33</v>
      </c>
      <c r="AX139" s="14" t="s">
        <v>72</v>
      </c>
      <c r="AY139" s="215" t="s">
        <v>380</v>
      </c>
    </row>
    <row r="140" spans="1:65" s="13" customFormat="1" ht="11.25">
      <c r="B140" s="194"/>
      <c r="C140" s="195"/>
      <c r="D140" s="196" t="s">
        <v>388</v>
      </c>
      <c r="E140" s="197" t="s">
        <v>19</v>
      </c>
      <c r="F140" s="198" t="s">
        <v>3356</v>
      </c>
      <c r="G140" s="195"/>
      <c r="H140" s="197" t="s">
        <v>19</v>
      </c>
      <c r="I140" s="199"/>
      <c r="J140" s="195"/>
      <c r="K140" s="195"/>
      <c r="L140" s="200"/>
      <c r="M140" s="201"/>
      <c r="N140" s="202"/>
      <c r="O140" s="202"/>
      <c r="P140" s="202"/>
      <c r="Q140" s="202"/>
      <c r="R140" s="202"/>
      <c r="S140" s="202"/>
      <c r="T140" s="203"/>
      <c r="AT140" s="204" t="s">
        <v>388</v>
      </c>
      <c r="AU140" s="204" t="s">
        <v>82</v>
      </c>
      <c r="AV140" s="13" t="s">
        <v>79</v>
      </c>
      <c r="AW140" s="13" t="s">
        <v>33</v>
      </c>
      <c r="AX140" s="13" t="s">
        <v>72</v>
      </c>
      <c r="AY140" s="204" t="s">
        <v>380</v>
      </c>
    </row>
    <row r="141" spans="1:65" s="14" customFormat="1" ht="11.25">
      <c r="B141" s="205"/>
      <c r="C141" s="206"/>
      <c r="D141" s="196" t="s">
        <v>388</v>
      </c>
      <c r="E141" s="207" t="s">
        <v>19</v>
      </c>
      <c r="F141" s="208" t="s">
        <v>3912</v>
      </c>
      <c r="G141" s="206"/>
      <c r="H141" s="209">
        <v>3.25</v>
      </c>
      <c r="I141" s="210"/>
      <c r="J141" s="206"/>
      <c r="K141" s="206"/>
      <c r="L141" s="211"/>
      <c r="M141" s="212"/>
      <c r="N141" s="213"/>
      <c r="O141" s="213"/>
      <c r="P141" s="213"/>
      <c r="Q141" s="213"/>
      <c r="R141" s="213"/>
      <c r="S141" s="213"/>
      <c r="T141" s="214"/>
      <c r="AT141" s="215" t="s">
        <v>388</v>
      </c>
      <c r="AU141" s="215" t="s">
        <v>82</v>
      </c>
      <c r="AV141" s="14" t="s">
        <v>82</v>
      </c>
      <c r="AW141" s="14" t="s">
        <v>33</v>
      </c>
      <c r="AX141" s="14" t="s">
        <v>72</v>
      </c>
      <c r="AY141" s="215" t="s">
        <v>380</v>
      </c>
    </row>
    <row r="142" spans="1:65" s="15" customFormat="1" ht="11.25">
      <c r="B142" s="216"/>
      <c r="C142" s="217"/>
      <c r="D142" s="196" t="s">
        <v>388</v>
      </c>
      <c r="E142" s="218" t="s">
        <v>19</v>
      </c>
      <c r="F142" s="219" t="s">
        <v>419</v>
      </c>
      <c r="G142" s="217"/>
      <c r="H142" s="220">
        <v>42.9</v>
      </c>
      <c r="I142" s="221"/>
      <c r="J142" s="217"/>
      <c r="K142" s="217"/>
      <c r="L142" s="222"/>
      <c r="M142" s="223"/>
      <c r="N142" s="224"/>
      <c r="O142" s="224"/>
      <c r="P142" s="224"/>
      <c r="Q142" s="224"/>
      <c r="R142" s="224"/>
      <c r="S142" s="224"/>
      <c r="T142" s="225"/>
      <c r="AT142" s="226" t="s">
        <v>388</v>
      </c>
      <c r="AU142" s="226" t="s">
        <v>82</v>
      </c>
      <c r="AV142" s="15" t="s">
        <v>386</v>
      </c>
      <c r="AW142" s="15" t="s">
        <v>33</v>
      </c>
      <c r="AX142" s="15" t="s">
        <v>79</v>
      </c>
      <c r="AY142" s="226" t="s">
        <v>380</v>
      </c>
    </row>
    <row r="143" spans="1:65" s="2" customFormat="1" ht="24.2" customHeight="1">
      <c r="A143" s="36"/>
      <c r="B143" s="37"/>
      <c r="C143" s="181" t="s">
        <v>477</v>
      </c>
      <c r="D143" s="181" t="s">
        <v>382</v>
      </c>
      <c r="E143" s="182" t="s">
        <v>3973</v>
      </c>
      <c r="F143" s="183" t="s">
        <v>3974</v>
      </c>
      <c r="G143" s="184" t="s">
        <v>641</v>
      </c>
      <c r="H143" s="185">
        <v>1</v>
      </c>
      <c r="I143" s="186"/>
      <c r="J143" s="187">
        <f>ROUND(I143*H143,2)</f>
        <v>0</v>
      </c>
      <c r="K143" s="183" t="s">
        <v>3239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3975</v>
      </c>
    </row>
    <row r="144" spans="1:65" s="2" customFormat="1" ht="16.5" customHeight="1">
      <c r="A144" s="36"/>
      <c r="B144" s="37"/>
      <c r="C144" s="227" t="s">
        <v>284</v>
      </c>
      <c r="D144" s="227" t="s">
        <v>465</v>
      </c>
      <c r="E144" s="228" t="s">
        <v>3442</v>
      </c>
      <c r="F144" s="229" t="s">
        <v>3976</v>
      </c>
      <c r="G144" s="230" t="s">
        <v>3278</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546</v>
      </c>
      <c r="AT144" s="192" t="s">
        <v>465</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3977</v>
      </c>
    </row>
    <row r="145" spans="1:65" s="2" customFormat="1" ht="19.5">
      <c r="A145" s="36"/>
      <c r="B145" s="37"/>
      <c r="C145" s="38"/>
      <c r="D145" s="196" t="s">
        <v>1226</v>
      </c>
      <c r="E145" s="38"/>
      <c r="F145" s="248" t="s">
        <v>3978</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1226</v>
      </c>
      <c r="AU145" s="19" t="s">
        <v>82</v>
      </c>
    </row>
    <row r="146" spans="1:65" s="2" customFormat="1" ht="24.2" customHeight="1">
      <c r="A146" s="36"/>
      <c r="B146" s="37"/>
      <c r="C146" s="181" t="s">
        <v>486</v>
      </c>
      <c r="D146" s="181" t="s">
        <v>382</v>
      </c>
      <c r="E146" s="182" t="s">
        <v>3979</v>
      </c>
      <c r="F146" s="183" t="s">
        <v>3980</v>
      </c>
      <c r="G146" s="184" t="s">
        <v>641</v>
      </c>
      <c r="H146" s="185">
        <v>1</v>
      </c>
      <c r="I146" s="186"/>
      <c r="J146" s="187">
        <f>ROUND(I146*H146,2)</f>
        <v>0</v>
      </c>
      <c r="K146" s="183" t="s">
        <v>3239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3981</v>
      </c>
    </row>
    <row r="147" spans="1:65" s="2" customFormat="1" ht="16.5" customHeight="1">
      <c r="A147" s="36"/>
      <c r="B147" s="37"/>
      <c r="C147" s="227" t="s">
        <v>7</v>
      </c>
      <c r="D147" s="227" t="s">
        <v>465</v>
      </c>
      <c r="E147" s="228" t="s">
        <v>3982</v>
      </c>
      <c r="F147" s="229" t="s">
        <v>3983</v>
      </c>
      <c r="G147" s="230" t="s">
        <v>3278</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546</v>
      </c>
      <c r="AT147" s="192" t="s">
        <v>465</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3984</v>
      </c>
    </row>
    <row r="148" spans="1:65" s="2" customFormat="1" ht="19.5">
      <c r="A148" s="36"/>
      <c r="B148" s="37"/>
      <c r="C148" s="38"/>
      <c r="D148" s="196" t="s">
        <v>1226</v>
      </c>
      <c r="E148" s="38"/>
      <c r="F148" s="248" t="s">
        <v>3985</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82</v>
      </c>
    </row>
    <row r="149" spans="1:65" s="2" customFormat="1" ht="24.2" customHeight="1">
      <c r="A149" s="36"/>
      <c r="B149" s="37"/>
      <c r="C149" s="181" t="s">
        <v>495</v>
      </c>
      <c r="D149" s="181" t="s">
        <v>382</v>
      </c>
      <c r="E149" s="182" t="s">
        <v>3365</v>
      </c>
      <c r="F149" s="183" t="s">
        <v>3366</v>
      </c>
      <c r="G149" s="184" t="s">
        <v>641</v>
      </c>
      <c r="H149" s="185">
        <v>1</v>
      </c>
      <c r="I149" s="186"/>
      <c r="J149" s="187">
        <f>ROUND(I149*H149,2)</f>
        <v>0</v>
      </c>
      <c r="K149" s="183" t="s">
        <v>3239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3986</v>
      </c>
    </row>
    <row r="150" spans="1:65" s="2" customFormat="1" ht="16.5" customHeight="1">
      <c r="A150" s="36"/>
      <c r="B150" s="37"/>
      <c r="C150" s="227" t="s">
        <v>500</v>
      </c>
      <c r="D150" s="227" t="s">
        <v>465</v>
      </c>
      <c r="E150" s="228" t="s">
        <v>3987</v>
      </c>
      <c r="F150" s="229" t="s">
        <v>3988</v>
      </c>
      <c r="G150" s="230" t="s">
        <v>3278</v>
      </c>
      <c r="H150" s="231">
        <v>1</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546</v>
      </c>
      <c r="AT150" s="192" t="s">
        <v>465</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3989</v>
      </c>
    </row>
    <row r="151" spans="1:65" s="2" customFormat="1" ht="19.5">
      <c r="A151" s="36"/>
      <c r="B151" s="37"/>
      <c r="C151" s="38"/>
      <c r="D151" s="196" t="s">
        <v>1226</v>
      </c>
      <c r="E151" s="38"/>
      <c r="F151" s="248" t="s">
        <v>3990</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82</v>
      </c>
    </row>
    <row r="152" spans="1:65" s="2" customFormat="1" ht="21.75" customHeight="1">
      <c r="A152" s="36"/>
      <c r="B152" s="37"/>
      <c r="C152" s="181" t="s">
        <v>505</v>
      </c>
      <c r="D152" s="181" t="s">
        <v>382</v>
      </c>
      <c r="E152" s="182" t="s">
        <v>3372</v>
      </c>
      <c r="F152" s="183" t="s">
        <v>3373</v>
      </c>
      <c r="G152" s="184" t="s">
        <v>452</v>
      </c>
      <c r="H152" s="185">
        <v>5.85</v>
      </c>
      <c r="I152" s="186"/>
      <c r="J152" s="187">
        <f>ROUND(I152*H152,2)</f>
        <v>0</v>
      </c>
      <c r="K152" s="183" t="s">
        <v>3239</v>
      </c>
      <c r="L152" s="41"/>
      <c r="M152" s="188" t="s">
        <v>19</v>
      </c>
      <c r="N152" s="189"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281</v>
      </c>
      <c r="AT152" s="192" t="s">
        <v>382</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3991</v>
      </c>
    </row>
    <row r="153" spans="1:65" s="2" customFormat="1" ht="16.5" customHeight="1">
      <c r="A153" s="36"/>
      <c r="B153" s="37"/>
      <c r="C153" s="227" t="s">
        <v>509</v>
      </c>
      <c r="D153" s="227" t="s">
        <v>465</v>
      </c>
      <c r="E153" s="228" t="s">
        <v>3922</v>
      </c>
      <c r="F153" s="229" t="s">
        <v>3376</v>
      </c>
      <c r="G153" s="230" t="s">
        <v>452</v>
      </c>
      <c r="H153" s="231">
        <v>4.55</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546</v>
      </c>
      <c r="AT153" s="192" t="s">
        <v>465</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3992</v>
      </c>
    </row>
    <row r="154" spans="1:65" s="2" customFormat="1" ht="117">
      <c r="A154" s="36"/>
      <c r="B154" s="37"/>
      <c r="C154" s="38"/>
      <c r="D154" s="196" t="s">
        <v>1226</v>
      </c>
      <c r="E154" s="38"/>
      <c r="F154" s="248" t="s">
        <v>3378</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1226</v>
      </c>
      <c r="AU154" s="19" t="s">
        <v>82</v>
      </c>
    </row>
    <row r="155" spans="1:65" s="14" customFormat="1" ht="11.25">
      <c r="B155" s="205"/>
      <c r="C155" s="206"/>
      <c r="D155" s="196" t="s">
        <v>388</v>
      </c>
      <c r="E155" s="207" t="s">
        <v>19</v>
      </c>
      <c r="F155" s="208" t="s">
        <v>3993</v>
      </c>
      <c r="G155" s="206"/>
      <c r="H155" s="209">
        <v>4.55</v>
      </c>
      <c r="I155" s="210"/>
      <c r="J155" s="206"/>
      <c r="K155" s="206"/>
      <c r="L155" s="211"/>
      <c r="M155" s="212"/>
      <c r="N155" s="213"/>
      <c r="O155" s="213"/>
      <c r="P155" s="213"/>
      <c r="Q155" s="213"/>
      <c r="R155" s="213"/>
      <c r="S155" s="213"/>
      <c r="T155" s="214"/>
      <c r="AT155" s="215" t="s">
        <v>388</v>
      </c>
      <c r="AU155" s="215" t="s">
        <v>82</v>
      </c>
      <c r="AV155" s="14" t="s">
        <v>82</v>
      </c>
      <c r="AW155" s="14" t="s">
        <v>33</v>
      </c>
      <c r="AX155" s="14" t="s">
        <v>72</v>
      </c>
      <c r="AY155" s="215" t="s">
        <v>380</v>
      </c>
    </row>
    <row r="156" spans="1:65" s="15" customFormat="1" ht="11.25">
      <c r="B156" s="216"/>
      <c r="C156" s="217"/>
      <c r="D156" s="196" t="s">
        <v>388</v>
      </c>
      <c r="E156" s="218" t="s">
        <v>19</v>
      </c>
      <c r="F156" s="219" t="s">
        <v>419</v>
      </c>
      <c r="G156" s="217"/>
      <c r="H156" s="220">
        <v>4.55</v>
      </c>
      <c r="I156" s="221"/>
      <c r="J156" s="217"/>
      <c r="K156" s="217"/>
      <c r="L156" s="222"/>
      <c r="M156" s="223"/>
      <c r="N156" s="224"/>
      <c r="O156" s="224"/>
      <c r="P156" s="224"/>
      <c r="Q156" s="224"/>
      <c r="R156" s="224"/>
      <c r="S156" s="224"/>
      <c r="T156" s="225"/>
      <c r="AT156" s="226" t="s">
        <v>388</v>
      </c>
      <c r="AU156" s="226" t="s">
        <v>82</v>
      </c>
      <c r="AV156" s="15" t="s">
        <v>386</v>
      </c>
      <c r="AW156" s="15" t="s">
        <v>33</v>
      </c>
      <c r="AX156" s="15" t="s">
        <v>79</v>
      </c>
      <c r="AY156" s="226" t="s">
        <v>380</v>
      </c>
    </row>
    <row r="157" spans="1:65" s="2" customFormat="1" ht="16.5" customHeight="1">
      <c r="A157" s="36"/>
      <c r="B157" s="37"/>
      <c r="C157" s="227" t="s">
        <v>514</v>
      </c>
      <c r="D157" s="227" t="s">
        <v>465</v>
      </c>
      <c r="E157" s="228" t="s">
        <v>3994</v>
      </c>
      <c r="F157" s="229" t="s">
        <v>3381</v>
      </c>
      <c r="G157" s="230" t="s">
        <v>452</v>
      </c>
      <c r="H157" s="231">
        <v>1.3</v>
      </c>
      <c r="I157" s="232"/>
      <c r="J157" s="233">
        <f>ROUND(I157*H157,2)</f>
        <v>0</v>
      </c>
      <c r="K157" s="229" t="s">
        <v>19</v>
      </c>
      <c r="L157" s="234"/>
      <c r="M157" s="235" t="s">
        <v>19</v>
      </c>
      <c r="N157" s="236"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546</v>
      </c>
      <c r="AT157" s="192" t="s">
        <v>465</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3995</v>
      </c>
    </row>
    <row r="158" spans="1:65" s="2" customFormat="1" ht="117">
      <c r="A158" s="36"/>
      <c r="B158" s="37"/>
      <c r="C158" s="38"/>
      <c r="D158" s="196" t="s">
        <v>1226</v>
      </c>
      <c r="E158" s="38"/>
      <c r="F158" s="248" t="s">
        <v>3378</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82</v>
      </c>
    </row>
    <row r="159" spans="1:65" s="14" customFormat="1" ht="11.25">
      <c r="B159" s="205"/>
      <c r="C159" s="206"/>
      <c r="D159" s="196" t="s">
        <v>388</v>
      </c>
      <c r="E159" s="207" t="s">
        <v>19</v>
      </c>
      <c r="F159" s="208" t="s">
        <v>3911</v>
      </c>
      <c r="G159" s="206"/>
      <c r="H159" s="209">
        <v>1.3</v>
      </c>
      <c r="I159" s="210"/>
      <c r="J159" s="206"/>
      <c r="K159" s="206"/>
      <c r="L159" s="211"/>
      <c r="M159" s="212"/>
      <c r="N159" s="213"/>
      <c r="O159" s="213"/>
      <c r="P159" s="213"/>
      <c r="Q159" s="213"/>
      <c r="R159" s="213"/>
      <c r="S159" s="213"/>
      <c r="T159" s="214"/>
      <c r="AT159" s="215" t="s">
        <v>388</v>
      </c>
      <c r="AU159" s="215" t="s">
        <v>82</v>
      </c>
      <c r="AV159" s="14" t="s">
        <v>82</v>
      </c>
      <c r="AW159" s="14" t="s">
        <v>33</v>
      </c>
      <c r="AX159" s="14" t="s">
        <v>72</v>
      </c>
      <c r="AY159" s="215" t="s">
        <v>380</v>
      </c>
    </row>
    <row r="160" spans="1:65" s="15" customFormat="1" ht="11.25">
      <c r="B160" s="216"/>
      <c r="C160" s="217"/>
      <c r="D160" s="196" t="s">
        <v>388</v>
      </c>
      <c r="E160" s="218" t="s">
        <v>19</v>
      </c>
      <c r="F160" s="219" t="s">
        <v>419</v>
      </c>
      <c r="G160" s="217"/>
      <c r="H160" s="220">
        <v>1.3</v>
      </c>
      <c r="I160" s="221"/>
      <c r="J160" s="217"/>
      <c r="K160" s="217"/>
      <c r="L160" s="222"/>
      <c r="M160" s="223"/>
      <c r="N160" s="224"/>
      <c r="O160" s="224"/>
      <c r="P160" s="224"/>
      <c r="Q160" s="224"/>
      <c r="R160" s="224"/>
      <c r="S160" s="224"/>
      <c r="T160" s="225"/>
      <c r="AT160" s="226" t="s">
        <v>388</v>
      </c>
      <c r="AU160" s="226" t="s">
        <v>82</v>
      </c>
      <c r="AV160" s="15" t="s">
        <v>386</v>
      </c>
      <c r="AW160" s="15" t="s">
        <v>33</v>
      </c>
      <c r="AX160" s="15" t="s">
        <v>79</v>
      </c>
      <c r="AY160" s="226" t="s">
        <v>380</v>
      </c>
    </row>
    <row r="161" spans="1:65" s="2" customFormat="1" ht="24.2" customHeight="1">
      <c r="A161" s="36"/>
      <c r="B161" s="37"/>
      <c r="C161" s="181" t="s">
        <v>520</v>
      </c>
      <c r="D161" s="181" t="s">
        <v>382</v>
      </c>
      <c r="E161" s="182" t="s">
        <v>3393</v>
      </c>
      <c r="F161" s="183" t="s">
        <v>3394</v>
      </c>
      <c r="G161" s="184" t="s">
        <v>452</v>
      </c>
      <c r="H161" s="185">
        <v>133.5</v>
      </c>
      <c r="I161" s="186"/>
      <c r="J161" s="187">
        <f>ROUND(I161*H161,2)</f>
        <v>0</v>
      </c>
      <c r="K161" s="183" t="s">
        <v>3239</v>
      </c>
      <c r="L161" s="41"/>
      <c r="M161" s="188" t="s">
        <v>19</v>
      </c>
      <c r="N161" s="189" t="s">
        <v>43</v>
      </c>
      <c r="O161" s="66"/>
      <c r="P161" s="190">
        <f>O161*H161</f>
        <v>0</v>
      </c>
      <c r="Q161" s="190">
        <v>6.9999999999999999E-4</v>
      </c>
      <c r="R161" s="190">
        <f>Q161*H161</f>
        <v>9.3450000000000005E-2</v>
      </c>
      <c r="S161" s="190">
        <v>0</v>
      </c>
      <c r="T161" s="191">
        <f>S161*H161</f>
        <v>0</v>
      </c>
      <c r="U161" s="36"/>
      <c r="V161" s="36"/>
      <c r="W161" s="36"/>
      <c r="X161" s="36"/>
      <c r="Y161" s="36"/>
      <c r="Z161" s="36"/>
      <c r="AA161" s="36"/>
      <c r="AB161" s="36"/>
      <c r="AC161" s="36"/>
      <c r="AD161" s="36"/>
      <c r="AE161" s="36"/>
      <c r="AR161" s="192" t="s">
        <v>281</v>
      </c>
      <c r="AT161" s="192" t="s">
        <v>382</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3996</v>
      </c>
    </row>
    <row r="162" spans="1:65" s="14" customFormat="1" ht="11.25">
      <c r="B162" s="205"/>
      <c r="C162" s="206"/>
      <c r="D162" s="196" t="s">
        <v>388</v>
      </c>
      <c r="E162" s="207" t="s">
        <v>19</v>
      </c>
      <c r="F162" s="208" t="s">
        <v>3997</v>
      </c>
      <c r="G162" s="206"/>
      <c r="H162" s="209">
        <v>133.5</v>
      </c>
      <c r="I162" s="210"/>
      <c r="J162" s="206"/>
      <c r="K162" s="206"/>
      <c r="L162" s="211"/>
      <c r="M162" s="212"/>
      <c r="N162" s="213"/>
      <c r="O162" s="213"/>
      <c r="P162" s="213"/>
      <c r="Q162" s="213"/>
      <c r="R162" s="213"/>
      <c r="S162" s="213"/>
      <c r="T162" s="214"/>
      <c r="AT162" s="215" t="s">
        <v>388</v>
      </c>
      <c r="AU162" s="215" t="s">
        <v>82</v>
      </c>
      <c r="AV162" s="14" t="s">
        <v>82</v>
      </c>
      <c r="AW162" s="14" t="s">
        <v>33</v>
      </c>
      <c r="AX162" s="14" t="s">
        <v>79</v>
      </c>
      <c r="AY162" s="215" t="s">
        <v>380</v>
      </c>
    </row>
    <row r="163" spans="1:65" s="2" customFormat="1" ht="24.2" customHeight="1">
      <c r="A163" s="36"/>
      <c r="B163" s="37"/>
      <c r="C163" s="181" t="s">
        <v>525</v>
      </c>
      <c r="D163" s="181" t="s">
        <v>382</v>
      </c>
      <c r="E163" s="182" t="s">
        <v>3689</v>
      </c>
      <c r="F163" s="183" t="s">
        <v>3690</v>
      </c>
      <c r="G163" s="184" t="s">
        <v>641</v>
      </c>
      <c r="H163" s="185">
        <v>1</v>
      </c>
      <c r="I163" s="186"/>
      <c r="J163" s="187">
        <f>ROUND(I163*H163,2)</f>
        <v>0</v>
      </c>
      <c r="K163" s="183" t="s">
        <v>3239</v>
      </c>
      <c r="L163" s="41"/>
      <c r="M163" s="188" t="s">
        <v>19</v>
      </c>
      <c r="N163" s="189" t="s">
        <v>43</v>
      </c>
      <c r="O163" s="66"/>
      <c r="P163" s="190">
        <f>O163*H163</f>
        <v>0</v>
      </c>
      <c r="Q163" s="190">
        <v>1.17E-3</v>
      </c>
      <c r="R163" s="190">
        <f>Q163*H163</f>
        <v>1.17E-3</v>
      </c>
      <c r="S163" s="190">
        <v>0</v>
      </c>
      <c r="T163" s="191">
        <f>S163*H163</f>
        <v>0</v>
      </c>
      <c r="U163" s="36"/>
      <c r="V163" s="36"/>
      <c r="W163" s="36"/>
      <c r="X163" s="36"/>
      <c r="Y163" s="36"/>
      <c r="Z163" s="36"/>
      <c r="AA163" s="36"/>
      <c r="AB163" s="36"/>
      <c r="AC163" s="36"/>
      <c r="AD163" s="36"/>
      <c r="AE163" s="36"/>
      <c r="AR163" s="192" t="s">
        <v>281</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3998</v>
      </c>
    </row>
    <row r="164" spans="1:65" s="13" customFormat="1" ht="11.25">
      <c r="B164" s="194"/>
      <c r="C164" s="195"/>
      <c r="D164" s="196" t="s">
        <v>388</v>
      </c>
      <c r="E164" s="197" t="s">
        <v>19</v>
      </c>
      <c r="F164" s="198" t="s">
        <v>3999</v>
      </c>
      <c r="G164" s="195"/>
      <c r="H164" s="197" t="s">
        <v>19</v>
      </c>
      <c r="I164" s="199"/>
      <c r="J164" s="195"/>
      <c r="K164" s="195"/>
      <c r="L164" s="200"/>
      <c r="M164" s="201"/>
      <c r="N164" s="202"/>
      <c r="O164" s="202"/>
      <c r="P164" s="202"/>
      <c r="Q164" s="202"/>
      <c r="R164" s="202"/>
      <c r="S164" s="202"/>
      <c r="T164" s="203"/>
      <c r="AT164" s="204" t="s">
        <v>388</v>
      </c>
      <c r="AU164" s="204" t="s">
        <v>82</v>
      </c>
      <c r="AV164" s="13" t="s">
        <v>79</v>
      </c>
      <c r="AW164" s="13" t="s">
        <v>33</v>
      </c>
      <c r="AX164" s="13" t="s">
        <v>72</v>
      </c>
      <c r="AY164" s="204" t="s">
        <v>380</v>
      </c>
    </row>
    <row r="165" spans="1:65" s="14" customFormat="1" ht="11.25">
      <c r="B165" s="205"/>
      <c r="C165" s="206"/>
      <c r="D165" s="196" t="s">
        <v>388</v>
      </c>
      <c r="E165" s="207" t="s">
        <v>19</v>
      </c>
      <c r="F165" s="208" t="s">
        <v>79</v>
      </c>
      <c r="G165" s="206"/>
      <c r="H165" s="209">
        <v>1</v>
      </c>
      <c r="I165" s="210"/>
      <c r="J165" s="206"/>
      <c r="K165" s="206"/>
      <c r="L165" s="211"/>
      <c r="M165" s="212"/>
      <c r="N165" s="213"/>
      <c r="O165" s="213"/>
      <c r="P165" s="213"/>
      <c r="Q165" s="213"/>
      <c r="R165" s="213"/>
      <c r="S165" s="213"/>
      <c r="T165" s="214"/>
      <c r="AT165" s="215" t="s">
        <v>388</v>
      </c>
      <c r="AU165" s="215" t="s">
        <v>82</v>
      </c>
      <c r="AV165" s="14" t="s">
        <v>82</v>
      </c>
      <c r="AW165" s="14" t="s">
        <v>33</v>
      </c>
      <c r="AX165" s="14" t="s">
        <v>72</v>
      </c>
      <c r="AY165" s="215" t="s">
        <v>380</v>
      </c>
    </row>
    <row r="166" spans="1:65" s="15" customFormat="1" ht="11.25">
      <c r="B166" s="216"/>
      <c r="C166" s="217"/>
      <c r="D166" s="196" t="s">
        <v>388</v>
      </c>
      <c r="E166" s="218" t="s">
        <v>19</v>
      </c>
      <c r="F166" s="219" t="s">
        <v>419</v>
      </c>
      <c r="G166" s="217"/>
      <c r="H166" s="220">
        <v>1</v>
      </c>
      <c r="I166" s="221"/>
      <c r="J166" s="217"/>
      <c r="K166" s="217"/>
      <c r="L166" s="222"/>
      <c r="M166" s="223"/>
      <c r="N166" s="224"/>
      <c r="O166" s="224"/>
      <c r="P166" s="224"/>
      <c r="Q166" s="224"/>
      <c r="R166" s="224"/>
      <c r="S166" s="224"/>
      <c r="T166" s="225"/>
      <c r="AT166" s="226" t="s">
        <v>388</v>
      </c>
      <c r="AU166" s="226" t="s">
        <v>82</v>
      </c>
      <c r="AV166" s="15" t="s">
        <v>386</v>
      </c>
      <c r="AW166" s="15" t="s">
        <v>33</v>
      </c>
      <c r="AX166" s="15" t="s">
        <v>79</v>
      </c>
      <c r="AY166" s="226" t="s">
        <v>380</v>
      </c>
    </row>
    <row r="167" spans="1:65" s="2" customFormat="1" ht="24.2" customHeight="1">
      <c r="A167" s="36"/>
      <c r="B167" s="37"/>
      <c r="C167" s="181" t="s">
        <v>529</v>
      </c>
      <c r="D167" s="181" t="s">
        <v>382</v>
      </c>
      <c r="E167" s="182" t="s">
        <v>4000</v>
      </c>
      <c r="F167" s="183" t="s">
        <v>4001</v>
      </c>
      <c r="G167" s="184" t="s">
        <v>641</v>
      </c>
      <c r="H167" s="185">
        <v>1</v>
      </c>
      <c r="I167" s="186"/>
      <c r="J167" s="187">
        <f>ROUND(I167*H167,2)</f>
        <v>0</v>
      </c>
      <c r="K167" s="183" t="s">
        <v>3239</v>
      </c>
      <c r="L167" s="41"/>
      <c r="M167" s="188" t="s">
        <v>19</v>
      </c>
      <c r="N167" s="189" t="s">
        <v>43</v>
      </c>
      <c r="O167" s="66"/>
      <c r="P167" s="190">
        <f>O167*H167</f>
        <v>0</v>
      </c>
      <c r="Q167" s="190">
        <v>9.7000000000000005E-4</v>
      </c>
      <c r="R167" s="190">
        <f>Q167*H167</f>
        <v>9.7000000000000005E-4</v>
      </c>
      <c r="S167" s="190">
        <v>0</v>
      </c>
      <c r="T167" s="191">
        <f>S167*H167</f>
        <v>0</v>
      </c>
      <c r="U167" s="36"/>
      <c r="V167" s="36"/>
      <c r="W167" s="36"/>
      <c r="X167" s="36"/>
      <c r="Y167" s="36"/>
      <c r="Z167" s="36"/>
      <c r="AA167" s="36"/>
      <c r="AB167" s="36"/>
      <c r="AC167" s="36"/>
      <c r="AD167" s="36"/>
      <c r="AE167" s="36"/>
      <c r="AR167" s="192" t="s">
        <v>281</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4002</v>
      </c>
    </row>
    <row r="168" spans="1:65" s="13" customFormat="1" ht="11.25">
      <c r="B168" s="194"/>
      <c r="C168" s="195"/>
      <c r="D168" s="196" t="s">
        <v>388</v>
      </c>
      <c r="E168" s="197" t="s">
        <v>19</v>
      </c>
      <c r="F168" s="198" t="s">
        <v>4003</v>
      </c>
      <c r="G168" s="195"/>
      <c r="H168" s="197" t="s">
        <v>19</v>
      </c>
      <c r="I168" s="199"/>
      <c r="J168" s="195"/>
      <c r="K168" s="195"/>
      <c r="L168" s="200"/>
      <c r="M168" s="201"/>
      <c r="N168" s="202"/>
      <c r="O168" s="202"/>
      <c r="P168" s="202"/>
      <c r="Q168" s="202"/>
      <c r="R168" s="202"/>
      <c r="S168" s="202"/>
      <c r="T168" s="203"/>
      <c r="AT168" s="204" t="s">
        <v>388</v>
      </c>
      <c r="AU168" s="204" t="s">
        <v>82</v>
      </c>
      <c r="AV168" s="13" t="s">
        <v>79</v>
      </c>
      <c r="AW168" s="13" t="s">
        <v>33</v>
      </c>
      <c r="AX168" s="13" t="s">
        <v>72</v>
      </c>
      <c r="AY168" s="204" t="s">
        <v>380</v>
      </c>
    </row>
    <row r="169" spans="1:65" s="14" customFormat="1" ht="11.25">
      <c r="B169" s="205"/>
      <c r="C169" s="206"/>
      <c r="D169" s="196" t="s">
        <v>388</v>
      </c>
      <c r="E169" s="207" t="s">
        <v>19</v>
      </c>
      <c r="F169" s="208" t="s">
        <v>79</v>
      </c>
      <c r="G169" s="206"/>
      <c r="H169" s="209">
        <v>1</v>
      </c>
      <c r="I169" s="210"/>
      <c r="J169" s="206"/>
      <c r="K169" s="206"/>
      <c r="L169" s="211"/>
      <c r="M169" s="212"/>
      <c r="N169" s="213"/>
      <c r="O169" s="213"/>
      <c r="P169" s="213"/>
      <c r="Q169" s="213"/>
      <c r="R169" s="213"/>
      <c r="S169" s="213"/>
      <c r="T169" s="214"/>
      <c r="AT169" s="215" t="s">
        <v>388</v>
      </c>
      <c r="AU169" s="215" t="s">
        <v>82</v>
      </c>
      <c r="AV169" s="14" t="s">
        <v>82</v>
      </c>
      <c r="AW169" s="14" t="s">
        <v>33</v>
      </c>
      <c r="AX169" s="14" t="s">
        <v>72</v>
      </c>
      <c r="AY169" s="215" t="s">
        <v>380</v>
      </c>
    </row>
    <row r="170" spans="1:65" s="15" customFormat="1" ht="11.25">
      <c r="B170" s="216"/>
      <c r="C170" s="217"/>
      <c r="D170" s="196" t="s">
        <v>388</v>
      </c>
      <c r="E170" s="218" t="s">
        <v>19</v>
      </c>
      <c r="F170" s="219" t="s">
        <v>419</v>
      </c>
      <c r="G170" s="217"/>
      <c r="H170" s="220">
        <v>1</v>
      </c>
      <c r="I170" s="221"/>
      <c r="J170" s="217"/>
      <c r="K170" s="217"/>
      <c r="L170" s="222"/>
      <c r="M170" s="223"/>
      <c r="N170" s="224"/>
      <c r="O170" s="224"/>
      <c r="P170" s="224"/>
      <c r="Q170" s="224"/>
      <c r="R170" s="224"/>
      <c r="S170" s="224"/>
      <c r="T170" s="225"/>
      <c r="AT170" s="226" t="s">
        <v>388</v>
      </c>
      <c r="AU170" s="226" t="s">
        <v>82</v>
      </c>
      <c r="AV170" s="15" t="s">
        <v>386</v>
      </c>
      <c r="AW170" s="15" t="s">
        <v>33</v>
      </c>
      <c r="AX170" s="15" t="s">
        <v>79</v>
      </c>
      <c r="AY170" s="226" t="s">
        <v>380</v>
      </c>
    </row>
    <row r="171" spans="1:65" s="2" customFormat="1" ht="24.2" customHeight="1">
      <c r="A171" s="36"/>
      <c r="B171" s="37"/>
      <c r="C171" s="181" t="s">
        <v>534</v>
      </c>
      <c r="D171" s="181" t="s">
        <v>382</v>
      </c>
      <c r="E171" s="182" t="s">
        <v>3693</v>
      </c>
      <c r="F171" s="183" t="s">
        <v>3694</v>
      </c>
      <c r="G171" s="184" t="s">
        <v>641</v>
      </c>
      <c r="H171" s="185">
        <v>2</v>
      </c>
      <c r="I171" s="186"/>
      <c r="J171" s="187">
        <f>ROUND(I171*H171,2)</f>
        <v>0</v>
      </c>
      <c r="K171" s="183" t="s">
        <v>3239</v>
      </c>
      <c r="L171" s="41"/>
      <c r="M171" s="188" t="s">
        <v>19</v>
      </c>
      <c r="N171" s="189" t="s">
        <v>43</v>
      </c>
      <c r="O171" s="66"/>
      <c r="P171" s="190">
        <f>O171*H171</f>
        <v>0</v>
      </c>
      <c r="Q171" s="190">
        <v>1.42E-3</v>
      </c>
      <c r="R171" s="190">
        <f>Q171*H171</f>
        <v>2.8400000000000001E-3</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4004</v>
      </c>
    </row>
    <row r="172" spans="1:65" s="13" customFormat="1" ht="11.25">
      <c r="B172" s="194"/>
      <c r="C172" s="195"/>
      <c r="D172" s="196" t="s">
        <v>388</v>
      </c>
      <c r="E172" s="197" t="s">
        <v>19</v>
      </c>
      <c r="F172" s="198" t="s">
        <v>3696</v>
      </c>
      <c r="G172" s="195"/>
      <c r="H172" s="197" t="s">
        <v>19</v>
      </c>
      <c r="I172" s="199"/>
      <c r="J172" s="195"/>
      <c r="K172" s="195"/>
      <c r="L172" s="200"/>
      <c r="M172" s="201"/>
      <c r="N172" s="202"/>
      <c r="O172" s="202"/>
      <c r="P172" s="202"/>
      <c r="Q172" s="202"/>
      <c r="R172" s="202"/>
      <c r="S172" s="202"/>
      <c r="T172" s="203"/>
      <c r="AT172" s="204" t="s">
        <v>388</v>
      </c>
      <c r="AU172" s="204" t="s">
        <v>82</v>
      </c>
      <c r="AV172" s="13" t="s">
        <v>79</v>
      </c>
      <c r="AW172" s="13" t="s">
        <v>33</v>
      </c>
      <c r="AX172" s="13" t="s">
        <v>72</v>
      </c>
      <c r="AY172" s="204" t="s">
        <v>380</v>
      </c>
    </row>
    <row r="173" spans="1:65" s="14" customFormat="1" ht="11.25">
      <c r="B173" s="205"/>
      <c r="C173" s="206"/>
      <c r="D173" s="196" t="s">
        <v>388</v>
      </c>
      <c r="E173" s="207" t="s">
        <v>19</v>
      </c>
      <c r="F173" s="208" t="s">
        <v>79</v>
      </c>
      <c r="G173" s="206"/>
      <c r="H173" s="209">
        <v>1</v>
      </c>
      <c r="I173" s="210"/>
      <c r="J173" s="206"/>
      <c r="K173" s="206"/>
      <c r="L173" s="211"/>
      <c r="M173" s="212"/>
      <c r="N173" s="213"/>
      <c r="O173" s="213"/>
      <c r="P173" s="213"/>
      <c r="Q173" s="213"/>
      <c r="R173" s="213"/>
      <c r="S173" s="213"/>
      <c r="T173" s="214"/>
      <c r="AT173" s="215" t="s">
        <v>388</v>
      </c>
      <c r="AU173" s="215" t="s">
        <v>82</v>
      </c>
      <c r="AV173" s="14" t="s">
        <v>82</v>
      </c>
      <c r="AW173" s="14" t="s">
        <v>33</v>
      </c>
      <c r="AX173" s="14" t="s">
        <v>72</v>
      </c>
      <c r="AY173" s="215" t="s">
        <v>380</v>
      </c>
    </row>
    <row r="174" spans="1:65" s="13" customFormat="1" ht="11.25">
      <c r="B174" s="194"/>
      <c r="C174" s="195"/>
      <c r="D174" s="196" t="s">
        <v>388</v>
      </c>
      <c r="E174" s="197" t="s">
        <v>19</v>
      </c>
      <c r="F174" s="198" t="s">
        <v>4005</v>
      </c>
      <c r="G174" s="195"/>
      <c r="H174" s="197" t="s">
        <v>19</v>
      </c>
      <c r="I174" s="199"/>
      <c r="J174" s="195"/>
      <c r="K174" s="195"/>
      <c r="L174" s="200"/>
      <c r="M174" s="201"/>
      <c r="N174" s="202"/>
      <c r="O174" s="202"/>
      <c r="P174" s="202"/>
      <c r="Q174" s="202"/>
      <c r="R174" s="202"/>
      <c r="S174" s="202"/>
      <c r="T174" s="203"/>
      <c r="AT174" s="204" t="s">
        <v>388</v>
      </c>
      <c r="AU174" s="204" t="s">
        <v>82</v>
      </c>
      <c r="AV174" s="13" t="s">
        <v>79</v>
      </c>
      <c r="AW174" s="13" t="s">
        <v>33</v>
      </c>
      <c r="AX174" s="13" t="s">
        <v>72</v>
      </c>
      <c r="AY174" s="204" t="s">
        <v>380</v>
      </c>
    </row>
    <row r="175" spans="1:65" s="14" customFormat="1" ht="11.25">
      <c r="B175" s="205"/>
      <c r="C175" s="206"/>
      <c r="D175" s="196" t="s">
        <v>388</v>
      </c>
      <c r="E175" s="207" t="s">
        <v>19</v>
      </c>
      <c r="F175" s="208" t="s">
        <v>79</v>
      </c>
      <c r="G175" s="206"/>
      <c r="H175" s="209">
        <v>1</v>
      </c>
      <c r="I175" s="210"/>
      <c r="J175" s="206"/>
      <c r="K175" s="206"/>
      <c r="L175" s="211"/>
      <c r="M175" s="212"/>
      <c r="N175" s="213"/>
      <c r="O175" s="213"/>
      <c r="P175" s="213"/>
      <c r="Q175" s="213"/>
      <c r="R175" s="213"/>
      <c r="S175" s="213"/>
      <c r="T175" s="214"/>
      <c r="AT175" s="215" t="s">
        <v>388</v>
      </c>
      <c r="AU175" s="215" t="s">
        <v>82</v>
      </c>
      <c r="AV175" s="14" t="s">
        <v>82</v>
      </c>
      <c r="AW175" s="14" t="s">
        <v>33</v>
      </c>
      <c r="AX175" s="14" t="s">
        <v>72</v>
      </c>
      <c r="AY175" s="215" t="s">
        <v>380</v>
      </c>
    </row>
    <row r="176" spans="1:65" s="15" customFormat="1" ht="11.25">
      <c r="B176" s="216"/>
      <c r="C176" s="217"/>
      <c r="D176" s="196" t="s">
        <v>388</v>
      </c>
      <c r="E176" s="218" t="s">
        <v>19</v>
      </c>
      <c r="F176" s="219" t="s">
        <v>419</v>
      </c>
      <c r="G176" s="217"/>
      <c r="H176" s="220">
        <v>2</v>
      </c>
      <c r="I176" s="221"/>
      <c r="J176" s="217"/>
      <c r="K176" s="217"/>
      <c r="L176" s="222"/>
      <c r="M176" s="223"/>
      <c r="N176" s="224"/>
      <c r="O176" s="224"/>
      <c r="P176" s="224"/>
      <c r="Q176" s="224"/>
      <c r="R176" s="224"/>
      <c r="S176" s="224"/>
      <c r="T176" s="225"/>
      <c r="AT176" s="226" t="s">
        <v>388</v>
      </c>
      <c r="AU176" s="226" t="s">
        <v>82</v>
      </c>
      <c r="AV176" s="15" t="s">
        <v>386</v>
      </c>
      <c r="AW176" s="15" t="s">
        <v>33</v>
      </c>
      <c r="AX176" s="15" t="s">
        <v>79</v>
      </c>
      <c r="AY176" s="226" t="s">
        <v>380</v>
      </c>
    </row>
    <row r="177" spans="1:65" s="2" customFormat="1" ht="24.2" customHeight="1">
      <c r="A177" s="36"/>
      <c r="B177" s="37"/>
      <c r="C177" s="181" t="s">
        <v>540</v>
      </c>
      <c r="D177" s="181" t="s">
        <v>382</v>
      </c>
      <c r="E177" s="182" t="s">
        <v>3432</v>
      </c>
      <c r="F177" s="183" t="s">
        <v>3433</v>
      </c>
      <c r="G177" s="184" t="s">
        <v>3014</v>
      </c>
      <c r="H177" s="257"/>
      <c r="I177" s="186"/>
      <c r="J177" s="187">
        <f>ROUND(I177*H177,2)</f>
        <v>0</v>
      </c>
      <c r="K177" s="183" t="s">
        <v>3239</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281</v>
      </c>
      <c r="AT177" s="192" t="s">
        <v>382</v>
      </c>
      <c r="AU177" s="192" t="s">
        <v>82</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281</v>
      </c>
      <c r="BM177" s="192" t="s">
        <v>4006</v>
      </c>
    </row>
    <row r="178" spans="1:65" s="2" customFormat="1" ht="24.2" customHeight="1">
      <c r="A178" s="36"/>
      <c r="B178" s="37"/>
      <c r="C178" s="181" t="s">
        <v>546</v>
      </c>
      <c r="D178" s="181" t="s">
        <v>382</v>
      </c>
      <c r="E178" s="182" t="s">
        <v>3435</v>
      </c>
      <c r="F178" s="183" t="s">
        <v>3436</v>
      </c>
      <c r="G178" s="184" t="s">
        <v>3014</v>
      </c>
      <c r="H178" s="257"/>
      <c r="I178" s="186"/>
      <c r="J178" s="187">
        <f>ROUND(I178*H178,2)</f>
        <v>0</v>
      </c>
      <c r="K178" s="183" t="s">
        <v>3239</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281</v>
      </c>
      <c r="AT178" s="192" t="s">
        <v>382</v>
      </c>
      <c r="AU178" s="192" t="s">
        <v>82</v>
      </c>
      <c r="AY178" s="19" t="s">
        <v>380</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281</v>
      </c>
      <c r="BM178" s="192" t="s">
        <v>4007</v>
      </c>
    </row>
    <row r="179" spans="1:65" s="12" customFormat="1" ht="22.9" customHeight="1">
      <c r="B179" s="165"/>
      <c r="C179" s="166"/>
      <c r="D179" s="167" t="s">
        <v>71</v>
      </c>
      <c r="E179" s="179" t="s">
        <v>3450</v>
      </c>
      <c r="F179" s="179" t="s">
        <v>3451</v>
      </c>
      <c r="G179" s="166"/>
      <c r="H179" s="166"/>
      <c r="I179" s="169"/>
      <c r="J179" s="180">
        <f>BK179</f>
        <v>0</v>
      </c>
      <c r="K179" s="166"/>
      <c r="L179" s="171"/>
      <c r="M179" s="172"/>
      <c r="N179" s="173"/>
      <c r="O179" s="173"/>
      <c r="P179" s="174">
        <f>SUM(P180:P184)</f>
        <v>0</v>
      </c>
      <c r="Q179" s="173"/>
      <c r="R179" s="174">
        <f>SUM(R180:R184)</f>
        <v>0</v>
      </c>
      <c r="S179" s="173"/>
      <c r="T179" s="175">
        <f>SUM(T180:T184)</f>
        <v>0</v>
      </c>
      <c r="AR179" s="176" t="s">
        <v>82</v>
      </c>
      <c r="AT179" s="177" t="s">
        <v>71</v>
      </c>
      <c r="AU179" s="177" t="s">
        <v>79</v>
      </c>
      <c r="AY179" s="176" t="s">
        <v>380</v>
      </c>
      <c r="BK179" s="178">
        <f>SUM(BK180:BK184)</f>
        <v>0</v>
      </c>
    </row>
    <row r="180" spans="1:65" s="2" customFormat="1" ht="16.5" customHeight="1">
      <c r="A180" s="36"/>
      <c r="B180" s="37"/>
      <c r="C180" s="227" t="s">
        <v>552</v>
      </c>
      <c r="D180" s="227" t="s">
        <v>465</v>
      </c>
      <c r="E180" s="228" t="s">
        <v>3452</v>
      </c>
      <c r="F180" s="229" t="s">
        <v>3453</v>
      </c>
      <c r="G180" s="230" t="s">
        <v>2389</v>
      </c>
      <c r="H180" s="231">
        <v>16</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546</v>
      </c>
      <c r="AT180" s="192" t="s">
        <v>465</v>
      </c>
      <c r="AU180" s="192" t="s">
        <v>82</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281</v>
      </c>
      <c r="BM180" s="192" t="s">
        <v>4008</v>
      </c>
    </row>
    <row r="181" spans="1:65" s="14" customFormat="1" ht="11.25">
      <c r="B181" s="205"/>
      <c r="C181" s="206"/>
      <c r="D181" s="196" t="s">
        <v>388</v>
      </c>
      <c r="E181" s="207" t="s">
        <v>19</v>
      </c>
      <c r="F181" s="208" t="s">
        <v>1028</v>
      </c>
      <c r="G181" s="206"/>
      <c r="H181" s="209">
        <v>16</v>
      </c>
      <c r="I181" s="210"/>
      <c r="J181" s="206"/>
      <c r="K181" s="206"/>
      <c r="L181" s="211"/>
      <c r="M181" s="212"/>
      <c r="N181" s="213"/>
      <c r="O181" s="213"/>
      <c r="P181" s="213"/>
      <c r="Q181" s="213"/>
      <c r="R181" s="213"/>
      <c r="S181" s="213"/>
      <c r="T181" s="214"/>
      <c r="AT181" s="215" t="s">
        <v>388</v>
      </c>
      <c r="AU181" s="215" t="s">
        <v>82</v>
      </c>
      <c r="AV181" s="14" t="s">
        <v>82</v>
      </c>
      <c r="AW181" s="14" t="s">
        <v>33</v>
      </c>
      <c r="AX181" s="14" t="s">
        <v>79</v>
      </c>
      <c r="AY181" s="215" t="s">
        <v>380</v>
      </c>
    </row>
    <row r="182" spans="1:65" s="2" customFormat="1" ht="16.5" customHeight="1">
      <c r="A182" s="36"/>
      <c r="B182" s="37"/>
      <c r="C182" s="181" t="s">
        <v>556</v>
      </c>
      <c r="D182" s="181" t="s">
        <v>382</v>
      </c>
      <c r="E182" s="182" t="s">
        <v>3456</v>
      </c>
      <c r="F182" s="183" t="s">
        <v>2819</v>
      </c>
      <c r="G182" s="184" t="s">
        <v>2389</v>
      </c>
      <c r="H182" s="185">
        <v>16</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281</v>
      </c>
      <c r="AT182" s="192" t="s">
        <v>382</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281</v>
      </c>
      <c r="BM182" s="192" t="s">
        <v>4009</v>
      </c>
    </row>
    <row r="183" spans="1:65" s="2" customFormat="1" ht="16.5" customHeight="1">
      <c r="A183" s="36"/>
      <c r="B183" s="37"/>
      <c r="C183" s="181" t="s">
        <v>565</v>
      </c>
      <c r="D183" s="181" t="s">
        <v>382</v>
      </c>
      <c r="E183" s="182" t="s">
        <v>3458</v>
      </c>
      <c r="F183" s="183" t="s">
        <v>3459</v>
      </c>
      <c r="G183" s="184" t="s">
        <v>2389</v>
      </c>
      <c r="H183" s="185">
        <v>16</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281</v>
      </c>
      <c r="AT183" s="192" t="s">
        <v>382</v>
      </c>
      <c r="AU183" s="192" t="s">
        <v>82</v>
      </c>
      <c r="AY183" s="19" t="s">
        <v>380</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281</v>
      </c>
      <c r="BM183" s="192" t="s">
        <v>4010</v>
      </c>
    </row>
    <row r="184" spans="1:65" s="2" customFormat="1" ht="16.5" customHeight="1">
      <c r="A184" s="36"/>
      <c r="B184" s="37"/>
      <c r="C184" s="181" t="s">
        <v>579</v>
      </c>
      <c r="D184" s="181" t="s">
        <v>382</v>
      </c>
      <c r="E184" s="182" t="s">
        <v>3461</v>
      </c>
      <c r="F184" s="183" t="s">
        <v>3462</v>
      </c>
      <c r="G184" s="184" t="s">
        <v>2389</v>
      </c>
      <c r="H184" s="185">
        <v>8</v>
      </c>
      <c r="I184" s="186"/>
      <c r="J184" s="187">
        <f>ROUND(I184*H184,2)</f>
        <v>0</v>
      </c>
      <c r="K184" s="183" t="s">
        <v>19</v>
      </c>
      <c r="L184" s="41"/>
      <c r="M184" s="252" t="s">
        <v>19</v>
      </c>
      <c r="N184" s="253" t="s">
        <v>43</v>
      </c>
      <c r="O184" s="254"/>
      <c r="P184" s="255">
        <f>O184*H184</f>
        <v>0</v>
      </c>
      <c r="Q184" s="255">
        <v>0</v>
      </c>
      <c r="R184" s="255">
        <f>Q184*H184</f>
        <v>0</v>
      </c>
      <c r="S184" s="255">
        <v>0</v>
      </c>
      <c r="T184" s="256">
        <f>S184*H184</f>
        <v>0</v>
      </c>
      <c r="U184" s="36"/>
      <c r="V184" s="36"/>
      <c r="W184" s="36"/>
      <c r="X184" s="36"/>
      <c r="Y184" s="36"/>
      <c r="Z184" s="36"/>
      <c r="AA184" s="36"/>
      <c r="AB184" s="36"/>
      <c r="AC184" s="36"/>
      <c r="AD184" s="36"/>
      <c r="AE184" s="36"/>
      <c r="AR184" s="192" t="s">
        <v>281</v>
      </c>
      <c r="AT184" s="192" t="s">
        <v>382</v>
      </c>
      <c r="AU184" s="192" t="s">
        <v>82</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281</v>
      </c>
      <c r="BM184" s="192" t="s">
        <v>4011</v>
      </c>
    </row>
    <row r="185" spans="1:65" s="2" customFormat="1" ht="6.95" customHeight="1">
      <c r="A185" s="36"/>
      <c r="B185" s="49"/>
      <c r="C185" s="50"/>
      <c r="D185" s="50"/>
      <c r="E185" s="50"/>
      <c r="F185" s="50"/>
      <c r="G185" s="50"/>
      <c r="H185" s="50"/>
      <c r="I185" s="50"/>
      <c r="J185" s="50"/>
      <c r="K185" s="50"/>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CZskp2dIwhLO5zNSWfpqGLco+/a8ZPP6THvyrqi4jCc98eLOm9ZedCUGUh/Qj7m/jBbgLRxhtSPKAqlglLzcYg==" saltValue="hqBe/VU21C1NuimK8j5ZtLTfWs2rTOG7f7zUBodfvcjgwuuqnCCwuRAQ3oXjpwS+ZNQqTLQbRMJtrLNRXU5f2Q==" spinCount="100000" sheet="1" objects="1" scenarios="1" formatColumns="0" formatRows="0" autoFilter="0"/>
  <autoFilter ref="C94:K184" xr:uid="{00000000-0009-0000-0000-00000B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4012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ROUND((SUM(BE95:BE139)),  2)</f>
        <v>0</v>
      </c>
      <c r="G37" s="36"/>
      <c r="H37" s="36"/>
      <c r="I37" s="127">
        <v>0.21</v>
      </c>
      <c r="J37" s="126">
        <f>ROUND(((SUM(BE95:BE139))*I37),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ROUND((SUM(BF95:BF139)),  2)</f>
        <v>0</v>
      </c>
      <c r="G38" s="36"/>
      <c r="H38" s="36"/>
      <c r="I38" s="127">
        <v>0.15</v>
      </c>
      <c r="J38" s="126">
        <f>ROUND(((SUM(BF95:BF139))*I38),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ROUND((SUM(BG95:BG139)),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ROUND((SUM(BH95:BH139)),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ROUND((SUM(BI95:BI139)),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10 - Odvětrání kotelny</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J103</f>
        <v>0</v>
      </c>
      <c r="K70" s="99"/>
      <c r="L70" s="153"/>
    </row>
    <row r="71" spans="1:47" s="10" customFormat="1" ht="19.899999999999999" customHeight="1">
      <c r="B71" s="149"/>
      <c r="C71" s="99"/>
      <c r="D71" s="150" t="s">
        <v>3236</v>
      </c>
      <c r="E71" s="151"/>
      <c r="F71" s="151"/>
      <c r="G71" s="151"/>
      <c r="H71" s="151"/>
      <c r="I71" s="151"/>
      <c r="J71" s="152">
        <f>J134</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10 - Odvětrání kotelny</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5.1152500000000004E-2</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P97+P103+P134</f>
        <v>0</v>
      </c>
      <c r="Q96" s="173"/>
      <c r="R96" s="174">
        <f>R97+R103+R134</f>
        <v>5.1152500000000004E-2</v>
      </c>
      <c r="S96" s="173"/>
      <c r="T96" s="175">
        <f>T97+T103+T134</f>
        <v>0</v>
      </c>
      <c r="AR96" s="176" t="s">
        <v>82</v>
      </c>
      <c r="AT96" s="177" t="s">
        <v>71</v>
      </c>
      <c r="AU96" s="177" t="s">
        <v>72</v>
      </c>
      <c r="AY96" s="176" t="s">
        <v>380</v>
      </c>
      <c r="BK96" s="178">
        <f>BK97+BK103+BK134</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SUM(P98:P102)</f>
        <v>0</v>
      </c>
      <c r="Q97" s="173"/>
      <c r="R97" s="174">
        <f>SUM(R98:R102)</f>
        <v>1.804E-2</v>
      </c>
      <c r="S97" s="173"/>
      <c r="T97" s="175">
        <f>SUM(T98:T102)</f>
        <v>0</v>
      </c>
      <c r="AR97" s="176" t="s">
        <v>82</v>
      </c>
      <c r="AT97" s="177" t="s">
        <v>71</v>
      </c>
      <c r="AU97" s="177" t="s">
        <v>79</v>
      </c>
      <c r="AY97" s="176" t="s">
        <v>380</v>
      </c>
      <c r="BK97" s="178">
        <f>SUM(BK98:BK102)</f>
        <v>0</v>
      </c>
    </row>
    <row r="98" spans="1:65" s="2" customFormat="1" ht="24.2" customHeight="1">
      <c r="A98" s="36"/>
      <c r="B98" s="37"/>
      <c r="C98" s="181" t="s">
        <v>79</v>
      </c>
      <c r="D98" s="181" t="s">
        <v>382</v>
      </c>
      <c r="E98" s="182" t="s">
        <v>3237</v>
      </c>
      <c r="F98" s="183" t="s">
        <v>3238</v>
      </c>
      <c r="G98" s="184" t="s">
        <v>398</v>
      </c>
      <c r="H98" s="185">
        <v>4</v>
      </c>
      <c r="I98" s="186"/>
      <c r="J98" s="187">
        <f>ROUND(I98*H98,2)</f>
        <v>0</v>
      </c>
      <c r="K98" s="183" t="s">
        <v>3239</v>
      </c>
      <c r="L98" s="41"/>
      <c r="M98" s="188" t="s">
        <v>19</v>
      </c>
      <c r="N98" s="189" t="s">
        <v>43</v>
      </c>
      <c r="O98" s="66"/>
      <c r="P98" s="190">
        <f>O98*H98</f>
        <v>0</v>
      </c>
      <c r="Q98" s="190">
        <v>1.5100000000000001E-3</v>
      </c>
      <c r="R98" s="190">
        <f>Q98*H98</f>
        <v>6.0400000000000002E-3</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4013</v>
      </c>
    </row>
    <row r="99" spans="1:65" s="2" customFormat="1" ht="16.5" customHeight="1">
      <c r="A99" s="36"/>
      <c r="B99" s="37"/>
      <c r="C99" s="227" t="s">
        <v>82</v>
      </c>
      <c r="D99" s="227" t="s">
        <v>465</v>
      </c>
      <c r="E99" s="228" t="s">
        <v>3245</v>
      </c>
      <c r="F99" s="229" t="s">
        <v>3246</v>
      </c>
      <c r="G99" s="230" t="s">
        <v>398</v>
      </c>
      <c r="H99" s="231">
        <v>4</v>
      </c>
      <c r="I99" s="232"/>
      <c r="J99" s="233">
        <f>ROUND(I99*H99,2)</f>
        <v>0</v>
      </c>
      <c r="K99" s="229" t="s">
        <v>3239</v>
      </c>
      <c r="L99" s="234"/>
      <c r="M99" s="235" t="s">
        <v>19</v>
      </c>
      <c r="N99" s="236" t="s">
        <v>43</v>
      </c>
      <c r="O99" s="66"/>
      <c r="P99" s="190">
        <f>O99*H99</f>
        <v>0</v>
      </c>
      <c r="Q99" s="190">
        <v>3.0000000000000001E-3</v>
      </c>
      <c r="R99" s="190">
        <f>Q99*H99</f>
        <v>1.2E-2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4014</v>
      </c>
    </row>
    <row r="100" spans="1:65" s="14" customFormat="1" ht="11.25">
      <c r="B100" s="205"/>
      <c r="C100" s="206"/>
      <c r="D100" s="196" t="s">
        <v>388</v>
      </c>
      <c r="E100" s="207" t="s">
        <v>19</v>
      </c>
      <c r="F100" s="208" t="s">
        <v>4015</v>
      </c>
      <c r="G100" s="206"/>
      <c r="H100" s="209">
        <v>4</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24.2" customHeight="1">
      <c r="A101" s="36"/>
      <c r="B101" s="37"/>
      <c r="C101" s="181" t="s">
        <v>99</v>
      </c>
      <c r="D101" s="181" t="s">
        <v>382</v>
      </c>
      <c r="E101" s="182" t="s">
        <v>3265</v>
      </c>
      <c r="F101" s="183" t="s">
        <v>3266</v>
      </c>
      <c r="G101" s="184" t="s">
        <v>3014</v>
      </c>
      <c r="H101" s="257"/>
      <c r="I101" s="186"/>
      <c r="J101" s="187">
        <f>ROUND(I101*H101,2)</f>
        <v>0</v>
      </c>
      <c r="K101" s="183" t="s">
        <v>3239</v>
      </c>
      <c r="L101" s="41"/>
      <c r="M101" s="188" t="s">
        <v>19</v>
      </c>
      <c r="N101" s="189"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281</v>
      </c>
      <c r="AT101" s="192" t="s">
        <v>382</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4016</v>
      </c>
    </row>
    <row r="102" spans="1:65" s="2" customFormat="1" ht="24.2" customHeight="1">
      <c r="A102" s="36"/>
      <c r="B102" s="37"/>
      <c r="C102" s="181" t="s">
        <v>386</v>
      </c>
      <c r="D102" s="181" t="s">
        <v>382</v>
      </c>
      <c r="E102" s="182" t="s">
        <v>3268</v>
      </c>
      <c r="F102" s="183" t="s">
        <v>3269</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4017</v>
      </c>
    </row>
    <row r="103" spans="1:65" s="12" customFormat="1" ht="22.9" customHeight="1">
      <c r="B103" s="165"/>
      <c r="C103" s="166"/>
      <c r="D103" s="167" t="s">
        <v>71</v>
      </c>
      <c r="E103" s="179" t="s">
        <v>3271</v>
      </c>
      <c r="F103" s="179" t="s">
        <v>3272</v>
      </c>
      <c r="G103" s="166"/>
      <c r="H103" s="166"/>
      <c r="I103" s="169"/>
      <c r="J103" s="180">
        <f>BK103</f>
        <v>0</v>
      </c>
      <c r="K103" s="166"/>
      <c r="L103" s="171"/>
      <c r="M103" s="172"/>
      <c r="N103" s="173"/>
      <c r="O103" s="173"/>
      <c r="P103" s="174">
        <f>SUM(P104:P133)</f>
        <v>0</v>
      </c>
      <c r="Q103" s="173"/>
      <c r="R103" s="174">
        <f>SUM(R104:R133)</f>
        <v>3.3112500000000003E-2</v>
      </c>
      <c r="S103" s="173"/>
      <c r="T103" s="175">
        <f>SUM(T104:T133)</f>
        <v>0</v>
      </c>
      <c r="AR103" s="176" t="s">
        <v>82</v>
      </c>
      <c r="AT103" s="177" t="s">
        <v>71</v>
      </c>
      <c r="AU103" s="177" t="s">
        <v>79</v>
      </c>
      <c r="AY103" s="176" t="s">
        <v>380</v>
      </c>
      <c r="BK103" s="178">
        <f>SUM(BK104:BK133)</f>
        <v>0</v>
      </c>
    </row>
    <row r="104" spans="1:65" s="2" customFormat="1" ht="16.5" customHeight="1">
      <c r="A104" s="36"/>
      <c r="B104" s="37"/>
      <c r="C104" s="181" t="s">
        <v>405</v>
      </c>
      <c r="D104" s="181" t="s">
        <v>382</v>
      </c>
      <c r="E104" s="182" t="s">
        <v>3881</v>
      </c>
      <c r="F104" s="183" t="s">
        <v>3882</v>
      </c>
      <c r="G104" s="184" t="s">
        <v>641</v>
      </c>
      <c r="H104" s="185">
        <v>1</v>
      </c>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4018</v>
      </c>
    </row>
    <row r="105" spans="1:65" s="2" customFormat="1" ht="16.5" customHeight="1">
      <c r="A105" s="36"/>
      <c r="B105" s="37"/>
      <c r="C105" s="227" t="s">
        <v>411</v>
      </c>
      <c r="D105" s="227" t="s">
        <v>465</v>
      </c>
      <c r="E105" s="228" t="s">
        <v>3438</v>
      </c>
      <c r="F105" s="229" t="s">
        <v>4019</v>
      </c>
      <c r="G105" s="230" t="s">
        <v>3278</v>
      </c>
      <c r="H105" s="231">
        <v>1</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4020</v>
      </c>
    </row>
    <row r="106" spans="1:65" s="2" customFormat="1" ht="48.75">
      <c r="A106" s="36"/>
      <c r="B106" s="37"/>
      <c r="C106" s="38"/>
      <c r="D106" s="196" t="s">
        <v>1226</v>
      </c>
      <c r="E106" s="38"/>
      <c r="F106" s="248" t="s">
        <v>4021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2" customFormat="1" ht="24.2" customHeight="1">
      <c r="A107" s="36"/>
      <c r="B107" s="37"/>
      <c r="C107" s="181" t="s">
        <v>420</v>
      </c>
      <c r="D107" s="181" t="s">
        <v>382</v>
      </c>
      <c r="E107" s="182" t="s">
        <v>4022</v>
      </c>
      <c r="F107" s="183" t="s">
        <v>4023</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4024</v>
      </c>
    </row>
    <row r="108" spans="1:65" s="2" customFormat="1" ht="16.5" customHeight="1">
      <c r="A108" s="36"/>
      <c r="B108" s="37"/>
      <c r="C108" s="227" t="s">
        <v>424</v>
      </c>
      <c r="D108" s="227" t="s">
        <v>465</v>
      </c>
      <c r="E108" s="228" t="s">
        <v>3428</v>
      </c>
      <c r="F108" s="229" t="s">
        <v>4025</v>
      </c>
      <c r="G108" s="230" t="s">
        <v>3278</v>
      </c>
      <c r="H108" s="231">
        <v>1</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4026</v>
      </c>
    </row>
    <row r="109" spans="1:65" s="2" customFormat="1" ht="68.25">
      <c r="A109" s="36"/>
      <c r="B109" s="37"/>
      <c r="C109" s="38"/>
      <c r="D109" s="196" t="s">
        <v>1226</v>
      </c>
      <c r="E109" s="38"/>
      <c r="F109" s="248" t="s">
        <v>4027</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181" t="s">
        <v>430</v>
      </c>
      <c r="D110" s="181" t="s">
        <v>382</v>
      </c>
      <c r="E110" s="182" t="s">
        <v>4028</v>
      </c>
      <c r="F110" s="183" t="s">
        <v>4029</v>
      </c>
      <c r="G110" s="184" t="s">
        <v>641</v>
      </c>
      <c r="H110" s="185">
        <v>2</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4030</v>
      </c>
    </row>
    <row r="111" spans="1:65" s="2" customFormat="1" ht="16.5" customHeight="1">
      <c r="A111" s="36"/>
      <c r="B111" s="37"/>
      <c r="C111" s="227" t="s">
        <v>122</v>
      </c>
      <c r="D111" s="227" t="s">
        <v>465</v>
      </c>
      <c r="E111" s="228" t="s">
        <v>3727</v>
      </c>
      <c r="F111" s="229" t="s">
        <v>4031</v>
      </c>
      <c r="G111" s="230" t="s">
        <v>3278</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4032</v>
      </c>
    </row>
    <row r="112" spans="1:65" s="2" customFormat="1" ht="19.5">
      <c r="A112" s="36"/>
      <c r="B112" s="37"/>
      <c r="C112" s="38"/>
      <c r="D112" s="196" t="s">
        <v>1226</v>
      </c>
      <c r="E112" s="38"/>
      <c r="F112" s="248" t="s">
        <v>4033</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14" customFormat="1" ht="11.25">
      <c r="B113" s="205"/>
      <c r="C113" s="206"/>
      <c r="D113" s="196" t="s">
        <v>388</v>
      </c>
      <c r="E113" s="207" t="s">
        <v>19</v>
      </c>
      <c r="F113" s="208" t="s">
        <v>3403</v>
      </c>
      <c r="G113" s="206"/>
      <c r="H113" s="209">
        <v>2</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2" customFormat="1" ht="16.5" customHeight="1">
      <c r="A114" s="36"/>
      <c r="B114" s="37"/>
      <c r="C114" s="181" t="s">
        <v>125</v>
      </c>
      <c r="D114" s="181" t="s">
        <v>382</v>
      </c>
      <c r="E114" s="182" t="s">
        <v>3301</v>
      </c>
      <c r="F114" s="183" t="s">
        <v>3302</v>
      </c>
      <c r="G114" s="184" t="s">
        <v>641</v>
      </c>
      <c r="H114" s="185">
        <v>2</v>
      </c>
      <c r="I114" s="186"/>
      <c r="J114" s="187">
        <f>ROUND(I114*H114,2)</f>
        <v>0</v>
      </c>
      <c r="K114" s="183" t="s">
        <v>3239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4034</v>
      </c>
    </row>
    <row r="115" spans="1:65" s="2" customFormat="1" ht="16.5" customHeight="1">
      <c r="A115" s="36"/>
      <c r="B115" s="37"/>
      <c r="C115" s="227" t="s">
        <v>128</v>
      </c>
      <c r="D115" s="227" t="s">
        <v>465</v>
      </c>
      <c r="E115" s="228" t="s">
        <v>3304</v>
      </c>
      <c r="F115" s="229" t="s">
        <v>4035</v>
      </c>
      <c r="G115" s="230" t="s">
        <v>3278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4036</v>
      </c>
    </row>
    <row r="116" spans="1:65" s="2" customFormat="1" ht="29.25">
      <c r="A116" s="36"/>
      <c r="B116" s="37"/>
      <c r="C116" s="38"/>
      <c r="D116" s="196" t="s">
        <v>1226</v>
      </c>
      <c r="E116" s="38"/>
      <c r="F116" s="248" t="s">
        <v>4037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24.2" customHeight="1">
      <c r="A117" s="36"/>
      <c r="B117" s="37"/>
      <c r="C117" s="181" t="s">
        <v>131</v>
      </c>
      <c r="D117" s="181" t="s">
        <v>382</v>
      </c>
      <c r="E117" s="182" t="s">
        <v>4038</v>
      </c>
      <c r="F117" s="183" t="s">
        <v>4039</v>
      </c>
      <c r="G117" s="184" t="s">
        <v>641</v>
      </c>
      <c r="H117" s="185">
        <v>1</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4040</v>
      </c>
    </row>
    <row r="118" spans="1:65" s="2" customFormat="1" ht="16.5" customHeight="1">
      <c r="A118" s="36"/>
      <c r="B118" s="37"/>
      <c r="C118" s="227" t="s">
        <v>134</v>
      </c>
      <c r="D118" s="227" t="s">
        <v>465</v>
      </c>
      <c r="E118" s="228" t="s">
        <v>4041</v>
      </c>
      <c r="F118" s="229" t="s">
        <v>4042</v>
      </c>
      <c r="G118" s="230" t="s">
        <v>3278</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4043</v>
      </c>
    </row>
    <row r="119" spans="1:65" s="2" customFormat="1" ht="19.5">
      <c r="A119" s="36"/>
      <c r="B119" s="37"/>
      <c r="C119" s="38"/>
      <c r="D119" s="196" t="s">
        <v>1226</v>
      </c>
      <c r="E119" s="38"/>
      <c r="F119" s="248" t="s">
        <v>4044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24.2" customHeight="1">
      <c r="A120" s="36"/>
      <c r="B120" s="37"/>
      <c r="C120" s="181" t="s">
        <v>8</v>
      </c>
      <c r="D120" s="181" t="s">
        <v>382</v>
      </c>
      <c r="E120" s="182" t="s">
        <v>3344</v>
      </c>
      <c r="F120" s="183" t="s">
        <v>3345</v>
      </c>
      <c r="G120" s="184" t="s">
        <v>452</v>
      </c>
      <c r="H120" s="185">
        <v>3.25</v>
      </c>
      <c r="I120" s="186"/>
      <c r="J120" s="187">
        <f>ROUND(I120*H120,2)</f>
        <v>0</v>
      </c>
      <c r="K120" s="183" t="s">
        <v>3239</v>
      </c>
      <c r="L120" s="41"/>
      <c r="M120" s="188" t="s">
        <v>19</v>
      </c>
      <c r="N120" s="189" t="s">
        <v>43</v>
      </c>
      <c r="O120" s="66"/>
      <c r="P120" s="190">
        <f>O120*H120</f>
        <v>0</v>
      </c>
      <c r="Q120" s="190">
        <v>3.1199999999999999E-3</v>
      </c>
      <c r="R120" s="190">
        <f>Q120*H120</f>
        <v>1.014E-2</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4045</v>
      </c>
    </row>
    <row r="121" spans="1:65" s="2" customFormat="1" ht="29.25">
      <c r="A121" s="36"/>
      <c r="B121" s="37"/>
      <c r="C121" s="38"/>
      <c r="D121" s="196" t="s">
        <v>1226</v>
      </c>
      <c r="E121" s="38"/>
      <c r="F121" s="248" t="s">
        <v>3318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1226</v>
      </c>
      <c r="AU121" s="19" t="s">
        <v>82</v>
      </c>
    </row>
    <row r="122" spans="1:65" s="13" customFormat="1" ht="11.25">
      <c r="B122" s="194"/>
      <c r="C122" s="195"/>
      <c r="D122" s="196" t="s">
        <v>388</v>
      </c>
      <c r="E122" s="197" t="s">
        <v>19</v>
      </c>
      <c r="F122" s="198" t="s">
        <v>3351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4" customFormat="1" ht="11.25">
      <c r="B123" s="205"/>
      <c r="C123" s="206"/>
      <c r="D123" s="196" t="s">
        <v>388</v>
      </c>
      <c r="E123" s="207" t="s">
        <v>19</v>
      </c>
      <c r="F123" s="208" t="s">
        <v>4046</v>
      </c>
      <c r="G123" s="206"/>
      <c r="H123" s="209">
        <v>3.25</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2" customFormat="1" ht="24.2" customHeight="1">
      <c r="A124" s="36"/>
      <c r="B124" s="37"/>
      <c r="C124" s="181" t="s">
        <v>281</v>
      </c>
      <c r="D124" s="181" t="s">
        <v>382</v>
      </c>
      <c r="E124" s="182" t="s">
        <v>3353</v>
      </c>
      <c r="F124" s="183" t="s">
        <v>3354</v>
      </c>
      <c r="G124" s="184" t="s">
        <v>452</v>
      </c>
      <c r="H124" s="185">
        <v>3.25</v>
      </c>
      <c r="I124" s="186"/>
      <c r="J124" s="187">
        <f>ROUND(I124*H124,2)</f>
        <v>0</v>
      </c>
      <c r="K124" s="183" t="s">
        <v>3239</v>
      </c>
      <c r="L124" s="41"/>
      <c r="M124" s="188" t="s">
        <v>19</v>
      </c>
      <c r="N124" s="189" t="s">
        <v>43</v>
      </c>
      <c r="O124" s="66"/>
      <c r="P124" s="190">
        <f>O124*H124</f>
        <v>0</v>
      </c>
      <c r="Q124" s="190">
        <v>6.5300000000000002E-3</v>
      </c>
      <c r="R124" s="190">
        <f>Q124*H124</f>
        <v>2.1222500000000002E-2</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4047</v>
      </c>
    </row>
    <row r="125" spans="1:65" s="2" customFormat="1" ht="29.25">
      <c r="A125" s="36"/>
      <c r="B125" s="37"/>
      <c r="C125" s="38"/>
      <c r="D125" s="196" t="s">
        <v>1226</v>
      </c>
      <c r="E125" s="38"/>
      <c r="F125" s="248" t="s">
        <v>3318</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1226</v>
      </c>
      <c r="AU125" s="19" t="s">
        <v>82</v>
      </c>
    </row>
    <row r="126" spans="1:65" s="13" customFormat="1" ht="11.25">
      <c r="B126" s="194"/>
      <c r="C126" s="195"/>
      <c r="D126" s="196" t="s">
        <v>388</v>
      </c>
      <c r="E126" s="197" t="s">
        <v>19</v>
      </c>
      <c r="F126" s="198" t="s">
        <v>3496</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4046</v>
      </c>
      <c r="G127" s="206"/>
      <c r="H127" s="209">
        <v>3.25</v>
      </c>
      <c r="I127" s="210"/>
      <c r="J127" s="206"/>
      <c r="K127" s="206"/>
      <c r="L127" s="211"/>
      <c r="M127" s="212"/>
      <c r="N127" s="213"/>
      <c r="O127" s="213"/>
      <c r="P127" s="213"/>
      <c r="Q127" s="213"/>
      <c r="R127" s="213"/>
      <c r="S127" s="213"/>
      <c r="T127" s="214"/>
      <c r="AT127" s="215" t="s">
        <v>388</v>
      </c>
      <c r="AU127" s="215" t="s">
        <v>82</v>
      </c>
      <c r="AV127" s="14" t="s">
        <v>82</v>
      </c>
      <c r="AW127" s="14" t="s">
        <v>33</v>
      </c>
      <c r="AX127" s="14" t="s">
        <v>79</v>
      </c>
      <c r="AY127" s="215" t="s">
        <v>380</v>
      </c>
    </row>
    <row r="128" spans="1:65" s="2" customFormat="1" ht="24.2" customHeight="1">
      <c r="A128" s="36"/>
      <c r="B128" s="37"/>
      <c r="C128" s="181" t="s">
        <v>471</v>
      </c>
      <c r="D128" s="181" t="s">
        <v>382</v>
      </c>
      <c r="E128" s="182" t="s">
        <v>3973</v>
      </c>
      <c r="F128" s="183" t="s">
        <v>3974</v>
      </c>
      <c r="G128" s="184" t="s">
        <v>641</v>
      </c>
      <c r="H128" s="185">
        <v>1</v>
      </c>
      <c r="I128" s="186"/>
      <c r="J128" s="187">
        <f>ROUND(I128*H128,2)</f>
        <v>0</v>
      </c>
      <c r="K128" s="183" t="s">
        <v>3239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4048</v>
      </c>
    </row>
    <row r="129" spans="1:65" s="2" customFormat="1" ht="16.5" customHeight="1">
      <c r="A129" s="36"/>
      <c r="B129" s="37"/>
      <c r="C129" s="227" t="s">
        <v>477</v>
      </c>
      <c r="D129" s="227" t="s">
        <v>465</v>
      </c>
      <c r="E129" s="228" t="s">
        <v>3442</v>
      </c>
      <c r="F129" s="229" t="s">
        <v>3976</v>
      </c>
      <c r="G129" s="230" t="s">
        <v>3278</v>
      </c>
      <c r="H129" s="231">
        <v>1</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546</v>
      </c>
      <c r="AT129" s="192" t="s">
        <v>465</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4049</v>
      </c>
    </row>
    <row r="130" spans="1:65" s="2" customFormat="1" ht="19.5">
      <c r="A130" s="36"/>
      <c r="B130" s="37"/>
      <c r="C130" s="38"/>
      <c r="D130" s="196" t="s">
        <v>1226</v>
      </c>
      <c r="E130" s="38"/>
      <c r="F130" s="248" t="s">
        <v>4050</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2" customFormat="1" ht="24.2" customHeight="1">
      <c r="A131" s="36"/>
      <c r="B131" s="37"/>
      <c r="C131" s="181" t="s">
        <v>284</v>
      </c>
      <c r="D131" s="181" t="s">
        <v>382</v>
      </c>
      <c r="E131" s="182" t="s">
        <v>3393</v>
      </c>
      <c r="F131" s="183" t="s">
        <v>3394</v>
      </c>
      <c r="G131" s="184" t="s">
        <v>452</v>
      </c>
      <c r="H131" s="185">
        <v>2.5</v>
      </c>
      <c r="I131" s="186"/>
      <c r="J131" s="187">
        <f>ROUND(I131*H131,2)</f>
        <v>0</v>
      </c>
      <c r="K131" s="183" t="s">
        <v>3239</v>
      </c>
      <c r="L131" s="41"/>
      <c r="M131" s="188" t="s">
        <v>19</v>
      </c>
      <c r="N131" s="189" t="s">
        <v>43</v>
      </c>
      <c r="O131" s="66"/>
      <c r="P131" s="190">
        <f>O131*H131</f>
        <v>0</v>
      </c>
      <c r="Q131" s="190">
        <v>6.9999999999999999E-4</v>
      </c>
      <c r="R131" s="190">
        <f>Q131*H131</f>
        <v>1.75E-3</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4051</v>
      </c>
    </row>
    <row r="132" spans="1:65" s="2" customFormat="1" ht="24.2" customHeight="1">
      <c r="A132" s="36"/>
      <c r="B132" s="37"/>
      <c r="C132" s="181" t="s">
        <v>486</v>
      </c>
      <c r="D132" s="181" t="s">
        <v>382</v>
      </c>
      <c r="E132" s="182" t="s">
        <v>3432</v>
      </c>
      <c r="F132" s="183" t="s">
        <v>3433</v>
      </c>
      <c r="G132" s="184" t="s">
        <v>3014</v>
      </c>
      <c r="H132" s="257"/>
      <c r="I132" s="186"/>
      <c r="J132" s="187">
        <f>ROUND(I132*H132,2)</f>
        <v>0</v>
      </c>
      <c r="K132" s="183" t="s">
        <v>3239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4052</v>
      </c>
    </row>
    <row r="133" spans="1:65" s="2" customFormat="1" ht="24.2" customHeight="1">
      <c r="A133" s="36"/>
      <c r="B133" s="37"/>
      <c r="C133" s="181" t="s">
        <v>7</v>
      </c>
      <c r="D133" s="181" t="s">
        <v>382</v>
      </c>
      <c r="E133" s="182" t="s">
        <v>3435</v>
      </c>
      <c r="F133" s="183" t="s">
        <v>3436</v>
      </c>
      <c r="G133" s="184" t="s">
        <v>3014</v>
      </c>
      <c r="H133" s="257"/>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4053</v>
      </c>
    </row>
    <row r="134" spans="1:65" s="12" customFormat="1" ht="22.9" customHeight="1">
      <c r="B134" s="165"/>
      <c r="C134" s="166"/>
      <c r="D134" s="167" t="s">
        <v>71</v>
      </c>
      <c r="E134" s="179" t="s">
        <v>3450</v>
      </c>
      <c r="F134" s="179" t="s">
        <v>3451</v>
      </c>
      <c r="G134" s="166"/>
      <c r="H134" s="166"/>
      <c r="I134" s="169"/>
      <c r="J134" s="180">
        <f>BK134</f>
        <v>0</v>
      </c>
      <c r="K134" s="166"/>
      <c r="L134" s="171"/>
      <c r="M134" s="172"/>
      <c r="N134" s="173"/>
      <c r="O134" s="173"/>
      <c r="P134" s="174">
        <f>SUM(P135:P139)</f>
        <v>0</v>
      </c>
      <c r="Q134" s="173"/>
      <c r="R134" s="174">
        <f>SUM(R135:R139)</f>
        <v>0</v>
      </c>
      <c r="S134" s="173"/>
      <c r="T134" s="175">
        <f>SUM(T135:T139)</f>
        <v>0</v>
      </c>
      <c r="AR134" s="176" t="s">
        <v>82</v>
      </c>
      <c r="AT134" s="177" t="s">
        <v>71</v>
      </c>
      <c r="AU134" s="177" t="s">
        <v>79</v>
      </c>
      <c r="AY134" s="176" t="s">
        <v>380</v>
      </c>
      <c r="BK134" s="178">
        <f>SUM(BK135:BK139)</f>
        <v>0</v>
      </c>
    </row>
    <row r="135" spans="1:65" s="2" customFormat="1" ht="16.5" customHeight="1">
      <c r="A135" s="36"/>
      <c r="B135" s="37"/>
      <c r="C135" s="227" t="s">
        <v>495</v>
      </c>
      <c r="D135" s="227" t="s">
        <v>465</v>
      </c>
      <c r="E135" s="228" t="s">
        <v>3452</v>
      </c>
      <c r="F135" s="229" t="s">
        <v>3453</v>
      </c>
      <c r="G135" s="230" t="s">
        <v>2389</v>
      </c>
      <c r="H135" s="231">
        <v>8</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546</v>
      </c>
      <c r="AT135" s="192" t="s">
        <v>465</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4054</v>
      </c>
    </row>
    <row r="136" spans="1:65" s="14" customFormat="1" ht="11.25">
      <c r="B136" s="205"/>
      <c r="C136" s="206"/>
      <c r="D136" s="196" t="s">
        <v>388</v>
      </c>
      <c r="E136" s="207" t="s">
        <v>19</v>
      </c>
      <c r="F136" s="208" t="s">
        <v>4055</v>
      </c>
      <c r="G136" s="206"/>
      <c r="H136" s="209">
        <v>8</v>
      </c>
      <c r="I136" s="210"/>
      <c r="J136" s="206"/>
      <c r="K136" s="206"/>
      <c r="L136" s="211"/>
      <c r="M136" s="212"/>
      <c r="N136" s="213"/>
      <c r="O136" s="213"/>
      <c r="P136" s="213"/>
      <c r="Q136" s="213"/>
      <c r="R136" s="213"/>
      <c r="S136" s="213"/>
      <c r="T136" s="214"/>
      <c r="AT136" s="215" t="s">
        <v>388</v>
      </c>
      <c r="AU136" s="215" t="s">
        <v>82</v>
      </c>
      <c r="AV136" s="14" t="s">
        <v>82</v>
      </c>
      <c r="AW136" s="14" t="s">
        <v>33</v>
      </c>
      <c r="AX136" s="14" t="s">
        <v>79</v>
      </c>
      <c r="AY136" s="215" t="s">
        <v>380</v>
      </c>
    </row>
    <row r="137" spans="1:65" s="2" customFormat="1" ht="16.5" customHeight="1">
      <c r="A137" s="36"/>
      <c r="B137" s="37"/>
      <c r="C137" s="181" t="s">
        <v>500</v>
      </c>
      <c r="D137" s="181" t="s">
        <v>382</v>
      </c>
      <c r="E137" s="182" t="s">
        <v>3456</v>
      </c>
      <c r="F137" s="183" t="s">
        <v>2819</v>
      </c>
      <c r="G137" s="184" t="s">
        <v>2389</v>
      </c>
      <c r="H137" s="185">
        <v>8</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4056</v>
      </c>
    </row>
    <row r="138" spans="1:65" s="2" customFormat="1" ht="16.5" customHeight="1">
      <c r="A138" s="36"/>
      <c r="B138" s="37"/>
      <c r="C138" s="181" t="s">
        <v>505</v>
      </c>
      <c r="D138" s="181" t="s">
        <v>382</v>
      </c>
      <c r="E138" s="182" t="s">
        <v>3458</v>
      </c>
      <c r="F138" s="183" t="s">
        <v>3459</v>
      </c>
      <c r="G138" s="184" t="s">
        <v>2389</v>
      </c>
      <c r="H138" s="185">
        <v>8</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4057</v>
      </c>
    </row>
    <row r="139" spans="1:65" s="2" customFormat="1" ht="16.5" customHeight="1">
      <c r="A139" s="36"/>
      <c r="B139" s="37"/>
      <c r="C139" s="181" t="s">
        <v>509</v>
      </c>
      <c r="D139" s="181" t="s">
        <v>382</v>
      </c>
      <c r="E139" s="182" t="s">
        <v>3461</v>
      </c>
      <c r="F139" s="183" t="s">
        <v>3462</v>
      </c>
      <c r="G139" s="184" t="s">
        <v>2389</v>
      </c>
      <c r="H139" s="185">
        <v>8</v>
      </c>
      <c r="I139" s="186"/>
      <c r="J139" s="187">
        <f>ROUND(I139*H139,2)</f>
        <v>0</v>
      </c>
      <c r="K139" s="183" t="s">
        <v>19</v>
      </c>
      <c r="L139" s="41"/>
      <c r="M139" s="252" t="s">
        <v>19</v>
      </c>
      <c r="N139" s="253" t="s">
        <v>43</v>
      </c>
      <c r="O139" s="254"/>
      <c r="P139" s="255">
        <f>O139*H139</f>
        <v>0</v>
      </c>
      <c r="Q139" s="255">
        <v>0</v>
      </c>
      <c r="R139" s="255">
        <f>Q139*H139</f>
        <v>0</v>
      </c>
      <c r="S139" s="255">
        <v>0</v>
      </c>
      <c r="T139" s="256">
        <f>S139*H139</f>
        <v>0</v>
      </c>
      <c r="U139" s="36"/>
      <c r="V139" s="36"/>
      <c r="W139" s="36"/>
      <c r="X139" s="36"/>
      <c r="Y139" s="36"/>
      <c r="Z139" s="36"/>
      <c r="AA139" s="36"/>
      <c r="AB139" s="36"/>
      <c r="AC139" s="36"/>
      <c r="AD139" s="36"/>
      <c r="AE139" s="36"/>
      <c r="AR139" s="192" t="s">
        <v>281</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281</v>
      </c>
      <c r="BM139" s="192" t="s">
        <v>4058</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6gE69KTzMQqfhEoDmpfbFqBwbBudAq1cdJXnGZSc2RlK2NapeVS3rFlH2BhcVJ4GCa+LGnM8MVU6kh0SP8hvBA==" saltValue="MNNQaukP4XW1dW++qHmwBPZKXlR+ijAQUARkPhsZbjr2uzzYpLeoYf6ce2qK4jglz6CyadUXkRar2CGZeBMGmw==" spinCount="100000" sheet="1" objects="1" scenarios="1" formatColumns="0" formatRows="0" autoFilter="0"/>
  <autoFilter ref="C94:K139"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ROUND((SUM(BE95:BE156)),  2)</f>
        <v>0</v>
      </c>
      <c r="G37" s="36"/>
      <c r="H37" s="36"/>
      <c r="I37" s="127">
        <v>0.21</v>
      </c>
      <c r="J37" s="126">
        <f>ROUND(((SUM(BE95:BE156))*I37),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ROUND((SUM(BF95:BF156)),  2)</f>
        <v>0</v>
      </c>
      <c r="G38" s="36"/>
      <c r="H38" s="36"/>
      <c r="I38" s="127">
        <v>0.15</v>
      </c>
      <c r="J38" s="126">
        <f>ROUND(((SUM(BF95:BF156))*I38),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11 - Odvětrání serverů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J108</f>
        <v>0</v>
      </c>
      <c r="K70" s="99"/>
      <c r="L70" s="153"/>
    </row>
    <row r="71" spans="1:47" s="10" customFormat="1" ht="19.899999999999999" customHeight="1">
      <c r="B71" s="149"/>
      <c r="C71" s="99"/>
      <c r="D71" s="150" t="s">
        <v>3236</v>
      </c>
      <c r="E71" s="151"/>
      <c r="F71" s="151"/>
      <c r="G71" s="151"/>
      <c r="H71" s="151"/>
      <c r="I71" s="151"/>
      <c r="J71" s="152">
        <f>J151</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11 - Odvětrání serverů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0.10441700000000001</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P97+P108+P151</f>
        <v>0</v>
      </c>
      <c r="Q96" s="173"/>
      <c r="R96" s="174">
        <f>R97+R108+R151</f>
        <v>0.10441700000000001</v>
      </c>
      <c r="S96" s="173"/>
      <c r="T96" s="175">
        <f>T97+T108+T151</f>
        <v>0</v>
      </c>
      <c r="AR96" s="176" t="s">
        <v>82</v>
      </c>
      <c r="AT96" s="177" t="s">
        <v>71</v>
      </c>
      <c r="AU96" s="177" t="s">
        <v>72</v>
      </c>
      <c r="AY96" s="176" t="s">
        <v>380</v>
      </c>
      <c r="BK96" s="178">
        <f>BK97+BK108+BK151</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SUM(P98:P107)</f>
        <v>0</v>
      </c>
      <c r="Q97" s="173"/>
      <c r="R97" s="174">
        <f>SUM(R98:R107)</f>
        <v>3.5436000000000002E-2</v>
      </c>
      <c r="S97" s="173"/>
      <c r="T97" s="175">
        <f>SUM(T98:T107)</f>
        <v>0</v>
      </c>
      <c r="AR97" s="176" t="s">
        <v>82</v>
      </c>
      <c r="AT97" s="177" t="s">
        <v>71</v>
      </c>
      <c r="AU97" s="177" t="s">
        <v>79</v>
      </c>
      <c r="AY97" s="176" t="s">
        <v>380</v>
      </c>
      <c r="BK97" s="178">
        <f>SUM(BK98:BK107)</f>
        <v>0</v>
      </c>
    </row>
    <row r="98" spans="1:65" s="2" customFormat="1" ht="24.2" customHeight="1">
      <c r="A98" s="36"/>
      <c r="B98" s="37"/>
      <c r="C98" s="181" t="s">
        <v>79</v>
      </c>
      <c r="D98" s="181" t="s">
        <v>382</v>
      </c>
      <c r="E98" s="182" t="s">
        <v>3237</v>
      </c>
      <c r="F98" s="183" t="s">
        <v>3238</v>
      </c>
      <c r="G98" s="184" t="s">
        <v>398</v>
      </c>
      <c r="H98" s="185">
        <v>9.5</v>
      </c>
      <c r="I98" s="186"/>
      <c r="J98" s="187">
        <f>ROUND(I98*H98,2)</f>
        <v>0</v>
      </c>
      <c r="K98" s="183" t="s">
        <v>3239</v>
      </c>
      <c r="L98" s="41"/>
      <c r="M98" s="188" t="s">
        <v>19</v>
      </c>
      <c r="N98" s="189" t="s">
        <v>43</v>
      </c>
      <c r="O98" s="66"/>
      <c r="P98" s="190">
        <f>O98*H98</f>
        <v>0</v>
      </c>
      <c r="Q98" s="190">
        <v>1.5100000000000001E-3</v>
      </c>
      <c r="R98" s="190">
        <f>Q98*H98</f>
        <v>1.4345E-2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4060</v>
      </c>
    </row>
    <row r="99" spans="1:65" s="2" customFormat="1" ht="16.5" customHeight="1">
      <c r="A99" s="36"/>
      <c r="B99" s="37"/>
      <c r="C99" s="227" t="s">
        <v>82</v>
      </c>
      <c r="D99" s="227" t="s">
        <v>465</v>
      </c>
      <c r="E99" s="228" t="s">
        <v>3241</v>
      </c>
      <c r="F99" s="229" t="s">
        <v>3242</v>
      </c>
      <c r="G99" s="230" t="s">
        <v>398</v>
      </c>
      <c r="H99" s="231">
        <v>7.5</v>
      </c>
      <c r="I99" s="232"/>
      <c r="J99" s="233">
        <f>ROUND(I99*H99,2)</f>
        <v>0</v>
      </c>
      <c r="K99" s="229" t="s">
        <v>3239</v>
      </c>
      <c r="L99" s="234"/>
      <c r="M99" s="235" t="s">
        <v>19</v>
      </c>
      <c r="N99" s="236" t="s">
        <v>43</v>
      </c>
      <c r="O99" s="66"/>
      <c r="P99" s="190">
        <f>O99*H99</f>
        <v>0</v>
      </c>
      <c r="Q99" s="190">
        <v>2E-3</v>
      </c>
      <c r="R99" s="190">
        <f>Q99*H99</f>
        <v>1.4999999999999999E-2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4061</v>
      </c>
    </row>
    <row r="100" spans="1:65" s="14" customFormat="1" ht="11.25">
      <c r="B100" s="205"/>
      <c r="C100" s="206"/>
      <c r="D100" s="196" t="s">
        <v>388</v>
      </c>
      <c r="E100" s="207" t="s">
        <v>19</v>
      </c>
      <c r="F100" s="208" t="s">
        <v>4062</v>
      </c>
      <c r="G100" s="206"/>
      <c r="H100" s="209">
        <v>7.5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2</v>
      </c>
      <c r="I101" s="232"/>
      <c r="J101" s="233">
        <f>ROUND(I101*H101,2)</f>
        <v>0</v>
      </c>
      <c r="K101" s="229" t="s">
        <v>3239</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4063</v>
      </c>
    </row>
    <row r="102" spans="1:65" s="14" customFormat="1" ht="11.25">
      <c r="B102" s="205"/>
      <c r="C102" s="206"/>
      <c r="D102" s="196" t="s">
        <v>388</v>
      </c>
      <c r="E102" s="207" t="s">
        <v>19</v>
      </c>
      <c r="F102" s="208" t="s">
        <v>3403</v>
      </c>
      <c r="G102" s="206"/>
      <c r="H102" s="209">
        <v>2</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24.2" customHeight="1">
      <c r="A103" s="36"/>
      <c r="B103" s="37"/>
      <c r="C103" s="181" t="s">
        <v>386</v>
      </c>
      <c r="D103" s="181" t="s">
        <v>382</v>
      </c>
      <c r="E103" s="182" t="s">
        <v>3258</v>
      </c>
      <c r="F103" s="183" t="s">
        <v>3259</v>
      </c>
      <c r="G103" s="184" t="s">
        <v>398</v>
      </c>
      <c r="H103" s="185">
        <v>1.3</v>
      </c>
      <c r="I103" s="186"/>
      <c r="J103" s="187">
        <f>ROUND(I103*H103,2)</f>
        <v>0</v>
      </c>
      <c r="K103" s="183" t="s">
        <v>3239</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4064</v>
      </c>
    </row>
    <row r="104" spans="1:65" s="2" customFormat="1" ht="16.5" customHeight="1">
      <c r="A104" s="36"/>
      <c r="B104" s="37"/>
      <c r="C104" s="227" t="s">
        <v>405</v>
      </c>
      <c r="D104" s="227" t="s">
        <v>465</v>
      </c>
      <c r="E104" s="228" t="s">
        <v>3261</v>
      </c>
      <c r="F104" s="229" t="s">
        <v>3262</v>
      </c>
      <c r="G104" s="230" t="s">
        <v>398</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4065</v>
      </c>
    </row>
    <row r="105" spans="1:65" s="14" customFormat="1" ht="11.25">
      <c r="B105" s="205"/>
      <c r="C105" s="206"/>
      <c r="D105" s="196" t="s">
        <v>388</v>
      </c>
      <c r="E105" s="207" t="s">
        <v>19</v>
      </c>
      <c r="F105" s="208" t="s">
        <v>4066</v>
      </c>
      <c r="G105" s="206"/>
      <c r="H105" s="209">
        <v>1.3</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411</v>
      </c>
      <c r="D106" s="181" t="s">
        <v>382</v>
      </c>
      <c r="E106" s="182" t="s">
        <v>3265</v>
      </c>
      <c r="F106" s="183" t="s">
        <v>3266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4067</v>
      </c>
    </row>
    <row r="107" spans="1:65" s="2" customFormat="1" ht="24.2" customHeight="1">
      <c r="A107" s="36"/>
      <c r="B107" s="37"/>
      <c r="C107" s="181" t="s">
        <v>420</v>
      </c>
      <c r="D107" s="181" t="s">
        <v>382</v>
      </c>
      <c r="E107" s="182" t="s">
        <v>3268</v>
      </c>
      <c r="F107" s="183" t="s">
        <v>3269</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4068</v>
      </c>
    </row>
    <row r="108" spans="1:65" s="12" customFormat="1" ht="22.9" customHeight="1">
      <c r="B108" s="165"/>
      <c r="C108" s="166"/>
      <c r="D108" s="167" t="s">
        <v>71</v>
      </c>
      <c r="E108" s="179" t="s">
        <v>3271</v>
      </c>
      <c r="F108" s="179" t="s">
        <v>3272</v>
      </c>
      <c r="G108" s="166"/>
      <c r="H108" s="166"/>
      <c r="I108" s="169"/>
      <c r="J108" s="180">
        <f>BK108</f>
        <v>0</v>
      </c>
      <c r="K108" s="166"/>
      <c r="L108" s="171"/>
      <c r="M108" s="172"/>
      <c r="N108" s="173"/>
      <c r="O108" s="173"/>
      <c r="P108" s="174">
        <f>SUM(P109:P150)</f>
        <v>0</v>
      </c>
      <c r="Q108" s="173"/>
      <c r="R108" s="174">
        <f>SUM(R109:R150)</f>
        <v>6.8981000000000001E-2</v>
      </c>
      <c r="S108" s="173"/>
      <c r="T108" s="175">
        <f>SUM(T109:T150)</f>
        <v>0</v>
      </c>
      <c r="AR108" s="176" t="s">
        <v>82</v>
      </c>
      <c r="AT108" s="177" t="s">
        <v>71</v>
      </c>
      <c r="AU108" s="177" t="s">
        <v>79</v>
      </c>
      <c r="AY108" s="176" t="s">
        <v>380</v>
      </c>
      <c r="BK108" s="178">
        <f>SUM(BK109:BK150)</f>
        <v>0</v>
      </c>
    </row>
    <row r="109" spans="1:65" s="2" customFormat="1" ht="24.2" customHeight="1">
      <c r="A109" s="36"/>
      <c r="B109" s="37"/>
      <c r="C109" s="181" t="s">
        <v>424</v>
      </c>
      <c r="D109" s="181" t="s">
        <v>382</v>
      </c>
      <c r="E109" s="182" t="s">
        <v>4022</v>
      </c>
      <c r="F109" s="183" t="s">
        <v>4023</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4069</v>
      </c>
    </row>
    <row r="110" spans="1:65" s="2" customFormat="1" ht="16.5" customHeight="1">
      <c r="A110" s="36"/>
      <c r="B110" s="37"/>
      <c r="C110" s="227" t="s">
        <v>430</v>
      </c>
      <c r="D110" s="227" t="s">
        <v>465</v>
      </c>
      <c r="E110" s="228" t="s">
        <v>3428</v>
      </c>
      <c r="F110" s="229" t="s">
        <v>4070</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4071</v>
      </c>
    </row>
    <row r="111" spans="1:65" s="2" customFormat="1" ht="58.5">
      <c r="A111" s="36"/>
      <c r="B111" s="37"/>
      <c r="C111" s="38"/>
      <c r="D111" s="196" t="s">
        <v>1226</v>
      </c>
      <c r="E111" s="38"/>
      <c r="F111" s="248" t="s">
        <v>4072</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122</v>
      </c>
      <c r="D112" s="181" t="s">
        <v>382</v>
      </c>
      <c r="E112" s="182" t="s">
        <v>3892</v>
      </c>
      <c r="F112" s="183" t="s">
        <v>3893</v>
      </c>
      <c r="G112" s="184" t="s">
        <v>641</v>
      </c>
      <c r="H112" s="185">
        <v>3</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4073</v>
      </c>
    </row>
    <row r="113" spans="1:65" s="2" customFormat="1" ht="16.5" customHeight="1">
      <c r="A113" s="36"/>
      <c r="B113" s="37"/>
      <c r="C113" s="227" t="s">
        <v>125</v>
      </c>
      <c r="D113" s="227" t="s">
        <v>465</v>
      </c>
      <c r="E113" s="228" t="s">
        <v>3895</v>
      </c>
      <c r="F113" s="229" t="s">
        <v>3896</v>
      </c>
      <c r="G113" s="230" t="s">
        <v>641</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4074</v>
      </c>
    </row>
    <row r="114" spans="1:65" s="2" customFormat="1" ht="29.25">
      <c r="A114" s="36"/>
      <c r="B114" s="37"/>
      <c r="C114" s="38"/>
      <c r="D114" s="196" t="s">
        <v>1226</v>
      </c>
      <c r="E114" s="38"/>
      <c r="F114" s="248" t="s">
        <v>3898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227" t="s">
        <v>128</v>
      </c>
      <c r="D115" s="227" t="s">
        <v>465</v>
      </c>
      <c r="E115" s="228" t="s">
        <v>3958</v>
      </c>
      <c r="F115" s="229" t="s">
        <v>3959</v>
      </c>
      <c r="G115" s="230" t="s">
        <v>641</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4075</v>
      </c>
    </row>
    <row r="116" spans="1:65" s="2" customFormat="1" ht="29.25">
      <c r="A116" s="36"/>
      <c r="B116" s="37"/>
      <c r="C116" s="38"/>
      <c r="D116" s="196" t="s">
        <v>1226</v>
      </c>
      <c r="E116" s="38"/>
      <c r="F116" s="248" t="s">
        <v>3961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131</v>
      </c>
      <c r="D117" s="181" t="s">
        <v>382</v>
      </c>
      <c r="E117" s="182" t="s">
        <v>3301</v>
      </c>
      <c r="F117" s="183" t="s">
        <v>3302</v>
      </c>
      <c r="G117" s="184" t="s">
        <v>641</v>
      </c>
      <c r="H117" s="185">
        <v>2</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4076</v>
      </c>
    </row>
    <row r="118" spans="1:65" s="2" customFormat="1" ht="16.5" customHeight="1">
      <c r="A118" s="36"/>
      <c r="B118" s="37"/>
      <c r="C118" s="227" t="s">
        <v>134</v>
      </c>
      <c r="D118" s="227" t="s">
        <v>465</v>
      </c>
      <c r="E118" s="228" t="s">
        <v>3735</v>
      </c>
      <c r="F118" s="229" t="s">
        <v>4035</v>
      </c>
      <c r="G118" s="230" t="s">
        <v>3278</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4077</v>
      </c>
    </row>
    <row r="119" spans="1:65" s="2" customFormat="1" ht="29.25">
      <c r="A119" s="36"/>
      <c r="B119" s="37"/>
      <c r="C119" s="38"/>
      <c r="D119" s="196" t="s">
        <v>1226</v>
      </c>
      <c r="E119" s="38"/>
      <c r="F119" s="248" t="s">
        <v>4078</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181" t="s">
        <v>8</v>
      </c>
      <c r="D120" s="181" t="s">
        <v>382</v>
      </c>
      <c r="E120" s="182" t="s">
        <v>4079</v>
      </c>
      <c r="F120" s="183" t="s">
        <v>4080</v>
      </c>
      <c r="G120" s="184" t="s">
        <v>641</v>
      </c>
      <c r="H120" s="185">
        <v>1</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4081</v>
      </c>
    </row>
    <row r="121" spans="1:65" s="2" customFormat="1" ht="16.5" customHeight="1">
      <c r="A121" s="36"/>
      <c r="B121" s="37"/>
      <c r="C121" s="227" t="s">
        <v>281</v>
      </c>
      <c r="D121" s="227" t="s">
        <v>465</v>
      </c>
      <c r="E121" s="228" t="s">
        <v>4082</v>
      </c>
      <c r="F121" s="229" t="s">
        <v>4083</v>
      </c>
      <c r="G121" s="230" t="s">
        <v>3278</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4084</v>
      </c>
    </row>
    <row r="122" spans="1:65" s="2" customFormat="1" ht="19.5">
      <c r="A122" s="36"/>
      <c r="B122" s="37"/>
      <c r="C122" s="38"/>
      <c r="D122" s="196" t="s">
        <v>1226</v>
      </c>
      <c r="E122" s="38"/>
      <c r="F122" s="248" t="s">
        <v>4085</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24.2" customHeight="1">
      <c r="A123" s="36"/>
      <c r="B123" s="37"/>
      <c r="C123" s="181" t="s">
        <v>471</v>
      </c>
      <c r="D123" s="181" t="s">
        <v>382</v>
      </c>
      <c r="E123" s="182" t="s">
        <v>3344</v>
      </c>
      <c r="F123" s="183" t="s">
        <v>3345</v>
      </c>
      <c r="G123" s="184" t="s">
        <v>452</v>
      </c>
      <c r="H123" s="185">
        <v>17.55</v>
      </c>
      <c r="I123" s="186"/>
      <c r="J123" s="187">
        <f>ROUND(I123*H123,2)</f>
        <v>0</v>
      </c>
      <c r="K123" s="183" t="s">
        <v>3239</v>
      </c>
      <c r="L123" s="41"/>
      <c r="M123" s="188" t="s">
        <v>19</v>
      </c>
      <c r="N123" s="189" t="s">
        <v>43</v>
      </c>
      <c r="O123" s="66"/>
      <c r="P123" s="190">
        <f>O123*H123</f>
        <v>0</v>
      </c>
      <c r="Q123" s="190">
        <v>3.1199999999999999E-3</v>
      </c>
      <c r="R123" s="190">
        <f>Q123*H123</f>
        <v>5.4755999999999999E-2</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4086</v>
      </c>
    </row>
    <row r="124" spans="1:65" s="2" customFormat="1" ht="29.25">
      <c r="A124" s="36"/>
      <c r="B124" s="37"/>
      <c r="C124" s="38"/>
      <c r="D124" s="196" t="s">
        <v>1226</v>
      </c>
      <c r="E124" s="38"/>
      <c r="F124" s="248" t="s">
        <v>3318</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13" customFormat="1" ht="11.25">
      <c r="B125" s="194"/>
      <c r="C125" s="195"/>
      <c r="D125" s="196" t="s">
        <v>388</v>
      </c>
      <c r="E125" s="197" t="s">
        <v>19</v>
      </c>
      <c r="F125" s="198" t="s">
        <v>3909</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3762</v>
      </c>
      <c r="G126" s="206"/>
      <c r="H126" s="209">
        <v>14.3</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3" customFormat="1" ht="11.25">
      <c r="B127" s="194"/>
      <c r="C127" s="195"/>
      <c r="D127" s="196" t="s">
        <v>388</v>
      </c>
      <c r="E127" s="197" t="s">
        <v>19</v>
      </c>
      <c r="F127" s="198" t="s">
        <v>3351</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3912</v>
      </c>
      <c r="G128" s="206"/>
      <c r="H128" s="209">
        <v>3.25</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17.55</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477</v>
      </c>
      <c r="D130" s="181" t="s">
        <v>382</v>
      </c>
      <c r="E130" s="182" t="s">
        <v>3973</v>
      </c>
      <c r="F130" s="183" t="s">
        <v>3974</v>
      </c>
      <c r="G130" s="184" t="s">
        <v>641</v>
      </c>
      <c r="H130" s="185">
        <v>1</v>
      </c>
      <c r="I130" s="186"/>
      <c r="J130" s="187">
        <f>ROUND(I130*H130,2)</f>
        <v>0</v>
      </c>
      <c r="K130" s="183" t="s">
        <v>3239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4087</v>
      </c>
    </row>
    <row r="131" spans="1:65" s="2" customFormat="1" ht="16.5" customHeight="1">
      <c r="A131" s="36"/>
      <c r="B131" s="37"/>
      <c r="C131" s="227" t="s">
        <v>284</v>
      </c>
      <c r="D131" s="227" t="s">
        <v>465</v>
      </c>
      <c r="E131" s="228" t="s">
        <v>3442</v>
      </c>
      <c r="F131" s="229" t="s">
        <v>3976</v>
      </c>
      <c r="G131" s="230" t="s">
        <v>3278</v>
      </c>
      <c r="H131" s="231">
        <v>1</v>
      </c>
      <c r="I131" s="232"/>
      <c r="J131" s="233">
        <f>ROUND(I131*H131,2)</f>
        <v>0</v>
      </c>
      <c r="K131" s="229" t="s">
        <v>19</v>
      </c>
      <c r="L131" s="234"/>
      <c r="M131" s="235" t="s">
        <v>19</v>
      </c>
      <c r="N131" s="236"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546</v>
      </c>
      <c r="AT131" s="192" t="s">
        <v>465</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4088</v>
      </c>
    </row>
    <row r="132" spans="1:65" s="2" customFormat="1" ht="19.5">
      <c r="A132" s="36"/>
      <c r="B132" s="37"/>
      <c r="C132" s="38"/>
      <c r="D132" s="196" t="s">
        <v>1226</v>
      </c>
      <c r="E132" s="38"/>
      <c r="F132" s="248" t="s">
        <v>4050</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24.2" customHeight="1">
      <c r="A133" s="36"/>
      <c r="B133" s="37"/>
      <c r="C133" s="181" t="s">
        <v>486</v>
      </c>
      <c r="D133" s="181" t="s">
        <v>382</v>
      </c>
      <c r="E133" s="182" t="s">
        <v>3365</v>
      </c>
      <c r="F133" s="183" t="s">
        <v>3366</v>
      </c>
      <c r="G133" s="184" t="s">
        <v>641</v>
      </c>
      <c r="H133" s="185">
        <v>1</v>
      </c>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4089</v>
      </c>
    </row>
    <row r="134" spans="1:65" s="2" customFormat="1" ht="16.5" customHeight="1">
      <c r="A134" s="36"/>
      <c r="B134" s="37"/>
      <c r="C134" s="227" t="s">
        <v>7</v>
      </c>
      <c r="D134" s="227" t="s">
        <v>465</v>
      </c>
      <c r="E134" s="228" t="s">
        <v>4090</v>
      </c>
      <c r="F134" s="229" t="s">
        <v>4091</v>
      </c>
      <c r="G134" s="230" t="s">
        <v>3278</v>
      </c>
      <c r="H134" s="231">
        <v>1</v>
      </c>
      <c r="I134" s="232"/>
      <c r="J134" s="233">
        <f>ROUND(I134*H134,2)</f>
        <v>0</v>
      </c>
      <c r="K134" s="229" t="s">
        <v>19</v>
      </c>
      <c r="L134" s="234"/>
      <c r="M134" s="235" t="s">
        <v>19</v>
      </c>
      <c r="N134" s="236"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546</v>
      </c>
      <c r="AT134" s="192" t="s">
        <v>465</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4092</v>
      </c>
    </row>
    <row r="135" spans="1:65" s="2" customFormat="1" ht="19.5">
      <c r="A135" s="36"/>
      <c r="B135" s="37"/>
      <c r="C135" s="38"/>
      <c r="D135" s="196" t="s">
        <v>1226</v>
      </c>
      <c r="E135" s="38"/>
      <c r="F135" s="248" t="s">
        <v>4093</v>
      </c>
      <c r="G135" s="38"/>
      <c r="H135" s="38"/>
      <c r="I135" s="249"/>
      <c r="J135" s="38"/>
      <c r="K135" s="38"/>
      <c r="L135" s="41"/>
      <c r="M135" s="250"/>
      <c r="N135" s="251"/>
      <c r="O135" s="66"/>
      <c r="P135" s="66"/>
      <c r="Q135" s="66"/>
      <c r="R135" s="66"/>
      <c r="S135" s="66"/>
      <c r="T135" s="67"/>
      <c r="U135" s="36"/>
      <c r="V135" s="36"/>
      <c r="W135" s="36"/>
      <c r="X135" s="36"/>
      <c r="Y135" s="36"/>
      <c r="Z135" s="36"/>
      <c r="AA135" s="36"/>
      <c r="AB135" s="36"/>
      <c r="AC135" s="36"/>
      <c r="AD135" s="36"/>
      <c r="AE135" s="36"/>
      <c r="AT135" s="19" t="s">
        <v>1226</v>
      </c>
      <c r="AU135" s="19" t="s">
        <v>82</v>
      </c>
    </row>
    <row r="136" spans="1:65" s="2" customFormat="1" ht="21.75" customHeight="1">
      <c r="A136" s="36"/>
      <c r="B136" s="37"/>
      <c r="C136" s="181" t="s">
        <v>495</v>
      </c>
      <c r="D136" s="181" t="s">
        <v>382</v>
      </c>
      <c r="E136" s="182" t="s">
        <v>3372</v>
      </c>
      <c r="F136" s="183" t="s">
        <v>3373</v>
      </c>
      <c r="G136" s="184" t="s">
        <v>452</v>
      </c>
      <c r="H136" s="185">
        <v>0.65</v>
      </c>
      <c r="I136" s="186"/>
      <c r="J136" s="187">
        <f>ROUND(I136*H136,2)</f>
        <v>0</v>
      </c>
      <c r="K136" s="183" t="s">
        <v>3239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4094</v>
      </c>
    </row>
    <row r="137" spans="1:65" s="2" customFormat="1" ht="16.5" customHeight="1">
      <c r="A137" s="36"/>
      <c r="B137" s="37"/>
      <c r="C137" s="227" t="s">
        <v>500</v>
      </c>
      <c r="D137" s="227" t="s">
        <v>465</v>
      </c>
      <c r="E137" s="228" t="s">
        <v>3922</v>
      </c>
      <c r="F137" s="229" t="s">
        <v>3376</v>
      </c>
      <c r="G137" s="230" t="s">
        <v>452</v>
      </c>
      <c r="H137" s="231">
        <v>0.65</v>
      </c>
      <c r="I137" s="232"/>
      <c r="J137" s="233">
        <f>ROUND(I137*H137,2)</f>
        <v>0</v>
      </c>
      <c r="K137" s="229" t="s">
        <v>19</v>
      </c>
      <c r="L137" s="234"/>
      <c r="M137" s="235" t="s">
        <v>19</v>
      </c>
      <c r="N137" s="236"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546</v>
      </c>
      <c r="AT137" s="192" t="s">
        <v>465</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4095</v>
      </c>
    </row>
    <row r="138" spans="1:65" s="2" customFormat="1" ht="117">
      <c r="A138" s="36"/>
      <c r="B138" s="37"/>
      <c r="C138" s="38"/>
      <c r="D138" s="196" t="s">
        <v>1226</v>
      </c>
      <c r="E138" s="38"/>
      <c r="F138" s="248" t="s">
        <v>3378</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1226</v>
      </c>
      <c r="AU138" s="19" t="s">
        <v>82</v>
      </c>
    </row>
    <row r="139" spans="1:65" s="14" customFormat="1" ht="11.25">
      <c r="B139" s="205"/>
      <c r="C139" s="206"/>
      <c r="D139" s="196" t="s">
        <v>388</v>
      </c>
      <c r="E139" s="207" t="s">
        <v>19</v>
      </c>
      <c r="F139" s="208" t="s">
        <v>3908</v>
      </c>
      <c r="G139" s="206"/>
      <c r="H139" s="209">
        <v>0.65</v>
      </c>
      <c r="I139" s="210"/>
      <c r="J139" s="206"/>
      <c r="K139" s="206"/>
      <c r="L139" s="211"/>
      <c r="M139" s="212"/>
      <c r="N139" s="213"/>
      <c r="O139" s="213"/>
      <c r="P139" s="213"/>
      <c r="Q139" s="213"/>
      <c r="R139" s="213"/>
      <c r="S139" s="213"/>
      <c r="T139" s="214"/>
      <c r="AT139" s="215" t="s">
        <v>388</v>
      </c>
      <c r="AU139" s="215" t="s">
        <v>82</v>
      </c>
      <c r="AV139" s="14" t="s">
        <v>82</v>
      </c>
      <c r="AW139" s="14" t="s">
        <v>33</v>
      </c>
      <c r="AX139" s="14" t="s">
        <v>72</v>
      </c>
      <c r="AY139" s="215" t="s">
        <v>380</v>
      </c>
    </row>
    <row r="140" spans="1:65" s="15" customFormat="1" ht="11.25">
      <c r="B140" s="216"/>
      <c r="C140" s="217"/>
      <c r="D140" s="196" t="s">
        <v>388</v>
      </c>
      <c r="E140" s="218" t="s">
        <v>19</v>
      </c>
      <c r="F140" s="219" t="s">
        <v>419</v>
      </c>
      <c r="G140" s="217"/>
      <c r="H140" s="220">
        <v>0.65</v>
      </c>
      <c r="I140" s="221"/>
      <c r="J140" s="217"/>
      <c r="K140" s="217"/>
      <c r="L140" s="222"/>
      <c r="M140" s="223"/>
      <c r="N140" s="224"/>
      <c r="O140" s="224"/>
      <c r="P140" s="224"/>
      <c r="Q140" s="224"/>
      <c r="R140" s="224"/>
      <c r="S140" s="224"/>
      <c r="T140" s="225"/>
      <c r="AT140" s="226" t="s">
        <v>388</v>
      </c>
      <c r="AU140" s="226" t="s">
        <v>82</v>
      </c>
      <c r="AV140" s="15" t="s">
        <v>386</v>
      </c>
      <c r="AW140" s="15" t="s">
        <v>33</v>
      </c>
      <c r="AX140" s="15" t="s">
        <v>79</v>
      </c>
      <c r="AY140" s="226" t="s">
        <v>380</v>
      </c>
    </row>
    <row r="141" spans="1:65" s="2" customFormat="1" ht="24.2" customHeight="1">
      <c r="A141" s="36"/>
      <c r="B141" s="37"/>
      <c r="C141" s="181" t="s">
        <v>505</v>
      </c>
      <c r="D141" s="181" t="s">
        <v>382</v>
      </c>
      <c r="E141" s="182" t="s">
        <v>3393</v>
      </c>
      <c r="F141" s="183" t="s">
        <v>3394</v>
      </c>
      <c r="G141" s="184" t="s">
        <v>452</v>
      </c>
      <c r="H141" s="185">
        <v>17.55</v>
      </c>
      <c r="I141" s="186"/>
      <c r="J141" s="187">
        <f>ROUND(I141*H141,2)</f>
        <v>0</v>
      </c>
      <c r="K141" s="183" t="s">
        <v>3239</v>
      </c>
      <c r="L141" s="41"/>
      <c r="M141" s="188" t="s">
        <v>19</v>
      </c>
      <c r="N141" s="189" t="s">
        <v>43</v>
      </c>
      <c r="O141" s="66"/>
      <c r="P141" s="190">
        <f>O141*H141</f>
        <v>0</v>
      </c>
      <c r="Q141" s="190">
        <v>6.9999999999999999E-4</v>
      </c>
      <c r="R141" s="190">
        <f>Q141*H141</f>
        <v>1.2285000000000001E-2</v>
      </c>
      <c r="S141" s="190">
        <v>0</v>
      </c>
      <c r="T141" s="191">
        <f>S141*H141</f>
        <v>0</v>
      </c>
      <c r="U141" s="36"/>
      <c r="V141" s="36"/>
      <c r="W141" s="36"/>
      <c r="X141" s="36"/>
      <c r="Y141" s="36"/>
      <c r="Z141" s="36"/>
      <c r="AA141" s="36"/>
      <c r="AB141" s="36"/>
      <c r="AC141" s="36"/>
      <c r="AD141" s="36"/>
      <c r="AE141" s="36"/>
      <c r="AR141" s="192" t="s">
        <v>281</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4096</v>
      </c>
    </row>
    <row r="142" spans="1:65" s="14" customFormat="1" ht="11.25">
      <c r="B142" s="205"/>
      <c r="C142" s="206"/>
      <c r="D142" s="196" t="s">
        <v>388</v>
      </c>
      <c r="E142" s="207" t="s">
        <v>19</v>
      </c>
      <c r="F142" s="208" t="s">
        <v>4097</v>
      </c>
      <c r="G142" s="206"/>
      <c r="H142" s="209">
        <v>17.55</v>
      </c>
      <c r="I142" s="210"/>
      <c r="J142" s="206"/>
      <c r="K142" s="206"/>
      <c r="L142" s="211"/>
      <c r="M142" s="212"/>
      <c r="N142" s="213"/>
      <c r="O142" s="213"/>
      <c r="P142" s="213"/>
      <c r="Q142" s="213"/>
      <c r="R142" s="213"/>
      <c r="S142" s="213"/>
      <c r="T142" s="214"/>
      <c r="AT142" s="215" t="s">
        <v>388</v>
      </c>
      <c r="AU142" s="215" t="s">
        <v>82</v>
      </c>
      <c r="AV142" s="14" t="s">
        <v>82</v>
      </c>
      <c r="AW142" s="14" t="s">
        <v>33</v>
      </c>
      <c r="AX142" s="14" t="s">
        <v>79</v>
      </c>
      <c r="AY142" s="215" t="s">
        <v>380</v>
      </c>
    </row>
    <row r="143" spans="1:65" s="2" customFormat="1" ht="24.2" customHeight="1">
      <c r="A143" s="36"/>
      <c r="B143" s="37"/>
      <c r="C143" s="181" t="s">
        <v>509</v>
      </c>
      <c r="D143" s="181" t="s">
        <v>382</v>
      </c>
      <c r="E143" s="182" t="s">
        <v>4000</v>
      </c>
      <c r="F143" s="183" t="s">
        <v>4001</v>
      </c>
      <c r="G143" s="184" t="s">
        <v>641</v>
      </c>
      <c r="H143" s="185">
        <v>2</v>
      </c>
      <c r="I143" s="186"/>
      <c r="J143" s="187">
        <f>ROUND(I143*H143,2)</f>
        <v>0</v>
      </c>
      <c r="K143" s="183" t="s">
        <v>3239</v>
      </c>
      <c r="L143" s="41"/>
      <c r="M143" s="188" t="s">
        <v>19</v>
      </c>
      <c r="N143" s="189" t="s">
        <v>43</v>
      </c>
      <c r="O143" s="66"/>
      <c r="P143" s="190">
        <f>O143*H143</f>
        <v>0</v>
      </c>
      <c r="Q143" s="190">
        <v>9.7000000000000005E-4</v>
      </c>
      <c r="R143" s="190">
        <f>Q143*H143</f>
        <v>1.9400000000000001E-3</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4098</v>
      </c>
    </row>
    <row r="144" spans="1:65" s="13" customFormat="1" ht="11.25">
      <c r="B144" s="194"/>
      <c r="C144" s="195"/>
      <c r="D144" s="196" t="s">
        <v>388</v>
      </c>
      <c r="E144" s="197" t="s">
        <v>19</v>
      </c>
      <c r="F144" s="198" t="s">
        <v>4099</v>
      </c>
      <c r="G144" s="195"/>
      <c r="H144" s="197" t="s">
        <v>19</v>
      </c>
      <c r="I144" s="199"/>
      <c r="J144" s="195"/>
      <c r="K144" s="195"/>
      <c r="L144" s="200"/>
      <c r="M144" s="201"/>
      <c r="N144" s="202"/>
      <c r="O144" s="202"/>
      <c r="P144" s="202"/>
      <c r="Q144" s="202"/>
      <c r="R144" s="202"/>
      <c r="S144" s="202"/>
      <c r="T144" s="203"/>
      <c r="AT144" s="204" t="s">
        <v>388</v>
      </c>
      <c r="AU144" s="204" t="s">
        <v>82</v>
      </c>
      <c r="AV144" s="13" t="s">
        <v>79</v>
      </c>
      <c r="AW144" s="13" t="s">
        <v>33</v>
      </c>
      <c r="AX144" s="13" t="s">
        <v>72</v>
      </c>
      <c r="AY144" s="204" t="s">
        <v>380</v>
      </c>
    </row>
    <row r="145" spans="1:65" s="14" customFormat="1" ht="11.25">
      <c r="B145" s="205"/>
      <c r="C145" s="206"/>
      <c r="D145" s="196" t="s">
        <v>388</v>
      </c>
      <c r="E145" s="207" t="s">
        <v>19</v>
      </c>
      <c r="F145" s="208" t="s">
        <v>79</v>
      </c>
      <c r="G145" s="206"/>
      <c r="H145" s="209">
        <v>1</v>
      </c>
      <c r="I145" s="210"/>
      <c r="J145" s="206"/>
      <c r="K145" s="206"/>
      <c r="L145" s="211"/>
      <c r="M145" s="212"/>
      <c r="N145" s="213"/>
      <c r="O145" s="213"/>
      <c r="P145" s="213"/>
      <c r="Q145" s="213"/>
      <c r="R145" s="213"/>
      <c r="S145" s="213"/>
      <c r="T145" s="214"/>
      <c r="AT145" s="215" t="s">
        <v>388</v>
      </c>
      <c r="AU145" s="215" t="s">
        <v>82</v>
      </c>
      <c r="AV145" s="14" t="s">
        <v>82</v>
      </c>
      <c r="AW145" s="14" t="s">
        <v>33</v>
      </c>
      <c r="AX145" s="14" t="s">
        <v>72</v>
      </c>
      <c r="AY145" s="215" t="s">
        <v>380</v>
      </c>
    </row>
    <row r="146" spans="1:65" s="13" customFormat="1" ht="11.25">
      <c r="B146" s="194"/>
      <c r="C146" s="195"/>
      <c r="D146" s="196" t="s">
        <v>388</v>
      </c>
      <c r="E146" s="197" t="s">
        <v>19</v>
      </c>
      <c r="F146" s="198" t="s">
        <v>4100</v>
      </c>
      <c r="G146" s="195"/>
      <c r="H146" s="197" t="s">
        <v>19</v>
      </c>
      <c r="I146" s="199"/>
      <c r="J146" s="195"/>
      <c r="K146" s="195"/>
      <c r="L146" s="200"/>
      <c r="M146" s="201"/>
      <c r="N146" s="202"/>
      <c r="O146" s="202"/>
      <c r="P146" s="202"/>
      <c r="Q146" s="202"/>
      <c r="R146" s="202"/>
      <c r="S146" s="202"/>
      <c r="T146" s="203"/>
      <c r="AT146" s="204" t="s">
        <v>388</v>
      </c>
      <c r="AU146" s="204" t="s">
        <v>82</v>
      </c>
      <c r="AV146" s="13" t="s">
        <v>79</v>
      </c>
      <c r="AW146" s="13" t="s">
        <v>33</v>
      </c>
      <c r="AX146" s="13" t="s">
        <v>72</v>
      </c>
      <c r="AY146" s="204" t="s">
        <v>380</v>
      </c>
    </row>
    <row r="147" spans="1:65" s="14" customFormat="1" ht="11.25">
      <c r="B147" s="205"/>
      <c r="C147" s="206"/>
      <c r="D147" s="196" t="s">
        <v>388</v>
      </c>
      <c r="E147" s="207" t="s">
        <v>19</v>
      </c>
      <c r="F147" s="208" t="s">
        <v>79</v>
      </c>
      <c r="G147" s="206"/>
      <c r="H147" s="209">
        <v>1</v>
      </c>
      <c r="I147" s="210"/>
      <c r="J147" s="206"/>
      <c r="K147" s="206"/>
      <c r="L147" s="211"/>
      <c r="M147" s="212"/>
      <c r="N147" s="213"/>
      <c r="O147" s="213"/>
      <c r="P147" s="213"/>
      <c r="Q147" s="213"/>
      <c r="R147" s="213"/>
      <c r="S147" s="213"/>
      <c r="T147" s="214"/>
      <c r="AT147" s="215" t="s">
        <v>388</v>
      </c>
      <c r="AU147" s="215" t="s">
        <v>82</v>
      </c>
      <c r="AV147" s="14" t="s">
        <v>82</v>
      </c>
      <c r="AW147" s="14" t="s">
        <v>33</v>
      </c>
      <c r="AX147" s="14" t="s">
        <v>72</v>
      </c>
      <c r="AY147" s="215" t="s">
        <v>380</v>
      </c>
    </row>
    <row r="148" spans="1:65" s="15" customFormat="1" ht="11.25">
      <c r="B148" s="216"/>
      <c r="C148" s="217"/>
      <c r="D148" s="196" t="s">
        <v>388</v>
      </c>
      <c r="E148" s="218" t="s">
        <v>19</v>
      </c>
      <c r="F148" s="219" t="s">
        <v>419</v>
      </c>
      <c r="G148" s="217"/>
      <c r="H148" s="220">
        <v>2</v>
      </c>
      <c r="I148" s="221"/>
      <c r="J148" s="217"/>
      <c r="K148" s="217"/>
      <c r="L148" s="222"/>
      <c r="M148" s="223"/>
      <c r="N148" s="224"/>
      <c r="O148" s="224"/>
      <c r="P148" s="224"/>
      <c r="Q148" s="224"/>
      <c r="R148" s="224"/>
      <c r="S148" s="224"/>
      <c r="T148" s="225"/>
      <c r="AT148" s="226" t="s">
        <v>388</v>
      </c>
      <c r="AU148" s="226" t="s">
        <v>82</v>
      </c>
      <c r="AV148" s="15" t="s">
        <v>386</v>
      </c>
      <c r="AW148" s="15" t="s">
        <v>33</v>
      </c>
      <c r="AX148" s="15" t="s">
        <v>79</v>
      </c>
      <c r="AY148" s="226" t="s">
        <v>380</v>
      </c>
    </row>
    <row r="149" spans="1:65" s="2" customFormat="1" ht="24.2" customHeight="1">
      <c r="A149" s="36"/>
      <c r="B149" s="37"/>
      <c r="C149" s="181" t="s">
        <v>514</v>
      </c>
      <c r="D149" s="181" t="s">
        <v>382</v>
      </c>
      <c r="E149" s="182" t="s">
        <v>3432</v>
      </c>
      <c r="F149" s="183" t="s">
        <v>3433</v>
      </c>
      <c r="G149" s="184" t="s">
        <v>3014</v>
      </c>
      <c r="H149" s="257"/>
      <c r="I149" s="186"/>
      <c r="J149" s="187">
        <f>ROUND(I149*H149,2)</f>
        <v>0</v>
      </c>
      <c r="K149" s="183" t="s">
        <v>3239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4101</v>
      </c>
    </row>
    <row r="150" spans="1:65" s="2" customFormat="1" ht="24.2" customHeight="1">
      <c r="A150" s="36"/>
      <c r="B150" s="37"/>
      <c r="C150" s="181" t="s">
        <v>520</v>
      </c>
      <c r="D150" s="181" t="s">
        <v>382</v>
      </c>
      <c r="E150" s="182" t="s">
        <v>3435</v>
      </c>
      <c r="F150" s="183" t="s">
        <v>3436</v>
      </c>
      <c r="G150" s="184" t="s">
        <v>3014</v>
      </c>
      <c r="H150" s="257"/>
      <c r="I150" s="186"/>
      <c r="J150" s="187">
        <f>ROUND(I150*H150,2)</f>
        <v>0</v>
      </c>
      <c r="K150" s="183" t="s">
        <v>3239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4102</v>
      </c>
    </row>
    <row r="151" spans="1:65" s="12" customFormat="1" ht="22.9" customHeight="1">
      <c r="B151" s="165"/>
      <c r="C151" s="166"/>
      <c r="D151" s="167" t="s">
        <v>71</v>
      </c>
      <c r="E151" s="179" t="s">
        <v>3450</v>
      </c>
      <c r="F151" s="179" t="s">
        <v>3451</v>
      </c>
      <c r="G151" s="166"/>
      <c r="H151" s="166"/>
      <c r="I151" s="169"/>
      <c r="J151" s="180">
        <f>BK151</f>
        <v>0</v>
      </c>
      <c r="K151" s="166"/>
      <c r="L151" s="171"/>
      <c r="M151" s="172"/>
      <c r="N151" s="173"/>
      <c r="O151" s="173"/>
      <c r="P151" s="174">
        <f>SUM(P152:P156)</f>
        <v>0</v>
      </c>
      <c r="Q151" s="173"/>
      <c r="R151" s="174">
        <f>SUM(R152:R156)</f>
        <v>0</v>
      </c>
      <c r="S151" s="173"/>
      <c r="T151" s="175">
        <f>SUM(T152:T156)</f>
        <v>0</v>
      </c>
      <c r="AR151" s="176" t="s">
        <v>82</v>
      </c>
      <c r="AT151" s="177" t="s">
        <v>71</v>
      </c>
      <c r="AU151" s="177" t="s">
        <v>79</v>
      </c>
      <c r="AY151" s="176" t="s">
        <v>380</v>
      </c>
      <c r="BK151" s="178">
        <f>SUM(BK152:BK156)</f>
        <v>0</v>
      </c>
    </row>
    <row r="152" spans="1:65" s="2" customFormat="1" ht="16.5" customHeight="1">
      <c r="A152" s="36"/>
      <c r="B152" s="37"/>
      <c r="C152" s="227" t="s">
        <v>525</v>
      </c>
      <c r="D152" s="227" t="s">
        <v>465</v>
      </c>
      <c r="E152" s="228" t="s">
        <v>3452</v>
      </c>
      <c r="F152" s="229" t="s">
        <v>3453</v>
      </c>
      <c r="G152" s="230" t="s">
        <v>2389</v>
      </c>
      <c r="H152" s="231">
        <v>16</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546</v>
      </c>
      <c r="AT152" s="192" t="s">
        <v>465</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4103</v>
      </c>
    </row>
    <row r="153" spans="1:65" s="14" customFormat="1" ht="11.25">
      <c r="B153" s="205"/>
      <c r="C153" s="206"/>
      <c r="D153" s="196" t="s">
        <v>388</v>
      </c>
      <c r="E153" s="207" t="s">
        <v>19</v>
      </c>
      <c r="F153" s="208" t="s">
        <v>1028</v>
      </c>
      <c r="G153" s="206"/>
      <c r="H153" s="209">
        <v>16</v>
      </c>
      <c r="I153" s="210"/>
      <c r="J153" s="206"/>
      <c r="K153" s="206"/>
      <c r="L153" s="211"/>
      <c r="M153" s="212"/>
      <c r="N153" s="213"/>
      <c r="O153" s="213"/>
      <c r="P153" s="213"/>
      <c r="Q153" s="213"/>
      <c r="R153" s="213"/>
      <c r="S153" s="213"/>
      <c r="T153" s="214"/>
      <c r="AT153" s="215" t="s">
        <v>388</v>
      </c>
      <c r="AU153" s="215" t="s">
        <v>82</v>
      </c>
      <c r="AV153" s="14" t="s">
        <v>82</v>
      </c>
      <c r="AW153" s="14" t="s">
        <v>33</v>
      </c>
      <c r="AX153" s="14" t="s">
        <v>79</v>
      </c>
      <c r="AY153" s="215" t="s">
        <v>380</v>
      </c>
    </row>
    <row r="154" spans="1:65" s="2" customFormat="1" ht="16.5" customHeight="1">
      <c r="A154" s="36"/>
      <c r="B154" s="37"/>
      <c r="C154" s="181" t="s">
        <v>529</v>
      </c>
      <c r="D154" s="181" t="s">
        <v>382</v>
      </c>
      <c r="E154" s="182" t="s">
        <v>3456</v>
      </c>
      <c r="F154" s="183" t="s">
        <v>2819</v>
      </c>
      <c r="G154" s="184" t="s">
        <v>2389</v>
      </c>
      <c r="H154" s="185">
        <v>16</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281</v>
      </c>
      <c r="AT154" s="192" t="s">
        <v>382</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4104</v>
      </c>
    </row>
    <row r="155" spans="1:65" s="2" customFormat="1" ht="16.5" customHeight="1">
      <c r="A155" s="36"/>
      <c r="B155" s="37"/>
      <c r="C155" s="181" t="s">
        <v>534</v>
      </c>
      <c r="D155" s="181" t="s">
        <v>382</v>
      </c>
      <c r="E155" s="182" t="s">
        <v>3458</v>
      </c>
      <c r="F155" s="183" t="s">
        <v>3459</v>
      </c>
      <c r="G155" s="184" t="s">
        <v>2389</v>
      </c>
      <c r="H155" s="185">
        <v>16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4105</v>
      </c>
    </row>
    <row r="156" spans="1:65" s="2" customFormat="1" ht="16.5" customHeight="1">
      <c r="A156" s="36"/>
      <c r="B156" s="37"/>
      <c r="C156" s="181" t="s">
        <v>540</v>
      </c>
      <c r="D156" s="181" t="s">
        <v>382</v>
      </c>
      <c r="E156" s="182" t="s">
        <v>3461</v>
      </c>
      <c r="F156" s="183" t="s">
        <v>3462</v>
      </c>
      <c r="G156" s="184" t="s">
        <v>2389</v>
      </c>
      <c r="H156" s="185">
        <v>8</v>
      </c>
      <c r="I156" s="186"/>
      <c r="J156" s="187">
        <f>ROUND(I156*H156,2)</f>
        <v>0</v>
      </c>
      <c r="K156" s="183" t="s">
        <v>19</v>
      </c>
      <c r="L156" s="41"/>
      <c r="M156" s="252" t="s">
        <v>19</v>
      </c>
      <c r="N156" s="253" t="s">
        <v>43</v>
      </c>
      <c r="O156" s="254"/>
      <c r="P156" s="255">
        <f>O156*H156</f>
        <v>0</v>
      </c>
      <c r="Q156" s="255">
        <v>0</v>
      </c>
      <c r="R156" s="255">
        <f>Q156*H156</f>
        <v>0</v>
      </c>
      <c r="S156" s="255">
        <v>0</v>
      </c>
      <c r="T156" s="256">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4106</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qtdIJW+DbM96HfDf/9roGb1pXCrcj/p60iqTNusQ8vIg53LtHitA3LUtJ1ux8upkpHo1M3YWwcYiolv3Zg899A==" saltValue="jgNdUTMypxBrggnlgHRepW/VEyMKtN5txw9YVbKzorA7B1Oiq917pPSJf/ehka+8273zZTCtRKjwdFtHk4PtRw==" spinCount="100000" sheet="1" objects="1" scenarios="1" formatColumns="0" formatRows="0" autoFilter="0"/>
  <autoFilter ref="C94:K156" xr:uid="{00000000-0009-0000-0000-00000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4107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ROUND((SUM(BE95:BE140)),  2)</f>
        <v>0</v>
      </c>
      <c r="G37" s="36"/>
      <c r="H37" s="36"/>
      <c r="I37" s="127">
        <v>0.21</v>
      </c>
      <c r="J37" s="126">
        <f>ROUND(((SUM(BE95:BE140))*I37),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ROUND((SUM(BF95:BF140)),  2)</f>
        <v>0</v>
      </c>
      <c r="G38" s="36"/>
      <c r="H38" s="36"/>
      <c r="I38" s="127">
        <v>0.15</v>
      </c>
      <c r="J38" s="126">
        <f>ROUND(((SUM(BF95:BF140))*I38),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12 - Odvětrání technických místností EI</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J135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12 - Odvětrání technických místností EI</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0.21217700000000003</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P97+P111+P135</f>
        <v>0</v>
      </c>
      <c r="Q96" s="173"/>
      <c r="R96" s="174">
        <f>R97+R111+R135</f>
        <v>0.21217700000000003</v>
      </c>
      <c r="S96" s="173"/>
      <c r="T96" s="175">
        <f>T97+T111+T135</f>
        <v>0</v>
      </c>
      <c r="AR96" s="176" t="s">
        <v>82</v>
      </c>
      <c r="AT96" s="177" t="s">
        <v>71</v>
      </c>
      <c r="AU96" s="177" t="s">
        <v>72</v>
      </c>
      <c r="AY96" s="176" t="s">
        <v>380</v>
      </c>
      <c r="BK96" s="178">
        <f>BK97+BK111+BK135</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8.295050000000001E-2</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15.5</v>
      </c>
      <c r="I98" s="186"/>
      <c r="J98" s="187">
        <f>ROUND(I98*H98,2)</f>
        <v>0</v>
      </c>
      <c r="K98" s="183" t="s">
        <v>3239</v>
      </c>
      <c r="L98" s="41"/>
      <c r="M98" s="188" t="s">
        <v>19</v>
      </c>
      <c r="N98" s="189" t="s">
        <v>43</v>
      </c>
      <c r="O98" s="66"/>
      <c r="P98" s="190">
        <f>O98*H98</f>
        <v>0</v>
      </c>
      <c r="Q98" s="190">
        <v>1.5100000000000001E-3</v>
      </c>
      <c r="R98" s="190">
        <f>Q98*H98</f>
        <v>2.3405000000000002E-2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4108</v>
      </c>
    </row>
    <row r="99" spans="1:65" s="2" customFormat="1" ht="16.5" customHeight="1">
      <c r="A99" s="36"/>
      <c r="B99" s="37"/>
      <c r="C99" s="227" t="s">
        <v>82</v>
      </c>
      <c r="D99" s="227" t="s">
        <v>465</v>
      </c>
      <c r="E99" s="228" t="s">
        <v>3241</v>
      </c>
      <c r="F99" s="229" t="s">
        <v>3242</v>
      </c>
      <c r="G99" s="230" t="s">
        <v>398</v>
      </c>
      <c r="H99" s="231">
        <v>1</v>
      </c>
      <c r="I99" s="232"/>
      <c r="J99" s="233">
        <f>ROUND(I99*H99,2)</f>
        <v>0</v>
      </c>
      <c r="K99" s="229" t="s">
        <v>3239</v>
      </c>
      <c r="L99" s="234"/>
      <c r="M99" s="235" t="s">
        <v>19</v>
      </c>
      <c r="N99" s="236" t="s">
        <v>43</v>
      </c>
      <c r="O99" s="66"/>
      <c r="P99" s="190">
        <f>O99*H99</f>
        <v>0</v>
      </c>
      <c r="Q99" s="190">
        <v>2E-3</v>
      </c>
      <c r="R99" s="190">
        <f>Q99*H99</f>
        <v>2E-3</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4109</v>
      </c>
    </row>
    <row r="100" spans="1:65" s="14" customFormat="1" ht="11.25">
      <c r="B100" s="205"/>
      <c r="C100" s="206"/>
      <c r="D100" s="196" t="s">
        <v>388</v>
      </c>
      <c r="E100" s="207" t="s">
        <v>19</v>
      </c>
      <c r="F100" s="208" t="s">
        <v>3257</v>
      </c>
      <c r="G100" s="206"/>
      <c r="H100" s="209">
        <v>1</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0.5</v>
      </c>
      <c r="I101" s="232"/>
      <c r="J101" s="233">
        <f>ROUND(I101*H101,2)</f>
        <v>0</v>
      </c>
      <c r="K101" s="229" t="s">
        <v>3239</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4110</v>
      </c>
    </row>
    <row r="102" spans="1:65" s="14" customFormat="1" ht="11.25">
      <c r="B102" s="205"/>
      <c r="C102" s="206"/>
      <c r="D102" s="196" t="s">
        <v>388</v>
      </c>
      <c r="E102" s="207" t="s">
        <v>19</v>
      </c>
      <c r="F102" s="208" t="s">
        <v>4111</v>
      </c>
      <c r="G102" s="206"/>
      <c r="H102" s="209">
        <v>0.5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3254</v>
      </c>
      <c r="F103" s="229" t="s">
        <v>3255</v>
      </c>
      <c r="G103" s="230" t="s">
        <v>398</v>
      </c>
      <c r="H103" s="231">
        <v>14</v>
      </c>
      <c r="I103" s="232"/>
      <c r="J103" s="233">
        <f>ROUND(I103*H103,2)</f>
        <v>0</v>
      </c>
      <c r="K103" s="229" t="s">
        <v>3239</v>
      </c>
      <c r="L103" s="234"/>
      <c r="M103" s="235" t="s">
        <v>19</v>
      </c>
      <c r="N103" s="236" t="s">
        <v>43</v>
      </c>
      <c r="O103" s="66"/>
      <c r="P103" s="190">
        <f>O103*H103</f>
        <v>0</v>
      </c>
      <c r="Q103" s="190">
        <v>4.0000000000000001E-3</v>
      </c>
      <c r="R103" s="190">
        <f>Q103*H103</f>
        <v>5.6000000000000001E-2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4112</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4113</v>
      </c>
      <c r="G105" s="206"/>
      <c r="H105" s="209">
        <v>14</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405</v>
      </c>
      <c r="D106" s="181" t="s">
        <v>382</v>
      </c>
      <c r="E106" s="182" t="s">
        <v>3258</v>
      </c>
      <c r="F106" s="183" t="s">
        <v>3259</v>
      </c>
      <c r="G106" s="184" t="s">
        <v>398</v>
      </c>
      <c r="H106" s="185">
        <v>0.65</v>
      </c>
      <c r="I106" s="186"/>
      <c r="J106" s="187">
        <f>ROUND(I106*H106,2)</f>
        <v>0</v>
      </c>
      <c r="K106" s="183" t="s">
        <v>3239</v>
      </c>
      <c r="L106" s="41"/>
      <c r="M106" s="188" t="s">
        <v>19</v>
      </c>
      <c r="N106" s="189" t="s">
        <v>43</v>
      </c>
      <c r="O106" s="66"/>
      <c r="P106" s="190">
        <f>O106*H106</f>
        <v>0</v>
      </c>
      <c r="Q106" s="190">
        <v>6.9999999999999994E-5</v>
      </c>
      <c r="R106" s="190">
        <f>Q106*H106</f>
        <v>4.5499999999999995E-5</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4114</v>
      </c>
    </row>
    <row r="107" spans="1:65" s="2" customFormat="1" ht="16.5" customHeight="1">
      <c r="A107" s="36"/>
      <c r="B107" s="37"/>
      <c r="C107" s="227" t="s">
        <v>411</v>
      </c>
      <c r="D107" s="227" t="s">
        <v>465</v>
      </c>
      <c r="E107" s="228" t="s">
        <v>3261</v>
      </c>
      <c r="F107" s="229" t="s">
        <v>3262</v>
      </c>
      <c r="G107" s="230" t="s">
        <v>398</v>
      </c>
      <c r="H107" s="231">
        <v>0.65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546</v>
      </c>
      <c r="AT107" s="192" t="s">
        <v>465</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4115</v>
      </c>
    </row>
    <row r="108" spans="1:65" s="14" customFormat="1" ht="11.25">
      <c r="B108" s="205"/>
      <c r="C108" s="206"/>
      <c r="D108" s="196" t="s">
        <v>388</v>
      </c>
      <c r="E108" s="207" t="s">
        <v>19</v>
      </c>
      <c r="F108" s="208" t="s">
        <v>4116</v>
      </c>
      <c r="G108" s="206"/>
      <c r="H108" s="209">
        <v>0.65</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420</v>
      </c>
      <c r="D109" s="181" t="s">
        <v>382</v>
      </c>
      <c r="E109" s="182" t="s">
        <v>3265</v>
      </c>
      <c r="F109" s="183" t="s">
        <v>3266</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4117</v>
      </c>
    </row>
    <row r="110" spans="1:65" s="2" customFormat="1" ht="24.2" customHeight="1">
      <c r="A110" s="36"/>
      <c r="B110" s="37"/>
      <c r="C110" s="181" t="s">
        <v>424</v>
      </c>
      <c r="D110" s="181" t="s">
        <v>382</v>
      </c>
      <c r="E110" s="182" t="s">
        <v>3268</v>
      </c>
      <c r="F110" s="183" t="s">
        <v>3269</v>
      </c>
      <c r="G110" s="184" t="s">
        <v>3014</v>
      </c>
      <c r="H110" s="257"/>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4118</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SUM(P112:P134)</f>
        <v>0</v>
      </c>
      <c r="Q111" s="173"/>
      <c r="R111" s="174">
        <f>SUM(R112:R134)</f>
        <v>0.12922650000000002</v>
      </c>
      <c r="S111" s="173"/>
      <c r="T111" s="175">
        <f>SUM(T112:T134)</f>
        <v>0</v>
      </c>
      <c r="AR111" s="176" t="s">
        <v>82</v>
      </c>
      <c r="AT111" s="177" t="s">
        <v>71</v>
      </c>
      <c r="AU111" s="177" t="s">
        <v>79</v>
      </c>
      <c r="AY111" s="176" t="s">
        <v>380</v>
      </c>
      <c r="BK111" s="178">
        <f>SUM(BK112:BK134)</f>
        <v>0</v>
      </c>
    </row>
    <row r="112" spans="1:65" s="2" customFormat="1" ht="16.5" customHeight="1">
      <c r="A112" s="36"/>
      <c r="B112" s="37"/>
      <c r="C112" s="181" t="s">
        <v>430</v>
      </c>
      <c r="D112" s="181" t="s">
        <v>382</v>
      </c>
      <c r="E112" s="182" t="s">
        <v>3881</v>
      </c>
      <c r="F112" s="183" t="s">
        <v>3882</v>
      </c>
      <c r="G112" s="184" t="s">
        <v>641</v>
      </c>
      <c r="H112" s="185">
        <v>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4119</v>
      </c>
    </row>
    <row r="113" spans="1:65" s="2" customFormat="1" ht="16.5" customHeight="1">
      <c r="A113" s="36"/>
      <c r="B113" s="37"/>
      <c r="C113" s="227" t="s">
        <v>122</v>
      </c>
      <c r="D113" s="227" t="s">
        <v>465</v>
      </c>
      <c r="E113" s="228" t="s">
        <v>4120</v>
      </c>
      <c r="F113" s="229" t="s">
        <v>4121</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4122</v>
      </c>
    </row>
    <row r="114" spans="1:65" s="2" customFormat="1" ht="39">
      <c r="A114" s="36"/>
      <c r="B114" s="37"/>
      <c r="C114" s="38"/>
      <c r="D114" s="196" t="s">
        <v>1226</v>
      </c>
      <c r="E114" s="38"/>
      <c r="F114" s="248" t="s">
        <v>4123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125</v>
      </c>
      <c r="D115" s="181" t="s">
        <v>382</v>
      </c>
      <c r="E115" s="182" t="s">
        <v>4028</v>
      </c>
      <c r="F115" s="183" t="s">
        <v>4029</v>
      </c>
      <c r="G115" s="184" t="s">
        <v>641</v>
      </c>
      <c r="H115" s="185">
        <v>1</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4124</v>
      </c>
    </row>
    <row r="116" spans="1:65" s="2" customFormat="1" ht="16.5" customHeight="1">
      <c r="A116" s="36"/>
      <c r="B116" s="37"/>
      <c r="C116" s="227" t="s">
        <v>128</v>
      </c>
      <c r="D116" s="227" t="s">
        <v>465</v>
      </c>
      <c r="E116" s="228" t="s">
        <v>3727</v>
      </c>
      <c r="F116" s="229" t="s">
        <v>4125</v>
      </c>
      <c r="G116" s="230" t="s">
        <v>3278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4126</v>
      </c>
    </row>
    <row r="117" spans="1:65" s="2" customFormat="1" ht="19.5">
      <c r="A117" s="36"/>
      <c r="B117" s="37"/>
      <c r="C117" s="38"/>
      <c r="D117" s="196" t="s">
        <v>1226</v>
      </c>
      <c r="E117" s="38"/>
      <c r="F117" s="248" t="s">
        <v>4127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131</v>
      </c>
      <c r="D118" s="181" t="s">
        <v>382</v>
      </c>
      <c r="E118" s="182" t="s">
        <v>4128</v>
      </c>
      <c r="F118" s="183" t="s">
        <v>4129</v>
      </c>
      <c r="G118" s="184" t="s">
        <v>641</v>
      </c>
      <c r="H118" s="185">
        <v>1</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4130</v>
      </c>
    </row>
    <row r="119" spans="1:65" s="2" customFormat="1" ht="16.5" customHeight="1">
      <c r="A119" s="36"/>
      <c r="B119" s="37"/>
      <c r="C119" s="227" t="s">
        <v>134</v>
      </c>
      <c r="D119" s="227" t="s">
        <v>465</v>
      </c>
      <c r="E119" s="228" t="s">
        <v>4131</v>
      </c>
      <c r="F119" s="229" t="s">
        <v>4132</v>
      </c>
      <c r="G119" s="230" t="s">
        <v>641</v>
      </c>
      <c r="H119" s="231">
        <v>1</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4133</v>
      </c>
    </row>
    <row r="120" spans="1:65" s="2" customFormat="1" ht="29.25">
      <c r="A120" s="36"/>
      <c r="B120" s="37"/>
      <c r="C120" s="38"/>
      <c r="D120" s="196" t="s">
        <v>1226</v>
      </c>
      <c r="E120" s="38"/>
      <c r="F120" s="248" t="s">
        <v>4134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8</v>
      </c>
      <c r="D121" s="181" t="s">
        <v>382</v>
      </c>
      <c r="E121" s="182" t="s">
        <v>3353</v>
      </c>
      <c r="F121" s="183" t="s">
        <v>3354</v>
      </c>
      <c r="G121" s="184" t="s">
        <v>452</v>
      </c>
      <c r="H121" s="185">
        <v>17.55</v>
      </c>
      <c r="I121" s="186"/>
      <c r="J121" s="187">
        <f>ROUND(I121*H121,2)</f>
        <v>0</v>
      </c>
      <c r="K121" s="183" t="s">
        <v>3239</v>
      </c>
      <c r="L121" s="41"/>
      <c r="M121" s="188" t="s">
        <v>19</v>
      </c>
      <c r="N121" s="189" t="s">
        <v>43</v>
      </c>
      <c r="O121" s="66"/>
      <c r="P121" s="190">
        <f>O121*H121</f>
        <v>0</v>
      </c>
      <c r="Q121" s="190">
        <v>6.5300000000000002E-3</v>
      </c>
      <c r="R121" s="190">
        <f>Q121*H121</f>
        <v>0.11460150000000001</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4135</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3496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4136</v>
      </c>
      <c r="G124" s="206"/>
      <c r="H124" s="209">
        <v>17.55</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5" customFormat="1" ht="11.25">
      <c r="B125" s="216"/>
      <c r="C125" s="217"/>
      <c r="D125" s="196" t="s">
        <v>388</v>
      </c>
      <c r="E125" s="218" t="s">
        <v>19</v>
      </c>
      <c r="F125" s="219" t="s">
        <v>419</v>
      </c>
      <c r="G125" s="217"/>
      <c r="H125" s="220">
        <v>17.55</v>
      </c>
      <c r="I125" s="221"/>
      <c r="J125" s="217"/>
      <c r="K125" s="217"/>
      <c r="L125" s="222"/>
      <c r="M125" s="223"/>
      <c r="N125" s="224"/>
      <c r="O125" s="224"/>
      <c r="P125" s="224"/>
      <c r="Q125" s="224"/>
      <c r="R125" s="224"/>
      <c r="S125" s="224"/>
      <c r="T125" s="225"/>
      <c r="AT125" s="226" t="s">
        <v>388</v>
      </c>
      <c r="AU125" s="226" t="s">
        <v>82</v>
      </c>
      <c r="AV125" s="15" t="s">
        <v>386</v>
      </c>
      <c r="AW125" s="15" t="s">
        <v>33</v>
      </c>
      <c r="AX125" s="15" t="s">
        <v>79</v>
      </c>
      <c r="AY125" s="226" t="s">
        <v>380</v>
      </c>
    </row>
    <row r="126" spans="1:65" s="2" customFormat="1" ht="24.2" customHeight="1">
      <c r="A126" s="36"/>
      <c r="B126" s="37"/>
      <c r="C126" s="181" t="s">
        <v>281</v>
      </c>
      <c r="D126" s="181" t="s">
        <v>382</v>
      </c>
      <c r="E126" s="182" t="s">
        <v>3393</v>
      </c>
      <c r="F126" s="183" t="s">
        <v>3394</v>
      </c>
      <c r="G126" s="184" t="s">
        <v>452</v>
      </c>
      <c r="H126" s="185">
        <v>17.55</v>
      </c>
      <c r="I126" s="186"/>
      <c r="J126" s="187">
        <f>ROUND(I126*H126,2)</f>
        <v>0</v>
      </c>
      <c r="K126" s="183" t="s">
        <v>3239</v>
      </c>
      <c r="L126" s="41"/>
      <c r="M126" s="188" t="s">
        <v>19</v>
      </c>
      <c r="N126" s="189" t="s">
        <v>43</v>
      </c>
      <c r="O126" s="66"/>
      <c r="P126" s="190">
        <f>O126*H126</f>
        <v>0</v>
      </c>
      <c r="Q126" s="190">
        <v>6.9999999999999999E-4</v>
      </c>
      <c r="R126" s="190">
        <f>Q126*H126</f>
        <v>1.2285000000000001E-2</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4137</v>
      </c>
    </row>
    <row r="127" spans="1:65" s="2" customFormat="1" ht="24.2" customHeight="1">
      <c r="A127" s="36"/>
      <c r="B127" s="37"/>
      <c r="C127" s="181" t="s">
        <v>471</v>
      </c>
      <c r="D127" s="181" t="s">
        <v>382</v>
      </c>
      <c r="E127" s="182" t="s">
        <v>3689</v>
      </c>
      <c r="F127" s="183" t="s">
        <v>3690</v>
      </c>
      <c r="G127" s="184" t="s">
        <v>641</v>
      </c>
      <c r="H127" s="185">
        <v>2</v>
      </c>
      <c r="I127" s="186"/>
      <c r="J127" s="187">
        <f>ROUND(I127*H127,2)</f>
        <v>0</v>
      </c>
      <c r="K127" s="183" t="s">
        <v>3239</v>
      </c>
      <c r="L127" s="41"/>
      <c r="M127" s="188" t="s">
        <v>19</v>
      </c>
      <c r="N127" s="189" t="s">
        <v>43</v>
      </c>
      <c r="O127" s="66"/>
      <c r="P127" s="190">
        <f>O127*H127</f>
        <v>0</v>
      </c>
      <c r="Q127" s="190">
        <v>1.17E-3</v>
      </c>
      <c r="R127" s="190">
        <f>Q127*H127</f>
        <v>2.3400000000000001E-3</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4138</v>
      </c>
    </row>
    <row r="128" spans="1:65" s="13" customFormat="1" ht="11.25">
      <c r="B128" s="194"/>
      <c r="C128" s="195"/>
      <c r="D128" s="196" t="s">
        <v>388</v>
      </c>
      <c r="E128" s="197" t="s">
        <v>19</v>
      </c>
      <c r="F128" s="198" t="s">
        <v>4139</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79</v>
      </c>
      <c r="G129" s="206"/>
      <c r="H129" s="209">
        <v>1</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3999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79</v>
      </c>
      <c r="G131" s="206"/>
      <c r="H131" s="209">
        <v>1</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2</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477</v>
      </c>
      <c r="D133" s="181" t="s">
        <v>382</v>
      </c>
      <c r="E133" s="182" t="s">
        <v>3432</v>
      </c>
      <c r="F133" s="183" t="s">
        <v>3433</v>
      </c>
      <c r="G133" s="184" t="s">
        <v>3014</v>
      </c>
      <c r="H133" s="257"/>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4140</v>
      </c>
    </row>
    <row r="134" spans="1:65" s="2" customFormat="1" ht="24.2" customHeight="1">
      <c r="A134" s="36"/>
      <c r="B134" s="37"/>
      <c r="C134" s="181" t="s">
        <v>284</v>
      </c>
      <c r="D134" s="181" t="s">
        <v>382</v>
      </c>
      <c r="E134" s="182" t="s">
        <v>3435</v>
      </c>
      <c r="F134" s="183" t="s">
        <v>3436</v>
      </c>
      <c r="G134" s="184" t="s">
        <v>3014</v>
      </c>
      <c r="H134" s="257"/>
      <c r="I134" s="186"/>
      <c r="J134" s="187">
        <f>ROUND(I134*H134,2)</f>
        <v>0</v>
      </c>
      <c r="K134" s="183" t="s">
        <v>3239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4141</v>
      </c>
    </row>
    <row r="135" spans="1:65" s="12" customFormat="1" ht="22.9" customHeight="1">
      <c r="B135" s="165"/>
      <c r="C135" s="166"/>
      <c r="D135" s="167" t="s">
        <v>71</v>
      </c>
      <c r="E135" s="179" t="s">
        <v>3450</v>
      </c>
      <c r="F135" s="179" t="s">
        <v>3451</v>
      </c>
      <c r="G135" s="166"/>
      <c r="H135" s="166"/>
      <c r="I135" s="169"/>
      <c r="J135" s="180">
        <f>BK135</f>
        <v>0</v>
      </c>
      <c r="K135" s="166"/>
      <c r="L135" s="171"/>
      <c r="M135" s="172"/>
      <c r="N135" s="173"/>
      <c r="O135" s="173"/>
      <c r="P135" s="174">
        <f>SUM(P136:P140)</f>
        <v>0</v>
      </c>
      <c r="Q135" s="173"/>
      <c r="R135" s="174">
        <f>SUM(R136:R140)</f>
        <v>0</v>
      </c>
      <c r="S135" s="173"/>
      <c r="T135" s="175">
        <f>SUM(T136:T140)</f>
        <v>0</v>
      </c>
      <c r="AR135" s="176" t="s">
        <v>82</v>
      </c>
      <c r="AT135" s="177" t="s">
        <v>71</v>
      </c>
      <c r="AU135" s="177" t="s">
        <v>79</v>
      </c>
      <c r="AY135" s="176" t="s">
        <v>380</v>
      </c>
      <c r="BK135" s="178">
        <f>SUM(BK136:BK140)</f>
        <v>0</v>
      </c>
    </row>
    <row r="136" spans="1:65" s="2" customFormat="1" ht="16.5" customHeight="1">
      <c r="A136" s="36"/>
      <c r="B136" s="37"/>
      <c r="C136" s="227" t="s">
        <v>486</v>
      </c>
      <c r="D136" s="227" t="s">
        <v>465</v>
      </c>
      <c r="E136" s="228" t="s">
        <v>3452</v>
      </c>
      <c r="F136" s="229" t="s">
        <v>3453</v>
      </c>
      <c r="G136" s="230" t="s">
        <v>2389</v>
      </c>
      <c r="H136" s="231">
        <v>16</v>
      </c>
      <c r="I136" s="232"/>
      <c r="J136" s="233">
        <f>ROUND(I136*H136,2)</f>
        <v>0</v>
      </c>
      <c r="K136" s="229" t="s">
        <v>19</v>
      </c>
      <c r="L136" s="234"/>
      <c r="M136" s="235" t="s">
        <v>19</v>
      </c>
      <c r="N136" s="236"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546</v>
      </c>
      <c r="AT136" s="192" t="s">
        <v>465</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4142</v>
      </c>
    </row>
    <row r="137" spans="1:65" s="14" customFormat="1" ht="11.25">
      <c r="B137" s="205"/>
      <c r="C137" s="206"/>
      <c r="D137" s="196" t="s">
        <v>388</v>
      </c>
      <c r="E137" s="207" t="s">
        <v>19</v>
      </c>
      <c r="F137" s="208" t="s">
        <v>1028</v>
      </c>
      <c r="G137" s="206"/>
      <c r="H137" s="209">
        <v>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7</v>
      </c>
      <c r="D138" s="181" t="s">
        <v>382</v>
      </c>
      <c r="E138" s="182" t="s">
        <v>3456</v>
      </c>
      <c r="F138" s="183" t="s">
        <v>2819</v>
      </c>
      <c r="G138" s="184" t="s">
        <v>2389</v>
      </c>
      <c r="H138" s="185">
        <v>16</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4143</v>
      </c>
    </row>
    <row r="139" spans="1:65" s="2" customFormat="1" ht="16.5" customHeight="1">
      <c r="A139" s="36"/>
      <c r="B139" s="37"/>
      <c r="C139" s="181" t="s">
        <v>495</v>
      </c>
      <c r="D139" s="181" t="s">
        <v>382</v>
      </c>
      <c r="E139" s="182" t="s">
        <v>3458</v>
      </c>
      <c r="F139" s="183" t="s">
        <v>3459</v>
      </c>
      <c r="G139" s="184" t="s">
        <v>2389</v>
      </c>
      <c r="H139" s="185">
        <v>16</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281</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281</v>
      </c>
      <c r="BM139" s="192" t="s">
        <v>4144</v>
      </c>
    </row>
    <row r="140" spans="1:65" s="2" customFormat="1" ht="16.5" customHeight="1">
      <c r="A140" s="36"/>
      <c r="B140" s="37"/>
      <c r="C140" s="181" t="s">
        <v>500</v>
      </c>
      <c r="D140" s="181" t="s">
        <v>382</v>
      </c>
      <c r="E140" s="182" t="s">
        <v>3461</v>
      </c>
      <c r="F140" s="183" t="s">
        <v>3462</v>
      </c>
      <c r="G140" s="184" t="s">
        <v>2389</v>
      </c>
      <c r="H140" s="185">
        <v>8</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4145</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cx4rEWgxRBqG+smzlHDhgQ5owfZslE//8wxJIfBkJTyIFjxcWBEnQUFTBSTw+11evhVrRtOeDDU9lJeQur9Klw==" saltValue="UfP391DmFNeahlH4fKWiKwZLNpNxHK97WQPgXY3fo1x4BBeYElt5vbE/K8DTM+FtxmiNKR4NIcF9v8VW+jjPfA==" spinCount="100000" sheet="1" objects="1" scenarios="1" formatColumns="0" formatRows="0" autoFilter="0"/>
  <autoFilter ref="C94:K140" xr:uid="{00000000-0009-0000-0000-00000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4146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ROUND((SUM(BE95:BE150)),  2)</f>
        <v>0</v>
      </c>
      <c r="G37" s="36"/>
      <c r="H37" s="36"/>
      <c r="I37" s="127">
        <v>0.21</v>
      </c>
      <c r="J37" s="126">
        <f>ROUND(((SUM(BE95:BE150))*I37),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ROUND((SUM(BF95:BF150)),  2)</f>
        <v>0</v>
      </c>
      <c r="G38" s="36"/>
      <c r="H38" s="36"/>
      <c r="I38" s="127">
        <v>0.15</v>
      </c>
      <c r="J38" s="126">
        <f>ROUND(((SUM(BF95:BF150))*I38),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13 - Odvětrání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J108</f>
        <v>0</v>
      </c>
      <c r="K70" s="99"/>
      <c r="L70" s="153"/>
    </row>
    <row r="71" spans="1:47" s="10" customFormat="1" ht="19.899999999999999" customHeight="1">
      <c r="B71" s="149"/>
      <c r="C71" s="99"/>
      <c r="D71" s="150" t="s">
        <v>3236</v>
      </c>
      <c r="E71" s="151"/>
      <c r="F71" s="151"/>
      <c r="G71" s="151"/>
      <c r="H71" s="151"/>
      <c r="I71" s="151"/>
      <c r="J71" s="152">
        <f>J145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13 - Odvětrání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0.14110700000000001</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P97+P108+P145</f>
        <v>0</v>
      </c>
      <c r="Q96" s="173"/>
      <c r="R96" s="174">
        <f>R97+R108+R145</f>
        <v>0.14110700000000001</v>
      </c>
      <c r="S96" s="173"/>
      <c r="T96" s="175">
        <f>T97+T108+T145</f>
        <v>0</v>
      </c>
      <c r="AR96" s="176" t="s">
        <v>82</v>
      </c>
      <c r="AT96" s="177" t="s">
        <v>71</v>
      </c>
      <c r="AU96" s="177" t="s">
        <v>72</v>
      </c>
      <c r="AY96" s="176" t="s">
        <v>380</v>
      </c>
      <c r="BK96" s="178">
        <f>BK97+BK108+BK145</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SUM(P98:P107)</f>
        <v>0</v>
      </c>
      <c r="Q97" s="173"/>
      <c r="R97" s="174">
        <f>SUM(R98:R107)</f>
        <v>5.8221000000000002E-2</v>
      </c>
      <c r="S97" s="173"/>
      <c r="T97" s="175">
        <f>SUM(T98:T107)</f>
        <v>0</v>
      </c>
      <c r="AR97" s="176" t="s">
        <v>82</v>
      </c>
      <c r="AT97" s="177" t="s">
        <v>71</v>
      </c>
      <c r="AU97" s="177" t="s">
        <v>79</v>
      </c>
      <c r="AY97" s="176" t="s">
        <v>380</v>
      </c>
      <c r="BK97" s="178">
        <f>SUM(BK98:BK107)</f>
        <v>0</v>
      </c>
    </row>
    <row r="98" spans="1:65" s="2" customFormat="1" ht="24.2" customHeight="1">
      <c r="A98" s="36"/>
      <c r="B98" s="37"/>
      <c r="C98" s="181" t="s">
        <v>79</v>
      </c>
      <c r="D98" s="181" t="s">
        <v>382</v>
      </c>
      <c r="E98" s="182" t="s">
        <v>3237</v>
      </c>
      <c r="F98" s="183" t="s">
        <v>3238</v>
      </c>
      <c r="G98" s="184" t="s">
        <v>398</v>
      </c>
      <c r="H98" s="185">
        <v>13</v>
      </c>
      <c r="I98" s="186"/>
      <c r="J98" s="187">
        <f>ROUND(I98*H98,2)</f>
        <v>0</v>
      </c>
      <c r="K98" s="183" t="s">
        <v>3239</v>
      </c>
      <c r="L98" s="41"/>
      <c r="M98" s="188" t="s">
        <v>19</v>
      </c>
      <c r="N98" s="189" t="s">
        <v>43</v>
      </c>
      <c r="O98" s="66"/>
      <c r="P98" s="190">
        <f>O98*H98</f>
        <v>0</v>
      </c>
      <c r="Q98" s="190">
        <v>1.5100000000000001E-3</v>
      </c>
      <c r="R98" s="190">
        <f>Q98*H98</f>
        <v>1.9630000000000002E-2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4147</v>
      </c>
    </row>
    <row r="99" spans="1:65" s="2" customFormat="1" ht="16.5" customHeight="1">
      <c r="A99" s="36"/>
      <c r="B99" s="37"/>
      <c r="C99" s="227" t="s">
        <v>82</v>
      </c>
      <c r="D99" s="227" t="s">
        <v>465</v>
      </c>
      <c r="E99" s="228" t="s">
        <v>3241</v>
      </c>
      <c r="F99" s="229" t="s">
        <v>3242</v>
      </c>
      <c r="G99" s="230" t="s">
        <v>398</v>
      </c>
      <c r="H99" s="231">
        <v>0.5</v>
      </c>
      <c r="I99" s="232"/>
      <c r="J99" s="233">
        <f>ROUND(I99*H99,2)</f>
        <v>0</v>
      </c>
      <c r="K99" s="229" t="s">
        <v>3239</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4148</v>
      </c>
    </row>
    <row r="100" spans="1:65" s="14" customFormat="1" ht="11.25">
      <c r="B100" s="205"/>
      <c r="C100" s="206"/>
      <c r="D100" s="196" t="s">
        <v>388</v>
      </c>
      <c r="E100" s="207" t="s">
        <v>19</v>
      </c>
      <c r="F100" s="208" t="s">
        <v>4111</v>
      </c>
      <c r="G100" s="206"/>
      <c r="H100" s="209">
        <v>0.5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12.5</v>
      </c>
      <c r="I101" s="232"/>
      <c r="J101" s="233">
        <f>ROUND(I101*H101,2)</f>
        <v>0</v>
      </c>
      <c r="K101" s="229" t="s">
        <v>3239</v>
      </c>
      <c r="L101" s="234"/>
      <c r="M101" s="235" t="s">
        <v>19</v>
      </c>
      <c r="N101" s="236" t="s">
        <v>43</v>
      </c>
      <c r="O101" s="66"/>
      <c r="P101" s="190">
        <f>O101*H101</f>
        <v>0</v>
      </c>
      <c r="Q101" s="190">
        <v>3.0000000000000001E-3</v>
      </c>
      <c r="R101" s="190">
        <f>Q101*H101</f>
        <v>3.7499999999999999E-2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4149</v>
      </c>
    </row>
    <row r="102" spans="1:65" s="14" customFormat="1" ht="11.25">
      <c r="B102" s="205"/>
      <c r="C102" s="206"/>
      <c r="D102" s="196" t="s">
        <v>388</v>
      </c>
      <c r="E102" s="207" t="s">
        <v>19</v>
      </c>
      <c r="F102" s="208" t="s">
        <v>4150</v>
      </c>
      <c r="G102" s="206"/>
      <c r="H102" s="209">
        <v>12.5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24.2" customHeight="1">
      <c r="A103" s="36"/>
      <c r="B103" s="37"/>
      <c r="C103" s="181" t="s">
        <v>386</v>
      </c>
      <c r="D103" s="181" t="s">
        <v>382</v>
      </c>
      <c r="E103" s="182" t="s">
        <v>3258</v>
      </c>
      <c r="F103" s="183" t="s">
        <v>3259</v>
      </c>
      <c r="G103" s="184" t="s">
        <v>398</v>
      </c>
      <c r="H103" s="185">
        <v>1.3</v>
      </c>
      <c r="I103" s="186"/>
      <c r="J103" s="187">
        <f>ROUND(I103*H103,2)</f>
        <v>0</v>
      </c>
      <c r="K103" s="183" t="s">
        <v>3239</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4151</v>
      </c>
    </row>
    <row r="104" spans="1:65" s="2" customFormat="1" ht="16.5" customHeight="1">
      <c r="A104" s="36"/>
      <c r="B104" s="37"/>
      <c r="C104" s="227" t="s">
        <v>405</v>
      </c>
      <c r="D104" s="227" t="s">
        <v>465</v>
      </c>
      <c r="E104" s="228" t="s">
        <v>3261</v>
      </c>
      <c r="F104" s="229" t="s">
        <v>3262</v>
      </c>
      <c r="G104" s="230" t="s">
        <v>398</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4152</v>
      </c>
    </row>
    <row r="105" spans="1:65" s="14" customFormat="1" ht="11.25">
      <c r="B105" s="205"/>
      <c r="C105" s="206"/>
      <c r="D105" s="196" t="s">
        <v>388</v>
      </c>
      <c r="E105" s="207" t="s">
        <v>19</v>
      </c>
      <c r="F105" s="208" t="s">
        <v>4066</v>
      </c>
      <c r="G105" s="206"/>
      <c r="H105" s="209">
        <v>1.3</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411</v>
      </c>
      <c r="D106" s="181" t="s">
        <v>382</v>
      </c>
      <c r="E106" s="182" t="s">
        <v>3265</v>
      </c>
      <c r="F106" s="183" t="s">
        <v>3266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4153</v>
      </c>
    </row>
    <row r="107" spans="1:65" s="2" customFormat="1" ht="24.2" customHeight="1">
      <c r="A107" s="36"/>
      <c r="B107" s="37"/>
      <c r="C107" s="181" t="s">
        <v>420</v>
      </c>
      <c r="D107" s="181" t="s">
        <v>382</v>
      </c>
      <c r="E107" s="182" t="s">
        <v>3268</v>
      </c>
      <c r="F107" s="183" t="s">
        <v>3269</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4154</v>
      </c>
    </row>
    <row r="108" spans="1:65" s="12" customFormat="1" ht="22.9" customHeight="1">
      <c r="B108" s="165"/>
      <c r="C108" s="166"/>
      <c r="D108" s="167" t="s">
        <v>71</v>
      </c>
      <c r="E108" s="179" t="s">
        <v>3271</v>
      </c>
      <c r="F108" s="179" t="s">
        <v>3272</v>
      </c>
      <c r="G108" s="166"/>
      <c r="H108" s="166"/>
      <c r="I108" s="169"/>
      <c r="J108" s="180">
        <f>BK108</f>
        <v>0</v>
      </c>
      <c r="K108" s="166"/>
      <c r="L108" s="171"/>
      <c r="M108" s="172"/>
      <c r="N108" s="173"/>
      <c r="O108" s="173"/>
      <c r="P108" s="174">
        <f>SUM(P109:P144)</f>
        <v>0</v>
      </c>
      <c r="Q108" s="173"/>
      <c r="R108" s="174">
        <f>SUM(R109:R144)</f>
        <v>8.2886000000000001E-2</v>
      </c>
      <c r="S108" s="173"/>
      <c r="T108" s="175">
        <f>SUM(T109:T144)</f>
        <v>0</v>
      </c>
      <c r="AR108" s="176" t="s">
        <v>82</v>
      </c>
      <c r="AT108" s="177" t="s">
        <v>71</v>
      </c>
      <c r="AU108" s="177" t="s">
        <v>79</v>
      </c>
      <c r="AY108" s="176" t="s">
        <v>380</v>
      </c>
      <c r="BK108" s="178">
        <f>SUM(BK109:BK144)</f>
        <v>0</v>
      </c>
    </row>
    <row r="109" spans="1:65" s="2" customFormat="1" ht="16.5" customHeight="1">
      <c r="A109" s="36"/>
      <c r="B109" s="37"/>
      <c r="C109" s="181" t="s">
        <v>424</v>
      </c>
      <c r="D109" s="181" t="s">
        <v>382</v>
      </c>
      <c r="E109" s="182" t="s">
        <v>3881</v>
      </c>
      <c r="F109" s="183" t="s">
        <v>3882</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4155</v>
      </c>
    </row>
    <row r="110" spans="1:65" s="2" customFormat="1" ht="16.5" customHeight="1">
      <c r="A110" s="36"/>
      <c r="B110" s="37"/>
      <c r="C110" s="227" t="s">
        <v>430</v>
      </c>
      <c r="D110" s="227" t="s">
        <v>465</v>
      </c>
      <c r="E110" s="228" t="s">
        <v>4156</v>
      </c>
      <c r="F110" s="229" t="s">
        <v>4157</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4158</v>
      </c>
    </row>
    <row r="111" spans="1:65" s="2" customFormat="1" ht="39">
      <c r="A111" s="36"/>
      <c r="B111" s="37"/>
      <c r="C111" s="38"/>
      <c r="D111" s="196" t="s">
        <v>1226</v>
      </c>
      <c r="E111" s="38"/>
      <c r="F111" s="248" t="s">
        <v>4159</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122</v>
      </c>
      <c r="D112" s="181" t="s">
        <v>382</v>
      </c>
      <c r="E112" s="182" t="s">
        <v>4028</v>
      </c>
      <c r="F112" s="183" t="s">
        <v>4029</v>
      </c>
      <c r="G112" s="184" t="s">
        <v>641</v>
      </c>
      <c r="H112" s="185">
        <v>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4160</v>
      </c>
    </row>
    <row r="113" spans="1:65" s="2" customFormat="1" ht="16.5" customHeight="1">
      <c r="A113" s="36"/>
      <c r="B113" s="37"/>
      <c r="C113" s="227" t="s">
        <v>125</v>
      </c>
      <c r="D113" s="227" t="s">
        <v>465</v>
      </c>
      <c r="E113" s="228" t="s">
        <v>3727</v>
      </c>
      <c r="F113" s="229" t="s">
        <v>4125</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4161</v>
      </c>
    </row>
    <row r="114" spans="1:65" s="2" customFormat="1" ht="19.5">
      <c r="A114" s="36"/>
      <c r="B114" s="37"/>
      <c r="C114" s="38"/>
      <c r="D114" s="196" t="s">
        <v>1226</v>
      </c>
      <c r="E114" s="38"/>
      <c r="F114" s="248" t="s">
        <v>4162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128</v>
      </c>
      <c r="D115" s="181" t="s">
        <v>382</v>
      </c>
      <c r="E115" s="182" t="s">
        <v>3273</v>
      </c>
      <c r="F115" s="183" t="s">
        <v>3274</v>
      </c>
      <c r="G115" s="184" t="s">
        <v>641</v>
      </c>
      <c r="H115" s="185">
        <v>1</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4163</v>
      </c>
    </row>
    <row r="116" spans="1:65" s="2" customFormat="1" ht="16.5" customHeight="1">
      <c r="A116" s="36"/>
      <c r="B116" s="37"/>
      <c r="C116" s="227" t="s">
        <v>131</v>
      </c>
      <c r="D116" s="227" t="s">
        <v>465</v>
      </c>
      <c r="E116" s="228" t="s">
        <v>3888</v>
      </c>
      <c r="F116" s="229" t="s">
        <v>3889</v>
      </c>
      <c r="G116" s="230" t="s">
        <v>641</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4164</v>
      </c>
    </row>
    <row r="117" spans="1:65" s="2" customFormat="1" ht="29.25">
      <c r="A117" s="36"/>
      <c r="B117" s="37"/>
      <c r="C117" s="38"/>
      <c r="D117" s="196" t="s">
        <v>1226</v>
      </c>
      <c r="E117" s="38"/>
      <c r="F117" s="248" t="s">
        <v>3891</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134</v>
      </c>
      <c r="D118" s="181" t="s">
        <v>382</v>
      </c>
      <c r="E118" s="182" t="s">
        <v>3892</v>
      </c>
      <c r="F118" s="183" t="s">
        <v>3893</v>
      </c>
      <c r="G118" s="184" t="s">
        <v>641</v>
      </c>
      <c r="H118" s="185">
        <v>4</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4165</v>
      </c>
    </row>
    <row r="119" spans="1:65" s="2" customFormat="1" ht="16.5" customHeight="1">
      <c r="A119" s="36"/>
      <c r="B119" s="37"/>
      <c r="C119" s="227" t="s">
        <v>8</v>
      </c>
      <c r="D119" s="227" t="s">
        <v>465</v>
      </c>
      <c r="E119" s="228" t="s">
        <v>3895</v>
      </c>
      <c r="F119" s="229" t="s">
        <v>3896</v>
      </c>
      <c r="G119" s="230" t="s">
        <v>641</v>
      </c>
      <c r="H119" s="231">
        <v>4</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4166</v>
      </c>
    </row>
    <row r="120" spans="1:65" s="2" customFormat="1" ht="29.25">
      <c r="A120" s="36"/>
      <c r="B120" s="37"/>
      <c r="C120" s="38"/>
      <c r="D120" s="196" t="s">
        <v>1226</v>
      </c>
      <c r="E120" s="38"/>
      <c r="F120" s="248" t="s">
        <v>3898</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281</v>
      </c>
      <c r="D121" s="181" t="s">
        <v>382</v>
      </c>
      <c r="E121" s="182" t="s">
        <v>3344</v>
      </c>
      <c r="F121" s="183" t="s">
        <v>3345</v>
      </c>
      <c r="G121" s="184" t="s">
        <v>452</v>
      </c>
      <c r="H121" s="185">
        <v>20.8</v>
      </c>
      <c r="I121" s="186"/>
      <c r="J121" s="187">
        <f>ROUND(I121*H121,2)</f>
        <v>0</v>
      </c>
      <c r="K121" s="183" t="s">
        <v>3239</v>
      </c>
      <c r="L121" s="41"/>
      <c r="M121" s="188" t="s">
        <v>19</v>
      </c>
      <c r="N121" s="189" t="s">
        <v>43</v>
      </c>
      <c r="O121" s="66"/>
      <c r="P121" s="190">
        <f>O121*H121</f>
        <v>0</v>
      </c>
      <c r="Q121" s="190">
        <v>3.1199999999999999E-3</v>
      </c>
      <c r="R121" s="190">
        <f>Q121*H121</f>
        <v>6.4895999999999995E-2</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4167</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3347</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3908</v>
      </c>
      <c r="G124" s="206"/>
      <c r="H124" s="209">
        <v>0.65</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3349</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3993</v>
      </c>
      <c r="G126" s="206"/>
      <c r="H126" s="209">
        <v>4.55</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3" customFormat="1" ht="11.25">
      <c r="B127" s="194"/>
      <c r="C127" s="195"/>
      <c r="D127" s="196" t="s">
        <v>388</v>
      </c>
      <c r="E127" s="197" t="s">
        <v>19</v>
      </c>
      <c r="F127" s="198" t="s">
        <v>3351</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4168</v>
      </c>
      <c r="G128" s="206"/>
      <c r="H128" s="209">
        <v>15.6</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20.8</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471</v>
      </c>
      <c r="D130" s="181" t="s">
        <v>382</v>
      </c>
      <c r="E130" s="182" t="s">
        <v>3393</v>
      </c>
      <c r="F130" s="183" t="s">
        <v>3394</v>
      </c>
      <c r="G130" s="184" t="s">
        <v>452</v>
      </c>
      <c r="H130" s="185">
        <v>20.8</v>
      </c>
      <c r="I130" s="186"/>
      <c r="J130" s="187">
        <f>ROUND(I130*H130,2)</f>
        <v>0</v>
      </c>
      <c r="K130" s="183" t="s">
        <v>3239</v>
      </c>
      <c r="L130" s="41"/>
      <c r="M130" s="188" t="s">
        <v>19</v>
      </c>
      <c r="N130" s="189" t="s">
        <v>43</v>
      </c>
      <c r="O130" s="66"/>
      <c r="P130" s="190">
        <f>O130*H130</f>
        <v>0</v>
      </c>
      <c r="Q130" s="190">
        <v>6.9999999999999999E-4</v>
      </c>
      <c r="R130" s="190">
        <f>Q130*H130</f>
        <v>1.456E-2</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4169</v>
      </c>
    </row>
    <row r="131" spans="1:65" s="2" customFormat="1" ht="24.2" customHeight="1">
      <c r="A131" s="36"/>
      <c r="B131" s="37"/>
      <c r="C131" s="181" t="s">
        <v>477</v>
      </c>
      <c r="D131" s="181" t="s">
        <v>382</v>
      </c>
      <c r="E131" s="182" t="s">
        <v>3417</v>
      </c>
      <c r="F131" s="183" t="s">
        <v>3418</v>
      </c>
      <c r="G131" s="184" t="s">
        <v>641</v>
      </c>
      <c r="H131" s="185">
        <v>3</v>
      </c>
      <c r="I131" s="186"/>
      <c r="J131" s="187">
        <f>ROUND(I131*H131,2)</f>
        <v>0</v>
      </c>
      <c r="K131" s="183" t="s">
        <v>3239</v>
      </c>
      <c r="L131" s="41"/>
      <c r="M131" s="188" t="s">
        <v>19</v>
      </c>
      <c r="N131" s="189" t="s">
        <v>43</v>
      </c>
      <c r="O131" s="66"/>
      <c r="P131" s="190">
        <f>O131*H131</f>
        <v>0</v>
      </c>
      <c r="Q131" s="190">
        <v>8.1999999999999998E-4</v>
      </c>
      <c r="R131" s="190">
        <f>Q131*H131</f>
        <v>2.4599999999999999E-3</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4170</v>
      </c>
    </row>
    <row r="132" spans="1:65" s="13" customFormat="1" ht="11.25">
      <c r="B132" s="194"/>
      <c r="C132" s="195"/>
      <c r="D132" s="196" t="s">
        <v>388</v>
      </c>
      <c r="E132" s="197" t="s">
        <v>19</v>
      </c>
      <c r="F132" s="198" t="s">
        <v>3929</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79</v>
      </c>
      <c r="G133" s="206"/>
      <c r="H133" s="209">
        <v>1</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3" customFormat="1" ht="11.25">
      <c r="B134" s="194"/>
      <c r="C134" s="195"/>
      <c r="D134" s="196" t="s">
        <v>388</v>
      </c>
      <c r="E134" s="197" t="s">
        <v>19</v>
      </c>
      <c r="F134" s="198" t="s">
        <v>4171</v>
      </c>
      <c r="G134" s="195"/>
      <c r="H134" s="197" t="s">
        <v>19</v>
      </c>
      <c r="I134" s="199"/>
      <c r="J134" s="195"/>
      <c r="K134" s="195"/>
      <c r="L134" s="200"/>
      <c r="M134" s="201"/>
      <c r="N134" s="202"/>
      <c r="O134" s="202"/>
      <c r="P134" s="202"/>
      <c r="Q134" s="202"/>
      <c r="R134" s="202"/>
      <c r="S134" s="202"/>
      <c r="T134" s="203"/>
      <c r="AT134" s="204" t="s">
        <v>388</v>
      </c>
      <c r="AU134" s="204" t="s">
        <v>82</v>
      </c>
      <c r="AV134" s="13" t="s">
        <v>79</v>
      </c>
      <c r="AW134" s="13" t="s">
        <v>33</v>
      </c>
      <c r="AX134" s="13" t="s">
        <v>72</v>
      </c>
      <c r="AY134" s="204" t="s">
        <v>380</v>
      </c>
    </row>
    <row r="135" spans="1:65" s="14" customFormat="1" ht="11.25">
      <c r="B135" s="205"/>
      <c r="C135" s="206"/>
      <c r="D135" s="196" t="s">
        <v>388</v>
      </c>
      <c r="E135" s="207" t="s">
        <v>19</v>
      </c>
      <c r="F135" s="208" t="s">
        <v>79</v>
      </c>
      <c r="G135" s="206"/>
      <c r="H135" s="209">
        <v>1</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3" customFormat="1" ht="11.25">
      <c r="B136" s="194"/>
      <c r="C136" s="195"/>
      <c r="D136" s="196" t="s">
        <v>388</v>
      </c>
      <c r="E136" s="197" t="s">
        <v>19</v>
      </c>
      <c r="F136" s="198" t="s">
        <v>4172</v>
      </c>
      <c r="G136" s="195"/>
      <c r="H136" s="197" t="s">
        <v>19</v>
      </c>
      <c r="I136" s="199"/>
      <c r="J136" s="195"/>
      <c r="K136" s="195"/>
      <c r="L136" s="200"/>
      <c r="M136" s="201"/>
      <c r="N136" s="202"/>
      <c r="O136" s="202"/>
      <c r="P136" s="202"/>
      <c r="Q136" s="202"/>
      <c r="R136" s="202"/>
      <c r="S136" s="202"/>
      <c r="T136" s="203"/>
      <c r="AT136" s="204" t="s">
        <v>388</v>
      </c>
      <c r="AU136" s="204" t="s">
        <v>82</v>
      </c>
      <c r="AV136" s="13" t="s">
        <v>79</v>
      </c>
      <c r="AW136" s="13" t="s">
        <v>33</v>
      </c>
      <c r="AX136" s="13" t="s">
        <v>72</v>
      </c>
      <c r="AY136" s="204" t="s">
        <v>380</v>
      </c>
    </row>
    <row r="137" spans="1:65" s="14" customFormat="1" ht="11.25">
      <c r="B137" s="205"/>
      <c r="C137" s="206"/>
      <c r="D137" s="196" t="s">
        <v>388</v>
      </c>
      <c r="E137" s="207" t="s">
        <v>19</v>
      </c>
      <c r="F137" s="208" t="s">
        <v>79</v>
      </c>
      <c r="G137" s="206"/>
      <c r="H137" s="209">
        <v>1</v>
      </c>
      <c r="I137" s="210"/>
      <c r="J137" s="206"/>
      <c r="K137" s="206"/>
      <c r="L137" s="211"/>
      <c r="M137" s="212"/>
      <c r="N137" s="213"/>
      <c r="O137" s="213"/>
      <c r="P137" s="213"/>
      <c r="Q137" s="213"/>
      <c r="R137" s="213"/>
      <c r="S137" s="213"/>
      <c r="T137" s="214"/>
      <c r="AT137" s="215" t="s">
        <v>388</v>
      </c>
      <c r="AU137" s="215" t="s">
        <v>82</v>
      </c>
      <c r="AV137" s="14" t="s">
        <v>82</v>
      </c>
      <c r="AW137" s="14" t="s">
        <v>33</v>
      </c>
      <c r="AX137" s="14" t="s">
        <v>72</v>
      </c>
      <c r="AY137" s="215" t="s">
        <v>380</v>
      </c>
    </row>
    <row r="138" spans="1:65" s="15" customFormat="1" ht="11.25">
      <c r="B138" s="216"/>
      <c r="C138" s="217"/>
      <c r="D138" s="196" t="s">
        <v>388</v>
      </c>
      <c r="E138" s="218" t="s">
        <v>19</v>
      </c>
      <c r="F138" s="219" t="s">
        <v>419</v>
      </c>
      <c r="G138" s="217"/>
      <c r="H138" s="220">
        <v>3</v>
      </c>
      <c r="I138" s="221"/>
      <c r="J138" s="217"/>
      <c r="K138" s="217"/>
      <c r="L138" s="222"/>
      <c r="M138" s="223"/>
      <c r="N138" s="224"/>
      <c r="O138" s="224"/>
      <c r="P138" s="224"/>
      <c r="Q138" s="224"/>
      <c r="R138" s="224"/>
      <c r="S138" s="224"/>
      <c r="T138" s="225"/>
      <c r="AT138" s="226" t="s">
        <v>388</v>
      </c>
      <c r="AU138" s="226" t="s">
        <v>82</v>
      </c>
      <c r="AV138" s="15" t="s">
        <v>386</v>
      </c>
      <c r="AW138" s="15" t="s">
        <v>33</v>
      </c>
      <c r="AX138" s="15" t="s">
        <v>79</v>
      </c>
      <c r="AY138" s="226" t="s">
        <v>380</v>
      </c>
    </row>
    <row r="139" spans="1:65" s="2" customFormat="1" ht="24.2" customHeight="1">
      <c r="A139" s="36"/>
      <c r="B139" s="37"/>
      <c r="C139" s="181" t="s">
        <v>284</v>
      </c>
      <c r="D139" s="181" t="s">
        <v>382</v>
      </c>
      <c r="E139" s="182" t="s">
        <v>4000</v>
      </c>
      <c r="F139" s="183" t="s">
        <v>4001</v>
      </c>
      <c r="G139" s="184" t="s">
        <v>641</v>
      </c>
      <c r="H139" s="185">
        <v>1</v>
      </c>
      <c r="I139" s="186"/>
      <c r="J139" s="187">
        <f>ROUND(I139*H139,2)</f>
        <v>0</v>
      </c>
      <c r="K139" s="183" t="s">
        <v>3239</v>
      </c>
      <c r="L139" s="41"/>
      <c r="M139" s="188" t="s">
        <v>19</v>
      </c>
      <c r="N139" s="189" t="s">
        <v>43</v>
      </c>
      <c r="O139" s="66"/>
      <c r="P139" s="190">
        <f>O139*H139</f>
        <v>0</v>
      </c>
      <c r="Q139" s="190">
        <v>9.7000000000000005E-4</v>
      </c>
      <c r="R139" s="190">
        <f>Q139*H139</f>
        <v>9.7000000000000005E-4</v>
      </c>
      <c r="S139" s="190">
        <v>0</v>
      </c>
      <c r="T139" s="191">
        <f>S139*H139</f>
        <v>0</v>
      </c>
      <c r="U139" s="36"/>
      <c r="V139" s="36"/>
      <c r="W139" s="36"/>
      <c r="X139" s="36"/>
      <c r="Y139" s="36"/>
      <c r="Z139" s="36"/>
      <c r="AA139" s="36"/>
      <c r="AB139" s="36"/>
      <c r="AC139" s="36"/>
      <c r="AD139" s="36"/>
      <c r="AE139" s="36"/>
      <c r="AR139" s="192" t="s">
        <v>281</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281</v>
      </c>
      <c r="BM139" s="192" t="s">
        <v>4173</v>
      </c>
    </row>
    <row r="140" spans="1:65" s="13" customFormat="1" ht="11.25">
      <c r="B140" s="194"/>
      <c r="C140" s="195"/>
      <c r="D140" s="196" t="s">
        <v>388</v>
      </c>
      <c r="E140" s="197" t="s">
        <v>19</v>
      </c>
      <c r="F140" s="198" t="s">
        <v>4174</v>
      </c>
      <c r="G140" s="195"/>
      <c r="H140" s="197" t="s">
        <v>19</v>
      </c>
      <c r="I140" s="199"/>
      <c r="J140" s="195"/>
      <c r="K140" s="195"/>
      <c r="L140" s="200"/>
      <c r="M140" s="201"/>
      <c r="N140" s="202"/>
      <c r="O140" s="202"/>
      <c r="P140" s="202"/>
      <c r="Q140" s="202"/>
      <c r="R140" s="202"/>
      <c r="S140" s="202"/>
      <c r="T140" s="203"/>
      <c r="AT140" s="204" t="s">
        <v>388</v>
      </c>
      <c r="AU140" s="204" t="s">
        <v>82</v>
      </c>
      <c r="AV140" s="13" t="s">
        <v>79</v>
      </c>
      <c r="AW140" s="13" t="s">
        <v>33</v>
      </c>
      <c r="AX140" s="13" t="s">
        <v>72</v>
      </c>
      <c r="AY140" s="204" t="s">
        <v>380</v>
      </c>
    </row>
    <row r="141" spans="1:65" s="14" customFormat="1" ht="11.25">
      <c r="B141" s="205"/>
      <c r="C141" s="206"/>
      <c r="D141" s="196" t="s">
        <v>388</v>
      </c>
      <c r="E141" s="207" t="s">
        <v>19</v>
      </c>
      <c r="F141" s="208" t="s">
        <v>79</v>
      </c>
      <c r="G141" s="206"/>
      <c r="H141" s="209">
        <v>1</v>
      </c>
      <c r="I141" s="210"/>
      <c r="J141" s="206"/>
      <c r="K141" s="206"/>
      <c r="L141" s="211"/>
      <c r="M141" s="212"/>
      <c r="N141" s="213"/>
      <c r="O141" s="213"/>
      <c r="P141" s="213"/>
      <c r="Q141" s="213"/>
      <c r="R141" s="213"/>
      <c r="S141" s="213"/>
      <c r="T141" s="214"/>
      <c r="AT141" s="215" t="s">
        <v>388</v>
      </c>
      <c r="AU141" s="215" t="s">
        <v>82</v>
      </c>
      <c r="AV141" s="14" t="s">
        <v>82</v>
      </c>
      <c r="AW141" s="14" t="s">
        <v>33</v>
      </c>
      <c r="AX141" s="14" t="s">
        <v>72</v>
      </c>
      <c r="AY141" s="215" t="s">
        <v>380</v>
      </c>
    </row>
    <row r="142" spans="1:65" s="15" customFormat="1" ht="11.25">
      <c r="B142" s="216"/>
      <c r="C142" s="217"/>
      <c r="D142" s="196" t="s">
        <v>388</v>
      </c>
      <c r="E142" s="218" t="s">
        <v>19</v>
      </c>
      <c r="F142" s="219" t="s">
        <v>419</v>
      </c>
      <c r="G142" s="217"/>
      <c r="H142" s="220">
        <v>1</v>
      </c>
      <c r="I142" s="221"/>
      <c r="J142" s="217"/>
      <c r="K142" s="217"/>
      <c r="L142" s="222"/>
      <c r="M142" s="223"/>
      <c r="N142" s="224"/>
      <c r="O142" s="224"/>
      <c r="P142" s="224"/>
      <c r="Q142" s="224"/>
      <c r="R142" s="224"/>
      <c r="S142" s="224"/>
      <c r="T142" s="225"/>
      <c r="AT142" s="226" t="s">
        <v>388</v>
      </c>
      <c r="AU142" s="226" t="s">
        <v>82</v>
      </c>
      <c r="AV142" s="15" t="s">
        <v>386</v>
      </c>
      <c r="AW142" s="15" t="s">
        <v>33</v>
      </c>
      <c r="AX142" s="15" t="s">
        <v>79</v>
      </c>
      <c r="AY142" s="226" t="s">
        <v>380</v>
      </c>
    </row>
    <row r="143" spans="1:65" s="2" customFormat="1" ht="24.2" customHeight="1">
      <c r="A143" s="36"/>
      <c r="B143" s="37"/>
      <c r="C143" s="181" t="s">
        <v>486</v>
      </c>
      <c r="D143" s="181" t="s">
        <v>382</v>
      </c>
      <c r="E143" s="182" t="s">
        <v>3432</v>
      </c>
      <c r="F143" s="183" t="s">
        <v>3433</v>
      </c>
      <c r="G143" s="184" t="s">
        <v>3014</v>
      </c>
      <c r="H143" s="257"/>
      <c r="I143" s="186"/>
      <c r="J143" s="187">
        <f>ROUND(I143*H143,2)</f>
        <v>0</v>
      </c>
      <c r="K143" s="183" t="s">
        <v>3239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4175</v>
      </c>
    </row>
    <row r="144" spans="1:65" s="2" customFormat="1" ht="24.2" customHeight="1">
      <c r="A144" s="36"/>
      <c r="B144" s="37"/>
      <c r="C144" s="181" t="s">
        <v>7</v>
      </c>
      <c r="D144" s="181" t="s">
        <v>382</v>
      </c>
      <c r="E144" s="182" t="s">
        <v>3435</v>
      </c>
      <c r="F144" s="183" t="s">
        <v>3436</v>
      </c>
      <c r="G144" s="184" t="s">
        <v>3014</v>
      </c>
      <c r="H144" s="257"/>
      <c r="I144" s="186"/>
      <c r="J144" s="187">
        <f>ROUND(I144*H144,2)</f>
        <v>0</v>
      </c>
      <c r="K144" s="183" t="s">
        <v>3239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281</v>
      </c>
      <c r="AT144" s="192" t="s">
        <v>382</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4176</v>
      </c>
    </row>
    <row r="145" spans="1:65" s="12" customFormat="1" ht="22.9" customHeight="1">
      <c r="B145" s="165"/>
      <c r="C145" s="166"/>
      <c r="D145" s="167" t="s">
        <v>71</v>
      </c>
      <c r="E145" s="179" t="s">
        <v>3450</v>
      </c>
      <c r="F145" s="179" t="s">
        <v>3451</v>
      </c>
      <c r="G145" s="166"/>
      <c r="H145" s="166"/>
      <c r="I145" s="169"/>
      <c r="J145" s="180">
        <f>BK145</f>
        <v>0</v>
      </c>
      <c r="K145" s="166"/>
      <c r="L145" s="171"/>
      <c r="M145" s="172"/>
      <c r="N145" s="173"/>
      <c r="O145" s="173"/>
      <c r="P145" s="174">
        <f>SUM(P146:P150)</f>
        <v>0</v>
      </c>
      <c r="Q145" s="173"/>
      <c r="R145" s="174">
        <f>SUM(R146:R150)</f>
        <v>0</v>
      </c>
      <c r="S145" s="173"/>
      <c r="T145" s="175">
        <f>SUM(T146:T150)</f>
        <v>0</v>
      </c>
      <c r="AR145" s="176" t="s">
        <v>82</v>
      </c>
      <c r="AT145" s="177" t="s">
        <v>71</v>
      </c>
      <c r="AU145" s="177" t="s">
        <v>79</v>
      </c>
      <c r="AY145" s="176" t="s">
        <v>380</v>
      </c>
      <c r="BK145" s="178">
        <f>SUM(BK146:BK150)</f>
        <v>0</v>
      </c>
    </row>
    <row r="146" spans="1:65" s="2" customFormat="1" ht="16.5" customHeight="1">
      <c r="A146" s="36"/>
      <c r="B146" s="37"/>
      <c r="C146" s="227" t="s">
        <v>495</v>
      </c>
      <c r="D146" s="227" t="s">
        <v>465</v>
      </c>
      <c r="E146" s="228" t="s">
        <v>3452</v>
      </c>
      <c r="F146" s="229" t="s">
        <v>3453</v>
      </c>
      <c r="G146" s="230" t="s">
        <v>2389</v>
      </c>
      <c r="H146" s="231">
        <v>16</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546</v>
      </c>
      <c r="AT146" s="192" t="s">
        <v>465</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4177</v>
      </c>
    </row>
    <row r="147" spans="1:65" s="14" customFormat="1" ht="11.25">
      <c r="B147" s="205"/>
      <c r="C147" s="206"/>
      <c r="D147" s="196" t="s">
        <v>388</v>
      </c>
      <c r="E147" s="207" t="s">
        <v>19</v>
      </c>
      <c r="F147" s="208" t="s">
        <v>1028</v>
      </c>
      <c r="G147" s="206"/>
      <c r="H147" s="209">
        <v>16</v>
      </c>
      <c r="I147" s="210"/>
      <c r="J147" s="206"/>
      <c r="K147" s="206"/>
      <c r="L147" s="211"/>
      <c r="M147" s="212"/>
      <c r="N147" s="213"/>
      <c r="O147" s="213"/>
      <c r="P147" s="213"/>
      <c r="Q147" s="213"/>
      <c r="R147" s="213"/>
      <c r="S147" s="213"/>
      <c r="T147" s="214"/>
      <c r="AT147" s="215" t="s">
        <v>388</v>
      </c>
      <c r="AU147" s="215" t="s">
        <v>82</v>
      </c>
      <c r="AV147" s="14" t="s">
        <v>82</v>
      </c>
      <c r="AW147" s="14" t="s">
        <v>33</v>
      </c>
      <c r="AX147" s="14" t="s">
        <v>79</v>
      </c>
      <c r="AY147" s="215" t="s">
        <v>380</v>
      </c>
    </row>
    <row r="148" spans="1:65" s="2" customFormat="1" ht="16.5" customHeight="1">
      <c r="A148" s="36"/>
      <c r="B148" s="37"/>
      <c r="C148" s="181" t="s">
        <v>500</v>
      </c>
      <c r="D148" s="181" t="s">
        <v>382</v>
      </c>
      <c r="E148" s="182" t="s">
        <v>3456</v>
      </c>
      <c r="F148" s="183" t="s">
        <v>2819</v>
      </c>
      <c r="G148" s="184" t="s">
        <v>2389</v>
      </c>
      <c r="H148" s="185">
        <v>16</v>
      </c>
      <c r="I148" s="186"/>
      <c r="J148" s="187">
        <f>ROUND(I148*H148,2)</f>
        <v>0</v>
      </c>
      <c r="K148" s="183" t="s">
        <v>19</v>
      </c>
      <c r="L148" s="41"/>
      <c r="M148" s="188" t="s">
        <v>19</v>
      </c>
      <c r="N148" s="189"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281</v>
      </c>
      <c r="AT148" s="192" t="s">
        <v>382</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4178</v>
      </c>
    </row>
    <row r="149" spans="1:65" s="2" customFormat="1" ht="16.5" customHeight="1">
      <c r="A149" s="36"/>
      <c r="B149" s="37"/>
      <c r="C149" s="181" t="s">
        <v>505</v>
      </c>
      <c r="D149" s="181" t="s">
        <v>382</v>
      </c>
      <c r="E149" s="182" t="s">
        <v>3458</v>
      </c>
      <c r="F149" s="183" t="s">
        <v>3459</v>
      </c>
      <c r="G149" s="184" t="s">
        <v>2389</v>
      </c>
      <c r="H149" s="185">
        <v>16</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4179</v>
      </c>
    </row>
    <row r="150" spans="1:65" s="2" customFormat="1" ht="16.5" customHeight="1">
      <c r="A150" s="36"/>
      <c r="B150" s="37"/>
      <c r="C150" s="181" t="s">
        <v>509</v>
      </c>
      <c r="D150" s="181" t="s">
        <v>382</v>
      </c>
      <c r="E150" s="182" t="s">
        <v>3461</v>
      </c>
      <c r="F150" s="183" t="s">
        <v>3462</v>
      </c>
      <c r="G150" s="184" t="s">
        <v>2389</v>
      </c>
      <c r="H150" s="185">
        <v>8</v>
      </c>
      <c r="I150" s="186"/>
      <c r="J150" s="187">
        <f>ROUND(I150*H150,2)</f>
        <v>0</v>
      </c>
      <c r="K150" s="183" t="s">
        <v>19</v>
      </c>
      <c r="L150" s="41"/>
      <c r="M150" s="252" t="s">
        <v>19</v>
      </c>
      <c r="N150" s="253" t="s">
        <v>43</v>
      </c>
      <c r="O150" s="254"/>
      <c r="P150" s="255">
        <f>O150*H150</f>
        <v>0</v>
      </c>
      <c r="Q150" s="255">
        <v>0</v>
      </c>
      <c r="R150" s="255">
        <f>Q150*H150</f>
        <v>0</v>
      </c>
      <c r="S150" s="255">
        <v>0</v>
      </c>
      <c r="T150" s="256">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4180</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0xTNM2i7riTnle6NwHLqS5cXgmBjv0LeyVZW3wQtCGWBV+tgkHXHHeuttbjXEfjcykrt4YDpQjctujv10l5Rqw==" saltValue="CZPJWFowvAR3VbaYRH1NWofyxLeuwkKGV3LORgNfEFmk3bvRDqOkeBB5VKyYf8WXzZRRxdWil1ehGEJz0VGu6Q==" spinCount="100000" sheet="1" objects="1" scenarios="1" formatColumns="0" formatRows="0" autoFilter="0"/>
  <autoFilter ref="C94:K150"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4181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ROUND((SUM(BE95:BE137)),  2)</f>
        <v>0</v>
      </c>
      <c r="G37" s="36"/>
      <c r="H37" s="36"/>
      <c r="I37" s="127">
        <v>0.21</v>
      </c>
      <c r="J37" s="126">
        <f>ROUND(((SUM(BE95:BE137))*I37),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ROUND((SUM(BF95:BF137)),  2)</f>
        <v>0</v>
      </c>
      <c r="G38" s="36"/>
      <c r="H38" s="36"/>
      <c r="I38" s="127">
        <v>0.15</v>
      </c>
      <c r="J38" s="126">
        <f>ROUND(((SUM(BF95:BF137))*I38),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ROUND((SUM(BG95:BG137)),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ROUND((SUM(BH95:BH137)),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ROUND((SUM(BI95:BI137)),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14 -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J132</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14 -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4. 8. 2021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0.12783749999999999</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P97+P111+P132</f>
        <v>0</v>
      </c>
      <c r="Q96" s="173"/>
      <c r="R96" s="174">
        <f>R97+R111+R132</f>
        <v>0.12783749999999999</v>
      </c>
      <c r="S96" s="173"/>
      <c r="T96" s="175">
        <f>T97+T111+T132</f>
        <v>0</v>
      </c>
      <c r="AR96" s="176" t="s">
        <v>82</v>
      </c>
      <c r="AT96" s="177" t="s">
        <v>71</v>
      </c>
      <c r="AU96" s="177" t="s">
        <v>72</v>
      </c>
      <c r="AY96" s="176" t="s">
        <v>380</v>
      </c>
      <c r="BK96" s="178">
        <f>BK97+BK111+BK132</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5.6673500000000002E-2</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10.5</v>
      </c>
      <c r="I98" s="186"/>
      <c r="J98" s="187">
        <f>ROUND(I98*H98,2)</f>
        <v>0</v>
      </c>
      <c r="K98" s="183" t="s">
        <v>3239</v>
      </c>
      <c r="L98" s="41"/>
      <c r="M98" s="188" t="s">
        <v>19</v>
      </c>
      <c r="N98" s="189" t="s">
        <v>43</v>
      </c>
      <c r="O98" s="66"/>
      <c r="P98" s="190">
        <f>O98*H98</f>
        <v>0</v>
      </c>
      <c r="Q98" s="190">
        <v>1.5100000000000001E-3</v>
      </c>
      <c r="R98" s="190">
        <f>Q98*H98</f>
        <v>1.5855000000000001E-2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4182</v>
      </c>
    </row>
    <row r="99" spans="1:65" s="2" customFormat="1" ht="16.5" customHeight="1">
      <c r="A99" s="36"/>
      <c r="B99" s="37"/>
      <c r="C99" s="227" t="s">
        <v>82</v>
      </c>
      <c r="D99" s="227" t="s">
        <v>465</v>
      </c>
      <c r="E99" s="228" t="s">
        <v>3241</v>
      </c>
      <c r="F99" s="229" t="s">
        <v>3242</v>
      </c>
      <c r="G99" s="230" t="s">
        <v>398</v>
      </c>
      <c r="H99" s="231">
        <v>0.5</v>
      </c>
      <c r="I99" s="232"/>
      <c r="J99" s="233">
        <f>ROUND(I99*H99,2)</f>
        <v>0</v>
      </c>
      <c r="K99" s="229" t="s">
        <v>3239</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4183</v>
      </c>
    </row>
    <row r="100" spans="1:65" s="14" customFormat="1" ht="11.25">
      <c r="B100" s="205"/>
      <c r="C100" s="206"/>
      <c r="D100" s="196" t="s">
        <v>388</v>
      </c>
      <c r="E100" s="207" t="s">
        <v>19</v>
      </c>
      <c r="F100" s="208" t="s">
        <v>4111</v>
      </c>
      <c r="G100" s="206"/>
      <c r="H100" s="209">
        <v>0.5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0.5</v>
      </c>
      <c r="I101" s="232"/>
      <c r="J101" s="233">
        <f>ROUND(I101*H101,2)</f>
        <v>0</v>
      </c>
      <c r="K101" s="229" t="s">
        <v>3239</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4184</v>
      </c>
    </row>
    <row r="102" spans="1:65" s="14" customFormat="1" ht="11.25">
      <c r="B102" s="205"/>
      <c r="C102" s="206"/>
      <c r="D102" s="196" t="s">
        <v>388</v>
      </c>
      <c r="E102" s="207" t="s">
        <v>19</v>
      </c>
      <c r="F102" s="208" t="s">
        <v>4111</v>
      </c>
      <c r="G102" s="206"/>
      <c r="H102" s="209">
        <v>0.5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3254</v>
      </c>
      <c r="F103" s="229" t="s">
        <v>3255</v>
      </c>
      <c r="G103" s="230" t="s">
        <v>398</v>
      </c>
      <c r="H103" s="231">
        <v>9.5</v>
      </c>
      <c r="I103" s="232"/>
      <c r="J103" s="233">
        <f>ROUND(I103*H103,2)</f>
        <v>0</v>
      </c>
      <c r="K103" s="229" t="s">
        <v>3239</v>
      </c>
      <c r="L103" s="234"/>
      <c r="M103" s="235" t="s">
        <v>19</v>
      </c>
      <c r="N103" s="236" t="s">
        <v>43</v>
      </c>
      <c r="O103" s="66"/>
      <c r="P103" s="190">
        <f>O103*H103</f>
        <v>0</v>
      </c>
      <c r="Q103" s="190">
        <v>4.0000000000000001E-3</v>
      </c>
      <c r="R103" s="190">
        <f>Q103*H103</f>
        <v>3.7999999999999999E-2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4185</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4186</v>
      </c>
      <c r="G105" s="206"/>
      <c r="H105" s="209">
        <v>9.5</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405</v>
      </c>
      <c r="D106" s="181" t="s">
        <v>382</v>
      </c>
      <c r="E106" s="182" t="s">
        <v>3258</v>
      </c>
      <c r="F106" s="183" t="s">
        <v>3259</v>
      </c>
      <c r="G106" s="184" t="s">
        <v>398</v>
      </c>
      <c r="H106" s="185">
        <v>4.55</v>
      </c>
      <c r="I106" s="186"/>
      <c r="J106" s="187">
        <f>ROUND(I106*H106,2)</f>
        <v>0</v>
      </c>
      <c r="K106" s="183" t="s">
        <v>3239</v>
      </c>
      <c r="L106" s="41"/>
      <c r="M106" s="188" t="s">
        <v>19</v>
      </c>
      <c r="N106" s="189" t="s">
        <v>43</v>
      </c>
      <c r="O106" s="66"/>
      <c r="P106" s="190">
        <f>O106*H106</f>
        <v>0</v>
      </c>
      <c r="Q106" s="190">
        <v>6.9999999999999994E-5</v>
      </c>
      <c r="R106" s="190">
        <f>Q106*H106</f>
        <v>3.1849999999999994E-4</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4187</v>
      </c>
    </row>
    <row r="107" spans="1:65" s="2" customFormat="1" ht="16.5" customHeight="1">
      <c r="A107" s="36"/>
      <c r="B107" s="37"/>
      <c r="C107" s="227" t="s">
        <v>411</v>
      </c>
      <c r="D107" s="227" t="s">
        <v>465</v>
      </c>
      <c r="E107" s="228" t="s">
        <v>3261</v>
      </c>
      <c r="F107" s="229" t="s">
        <v>3262</v>
      </c>
      <c r="G107" s="230" t="s">
        <v>398</v>
      </c>
      <c r="H107" s="231">
        <v>4.55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546</v>
      </c>
      <c r="AT107" s="192" t="s">
        <v>465</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4188</v>
      </c>
    </row>
    <row r="108" spans="1:65" s="14" customFormat="1" ht="11.25">
      <c r="B108" s="205"/>
      <c r="C108" s="206"/>
      <c r="D108" s="196" t="s">
        <v>388</v>
      </c>
      <c r="E108" s="207" t="s">
        <v>19</v>
      </c>
      <c r="F108" s="208" t="s">
        <v>4189</v>
      </c>
      <c r="G108" s="206"/>
      <c r="H108" s="209">
        <v>4.55</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420</v>
      </c>
      <c r="D109" s="181" t="s">
        <v>382</v>
      </c>
      <c r="E109" s="182" t="s">
        <v>3265</v>
      </c>
      <c r="F109" s="183" t="s">
        <v>3266</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4190</v>
      </c>
    </row>
    <row r="110" spans="1:65" s="2" customFormat="1" ht="24.2" customHeight="1">
      <c r="A110" s="36"/>
      <c r="B110" s="37"/>
      <c r="C110" s="181" t="s">
        <v>424</v>
      </c>
      <c r="D110" s="181" t="s">
        <v>382</v>
      </c>
      <c r="E110" s="182" t="s">
        <v>3268</v>
      </c>
      <c r="F110" s="183" t="s">
        <v>3269</v>
      </c>
      <c r="G110" s="184" t="s">
        <v>3014</v>
      </c>
      <c r="H110" s="257"/>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4191</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SUM(P112:P131)</f>
        <v>0</v>
      </c>
      <c r="Q111" s="173"/>
      <c r="R111" s="174">
        <f>SUM(R112:R131)</f>
        <v>7.1163999999999991E-2</v>
      </c>
      <c r="S111" s="173"/>
      <c r="T111" s="175">
        <f>SUM(T112:T131)</f>
        <v>0</v>
      </c>
      <c r="AR111" s="176" t="s">
        <v>82</v>
      </c>
      <c r="AT111" s="177" t="s">
        <v>71</v>
      </c>
      <c r="AU111" s="177" t="s">
        <v>79</v>
      </c>
      <c r="AY111" s="176" t="s">
        <v>380</v>
      </c>
      <c r="BK111" s="178">
        <f>SUM(BK112:BK131)</f>
        <v>0</v>
      </c>
    </row>
    <row r="112" spans="1:65" s="2" customFormat="1" ht="16.5" customHeight="1">
      <c r="A112" s="36"/>
      <c r="B112" s="37"/>
      <c r="C112" s="181" t="s">
        <v>430</v>
      </c>
      <c r="D112" s="181" t="s">
        <v>382</v>
      </c>
      <c r="E112" s="182" t="s">
        <v>4192</v>
      </c>
      <c r="F112" s="183" t="s">
        <v>4193</v>
      </c>
      <c r="G112" s="184" t="s">
        <v>641</v>
      </c>
      <c r="H112" s="185">
        <v>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4194</v>
      </c>
    </row>
    <row r="113" spans="1:65" s="2" customFormat="1" ht="16.5" customHeight="1">
      <c r="A113" s="36"/>
      <c r="B113" s="37"/>
      <c r="C113" s="227" t="s">
        <v>122</v>
      </c>
      <c r="D113" s="227" t="s">
        <v>465</v>
      </c>
      <c r="E113" s="228" t="s">
        <v>3446</v>
      </c>
      <c r="F113" s="229" t="s">
        <v>4195</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4196</v>
      </c>
    </row>
    <row r="114" spans="1:65" s="2" customFormat="1" ht="48.75">
      <c r="A114" s="36"/>
      <c r="B114" s="37"/>
      <c r="C114" s="38"/>
      <c r="D114" s="196" t="s">
        <v>1226</v>
      </c>
      <c r="E114" s="38"/>
      <c r="F114" s="248" t="s">
        <v>4197</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24.2" customHeight="1">
      <c r="A115" s="36"/>
      <c r="B115" s="37"/>
      <c r="C115" s="181" t="s">
        <v>125</v>
      </c>
      <c r="D115" s="181" t="s">
        <v>382</v>
      </c>
      <c r="E115" s="182" t="s">
        <v>3344</v>
      </c>
      <c r="F115" s="183" t="s">
        <v>3345</v>
      </c>
      <c r="G115" s="184" t="s">
        <v>452</v>
      </c>
      <c r="H115" s="185">
        <v>18.2</v>
      </c>
      <c r="I115" s="186"/>
      <c r="J115" s="187">
        <f>ROUND(I115*H115,2)</f>
        <v>0</v>
      </c>
      <c r="K115" s="183" t="s">
        <v>3239</v>
      </c>
      <c r="L115" s="41"/>
      <c r="M115" s="188" t="s">
        <v>19</v>
      </c>
      <c r="N115" s="189" t="s">
        <v>43</v>
      </c>
      <c r="O115" s="66"/>
      <c r="P115" s="190">
        <f>O115*H115</f>
        <v>0</v>
      </c>
      <c r="Q115" s="190">
        <v>3.1199999999999999E-3</v>
      </c>
      <c r="R115" s="190">
        <f>Q115*H115</f>
        <v>5.6783999999999994E-2</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4198</v>
      </c>
    </row>
    <row r="116" spans="1:65" s="2" customFormat="1" ht="29.25">
      <c r="A116" s="36"/>
      <c r="B116" s="37"/>
      <c r="C116" s="38"/>
      <c r="D116" s="196" t="s">
        <v>1226</v>
      </c>
      <c r="E116" s="38"/>
      <c r="F116" s="248" t="s">
        <v>3318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13" customFormat="1" ht="11.25">
      <c r="B117" s="194"/>
      <c r="C117" s="195"/>
      <c r="D117" s="196" t="s">
        <v>388</v>
      </c>
      <c r="E117" s="197" t="s">
        <v>19</v>
      </c>
      <c r="F117" s="198" t="s">
        <v>3347</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4199</v>
      </c>
      <c r="G118" s="206"/>
      <c r="H118" s="209">
        <v>18.2</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5" customFormat="1" ht="11.25">
      <c r="B119" s="216"/>
      <c r="C119" s="217"/>
      <c r="D119" s="196" t="s">
        <v>388</v>
      </c>
      <c r="E119" s="218" t="s">
        <v>19</v>
      </c>
      <c r="F119" s="219" t="s">
        <v>419</v>
      </c>
      <c r="G119" s="217"/>
      <c r="H119" s="220">
        <v>18.2</v>
      </c>
      <c r="I119" s="221"/>
      <c r="J119" s="217"/>
      <c r="K119" s="217"/>
      <c r="L119" s="222"/>
      <c r="M119" s="223"/>
      <c r="N119" s="224"/>
      <c r="O119" s="224"/>
      <c r="P119" s="224"/>
      <c r="Q119" s="224"/>
      <c r="R119" s="224"/>
      <c r="S119" s="224"/>
      <c r="T119" s="225"/>
      <c r="AT119" s="226" t="s">
        <v>388</v>
      </c>
      <c r="AU119" s="226" t="s">
        <v>82</v>
      </c>
      <c r="AV119" s="15" t="s">
        <v>386</v>
      </c>
      <c r="AW119" s="15" t="s">
        <v>33</v>
      </c>
      <c r="AX119" s="15" t="s">
        <v>79</v>
      </c>
      <c r="AY119" s="226" t="s">
        <v>380</v>
      </c>
    </row>
    <row r="120" spans="1:65" s="2" customFormat="1" ht="24.2" customHeight="1">
      <c r="A120" s="36"/>
      <c r="B120" s="37"/>
      <c r="C120" s="181" t="s">
        <v>128</v>
      </c>
      <c r="D120" s="181" t="s">
        <v>382</v>
      </c>
      <c r="E120" s="182" t="s">
        <v>3365</v>
      </c>
      <c r="F120" s="183" t="s">
        <v>3366</v>
      </c>
      <c r="G120" s="184" t="s">
        <v>641</v>
      </c>
      <c r="H120" s="185">
        <v>1</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4200</v>
      </c>
    </row>
    <row r="121" spans="1:65" s="2" customFormat="1" ht="16.5" customHeight="1">
      <c r="A121" s="36"/>
      <c r="B121" s="37"/>
      <c r="C121" s="227" t="s">
        <v>131</v>
      </c>
      <c r="D121" s="227" t="s">
        <v>465</v>
      </c>
      <c r="E121" s="228" t="s">
        <v>4201</v>
      </c>
      <c r="F121" s="229" t="s">
        <v>4202</v>
      </c>
      <c r="G121" s="230" t="s">
        <v>3278</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4203</v>
      </c>
    </row>
    <row r="122" spans="1:65" s="2" customFormat="1" ht="19.5">
      <c r="A122" s="36"/>
      <c r="B122" s="37"/>
      <c r="C122" s="38"/>
      <c r="D122" s="196" t="s">
        <v>1226</v>
      </c>
      <c r="E122" s="38"/>
      <c r="F122" s="248" t="s">
        <v>4204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24.2" customHeight="1">
      <c r="A123" s="36"/>
      <c r="B123" s="37"/>
      <c r="C123" s="181" t="s">
        <v>134</v>
      </c>
      <c r="D123" s="181" t="s">
        <v>382</v>
      </c>
      <c r="E123" s="182" t="s">
        <v>3393</v>
      </c>
      <c r="F123" s="183" t="s">
        <v>3394</v>
      </c>
      <c r="G123" s="184" t="s">
        <v>452</v>
      </c>
      <c r="H123" s="185">
        <v>18.2</v>
      </c>
      <c r="I123" s="186"/>
      <c r="J123" s="187">
        <f>ROUND(I123*H123,2)</f>
        <v>0</v>
      </c>
      <c r="K123" s="183" t="s">
        <v>3239</v>
      </c>
      <c r="L123" s="41"/>
      <c r="M123" s="188" t="s">
        <v>19</v>
      </c>
      <c r="N123" s="189" t="s">
        <v>43</v>
      </c>
      <c r="O123" s="66"/>
      <c r="P123" s="190">
        <f>O123*H123</f>
        <v>0</v>
      </c>
      <c r="Q123" s="190">
        <v>6.9999999999999999E-4</v>
      </c>
      <c r="R123" s="190">
        <f>Q123*H123</f>
        <v>1.274E-2</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4205</v>
      </c>
    </row>
    <row r="124" spans="1:65" s="2" customFormat="1" ht="24.2" customHeight="1">
      <c r="A124" s="36"/>
      <c r="B124" s="37"/>
      <c r="C124" s="181" t="s">
        <v>8</v>
      </c>
      <c r="D124" s="181" t="s">
        <v>382</v>
      </c>
      <c r="E124" s="182" t="s">
        <v>3417</v>
      </c>
      <c r="F124" s="183" t="s">
        <v>3418</v>
      </c>
      <c r="G124" s="184" t="s">
        <v>641</v>
      </c>
      <c r="H124" s="185">
        <v>2</v>
      </c>
      <c r="I124" s="186"/>
      <c r="J124" s="187">
        <f>ROUND(I124*H124,2)</f>
        <v>0</v>
      </c>
      <c r="K124" s="183" t="s">
        <v>3239</v>
      </c>
      <c r="L124" s="41"/>
      <c r="M124" s="188" t="s">
        <v>19</v>
      </c>
      <c r="N124" s="189" t="s">
        <v>43</v>
      </c>
      <c r="O124" s="66"/>
      <c r="P124" s="190">
        <f>O124*H124</f>
        <v>0</v>
      </c>
      <c r="Q124" s="190">
        <v>8.1999999999999998E-4</v>
      </c>
      <c r="R124" s="190">
        <f>Q124*H124</f>
        <v>1.64E-3</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4206</v>
      </c>
    </row>
    <row r="125" spans="1:65" s="13" customFormat="1" ht="11.25">
      <c r="B125" s="194"/>
      <c r="C125" s="195"/>
      <c r="D125" s="196" t="s">
        <v>388</v>
      </c>
      <c r="E125" s="197" t="s">
        <v>19</v>
      </c>
      <c r="F125" s="198" t="s">
        <v>4171</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79</v>
      </c>
      <c r="G126" s="206"/>
      <c r="H126" s="209">
        <v>1</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3" customFormat="1" ht="11.25">
      <c r="B127" s="194"/>
      <c r="C127" s="195"/>
      <c r="D127" s="196" t="s">
        <v>388</v>
      </c>
      <c r="E127" s="197" t="s">
        <v>19</v>
      </c>
      <c r="F127" s="198" t="s">
        <v>4207</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79</v>
      </c>
      <c r="G128" s="206"/>
      <c r="H128" s="209">
        <v>1</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2</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281</v>
      </c>
      <c r="D130" s="181" t="s">
        <v>382</v>
      </c>
      <c r="E130" s="182" t="s">
        <v>3432</v>
      </c>
      <c r="F130" s="183" t="s">
        <v>3433</v>
      </c>
      <c r="G130" s="184" t="s">
        <v>3014</v>
      </c>
      <c r="H130" s="257"/>
      <c r="I130" s="186"/>
      <c r="J130" s="187">
        <f>ROUND(I130*H130,2)</f>
        <v>0</v>
      </c>
      <c r="K130" s="183" t="s">
        <v>3239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4208</v>
      </c>
    </row>
    <row r="131" spans="1:65" s="2" customFormat="1" ht="24.2" customHeight="1">
      <c r="A131" s="36"/>
      <c r="B131" s="37"/>
      <c r="C131" s="181" t="s">
        <v>471</v>
      </c>
      <c r="D131" s="181" t="s">
        <v>382</v>
      </c>
      <c r="E131" s="182" t="s">
        <v>3435</v>
      </c>
      <c r="F131" s="183" t="s">
        <v>3436</v>
      </c>
      <c r="G131" s="184" t="s">
        <v>3014</v>
      </c>
      <c r="H131" s="257"/>
      <c r="I131" s="186"/>
      <c r="J131" s="187">
        <f>ROUND(I131*H131,2)</f>
        <v>0</v>
      </c>
      <c r="K131" s="183" t="s">
        <v>3239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4209</v>
      </c>
    </row>
    <row r="132" spans="1:65" s="12" customFormat="1" ht="22.9" customHeight="1">
      <c r="B132" s="165"/>
      <c r="C132" s="166"/>
      <c r="D132" s="167" t="s">
        <v>71</v>
      </c>
      <c r="E132" s="179" t="s">
        <v>3450</v>
      </c>
      <c r="F132" s="179" t="s">
        <v>3451</v>
      </c>
      <c r="G132" s="166"/>
      <c r="H132" s="166"/>
      <c r="I132" s="169"/>
      <c r="J132" s="180">
        <f>BK132</f>
        <v>0</v>
      </c>
      <c r="K132" s="166"/>
      <c r="L132" s="171"/>
      <c r="M132" s="172"/>
      <c r="N132" s="173"/>
      <c r="O132" s="173"/>
      <c r="P132" s="174">
        <f>SUM(P133:P137)</f>
        <v>0</v>
      </c>
      <c r="Q132" s="173"/>
      <c r="R132" s="174">
        <f>SUM(R133:R137)</f>
        <v>0</v>
      </c>
      <c r="S132" s="173"/>
      <c r="T132" s="175">
        <f>SUM(T133:T137)</f>
        <v>0</v>
      </c>
      <c r="AR132" s="176" t="s">
        <v>82</v>
      </c>
      <c r="AT132" s="177" t="s">
        <v>71</v>
      </c>
      <c r="AU132" s="177" t="s">
        <v>79</v>
      </c>
      <c r="AY132" s="176" t="s">
        <v>380</v>
      </c>
      <c r="BK132" s="178">
        <f>SUM(BK133:BK137)</f>
        <v>0</v>
      </c>
    </row>
    <row r="133" spans="1:65" s="2" customFormat="1" ht="16.5" customHeight="1">
      <c r="A133" s="36"/>
      <c r="B133" s="37"/>
      <c r="C133" s="227" t="s">
        <v>477</v>
      </c>
      <c r="D133" s="227" t="s">
        <v>465</v>
      </c>
      <c r="E133" s="228" t="s">
        <v>3452</v>
      </c>
      <c r="F133" s="229" t="s">
        <v>3453</v>
      </c>
      <c r="G133" s="230" t="s">
        <v>2389</v>
      </c>
      <c r="H133" s="231">
        <v>16</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546</v>
      </c>
      <c r="AT133" s="192" t="s">
        <v>465</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4210</v>
      </c>
    </row>
    <row r="134" spans="1:65" s="14" customFormat="1" ht="11.25">
      <c r="B134" s="205"/>
      <c r="C134" s="206"/>
      <c r="D134" s="196" t="s">
        <v>388</v>
      </c>
      <c r="E134" s="207" t="s">
        <v>19</v>
      </c>
      <c r="F134" s="208" t="s">
        <v>1028</v>
      </c>
      <c r="G134" s="206"/>
      <c r="H134" s="209">
        <v>16</v>
      </c>
      <c r="I134" s="210"/>
      <c r="J134" s="206"/>
      <c r="K134" s="206"/>
      <c r="L134" s="211"/>
      <c r="M134" s="212"/>
      <c r="N134" s="213"/>
      <c r="O134" s="213"/>
      <c r="P134" s="213"/>
      <c r="Q134" s="213"/>
      <c r="R134" s="213"/>
      <c r="S134" s="213"/>
      <c r="T134" s="214"/>
      <c r="AT134" s="215" t="s">
        <v>388</v>
      </c>
      <c r="AU134" s="215" t="s">
        <v>82</v>
      </c>
      <c r="AV134" s="14" t="s">
        <v>82</v>
      </c>
      <c r="AW134" s="14" t="s">
        <v>33</v>
      </c>
      <c r="AX134" s="14" t="s">
        <v>79</v>
      </c>
      <c r="AY134" s="215" t="s">
        <v>380</v>
      </c>
    </row>
    <row r="135" spans="1:65" s="2" customFormat="1" ht="16.5" customHeight="1">
      <c r="A135" s="36"/>
      <c r="B135" s="37"/>
      <c r="C135" s="181" t="s">
        <v>284</v>
      </c>
      <c r="D135" s="181" t="s">
        <v>382</v>
      </c>
      <c r="E135" s="182" t="s">
        <v>3456</v>
      </c>
      <c r="F135" s="183" t="s">
        <v>2819</v>
      </c>
      <c r="G135" s="184" t="s">
        <v>2389</v>
      </c>
      <c r="H135" s="185">
        <v>16</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281</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4211</v>
      </c>
    </row>
    <row r="136" spans="1:65" s="2" customFormat="1" ht="16.5" customHeight="1">
      <c r="A136" s="36"/>
      <c r="B136" s="37"/>
      <c r="C136" s="181" t="s">
        <v>486</v>
      </c>
      <c r="D136" s="181" t="s">
        <v>382</v>
      </c>
      <c r="E136" s="182" t="s">
        <v>3458</v>
      </c>
      <c r="F136" s="183" t="s">
        <v>3459</v>
      </c>
      <c r="G136" s="184" t="s">
        <v>2389</v>
      </c>
      <c r="H136" s="185">
        <v>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4212</v>
      </c>
    </row>
    <row r="137" spans="1:65" s="2" customFormat="1" ht="16.5" customHeight="1">
      <c r="A137" s="36"/>
      <c r="B137" s="37"/>
      <c r="C137" s="181" t="s">
        <v>7</v>
      </c>
      <c r="D137" s="181" t="s">
        <v>382</v>
      </c>
      <c r="E137" s="182" t="s">
        <v>3461</v>
      </c>
      <c r="F137" s="183" t="s">
        <v>3462</v>
      </c>
      <c r="G137" s="184" t="s">
        <v>2389</v>
      </c>
      <c r="H137" s="185">
        <v>8</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4213</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Su6itQ6nxRh2sap31kNCRrqWBPXG0iJR1vQCrwYAHxfD309CfmoZZQx5ARn4MMMfqdp/CIE220DryI+qvb1zXA==" saltValue="ua8Fxfpo/MBU7KP1zau8fkUam1MzfmHumWD5c+yz0YqI3x9e1fSmClP4ohRx/G9IcNvcYCeoQXshD/tdjyjY/A==" spinCount="100000" sheet="1" objects="1" scenarios="1" formatColumns="0" formatRows="0" autoFilter="0"/>
  <autoFilter ref="C94:K137" xr:uid="{00000000-0009-0000-0000-00001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4214</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ROUND(J92,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ROUND((SUM(BE92:BE355)),  2)</f>
        <v>0</v>
      </c>
      <c r="G35" s="36"/>
      <c r="H35" s="36"/>
      <c r="I35" s="127">
        <v>0.21</v>
      </c>
      <c r="J35" s="126">
        <f>ROUND(((SUM(BE92:BE355))*I35),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ROUND((SUM(BF92:BF355)),  2)</f>
        <v>0</v>
      </c>
      <c r="G36" s="36"/>
      <c r="H36" s="36"/>
      <c r="I36" s="127">
        <v>0.15</v>
      </c>
      <c r="J36" s="126">
        <f>ROUND(((SUM(BF92:BF355))*I36),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ROUND((SUM(BG92:BG355)),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ROUND((SUM(BH92:BH355)),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ROUND((SUM(BI92:BI355)),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SIL - ZAŘÍZENÍ SILNOPROUDÉ ELEKTROTECHNIKY</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J92</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4215</v>
      </c>
      <c r="E64" s="146"/>
      <c r="F64" s="146"/>
      <c r="G64" s="146"/>
      <c r="H64" s="146"/>
      <c r="I64" s="146"/>
      <c r="J64" s="147">
        <f>J93</f>
        <v>0</v>
      </c>
      <c r="K64" s="144"/>
      <c r="L64" s="148"/>
    </row>
    <row r="65" spans="1:31" s="10" customFormat="1" ht="19.899999999999999" customHeight="1">
      <c r="B65" s="149"/>
      <c r="C65" s="99"/>
      <c r="D65" s="150" t="s">
        <v>4216</v>
      </c>
      <c r="E65" s="151"/>
      <c r="F65" s="151"/>
      <c r="G65" s="151"/>
      <c r="H65" s="151"/>
      <c r="I65" s="151"/>
      <c r="J65" s="152">
        <f>J267</f>
        <v>0</v>
      </c>
      <c r="K65" s="99"/>
      <c r="L65" s="153"/>
    </row>
    <row r="66" spans="1:31" s="10" customFormat="1" ht="19.899999999999999" customHeight="1">
      <c r="B66" s="149"/>
      <c r="C66" s="99"/>
      <c r="D66" s="150" t="s">
        <v>4217</v>
      </c>
      <c r="E66" s="151"/>
      <c r="F66" s="151"/>
      <c r="G66" s="151"/>
      <c r="H66" s="151"/>
      <c r="I66" s="151"/>
      <c r="J66" s="152">
        <f>J289</f>
        <v>0</v>
      </c>
      <c r="K66" s="99"/>
      <c r="L66" s="153"/>
    </row>
    <row r="67" spans="1:31" s="10" customFormat="1" ht="19.899999999999999" customHeight="1">
      <c r="B67" s="149"/>
      <c r="C67" s="99"/>
      <c r="D67" s="150" t="s">
        <v>4218</v>
      </c>
      <c r="E67" s="151"/>
      <c r="F67" s="151"/>
      <c r="G67" s="151"/>
      <c r="H67" s="151"/>
      <c r="I67" s="151"/>
      <c r="J67" s="152">
        <f>J299</f>
        <v>0</v>
      </c>
      <c r="K67" s="99"/>
      <c r="L67" s="153"/>
    </row>
    <row r="68" spans="1:31" s="10" customFormat="1" ht="19.899999999999999" customHeight="1">
      <c r="B68" s="149"/>
      <c r="C68" s="99"/>
      <c r="D68" s="150" t="s">
        <v>4219</v>
      </c>
      <c r="E68" s="151"/>
      <c r="F68" s="151"/>
      <c r="G68" s="151"/>
      <c r="H68" s="151"/>
      <c r="I68" s="151"/>
      <c r="J68" s="152">
        <f>J302</f>
        <v>0</v>
      </c>
      <c r="K68" s="99"/>
      <c r="L68" s="153"/>
    </row>
    <row r="69" spans="1:31" s="10" customFormat="1" ht="19.899999999999999" customHeight="1">
      <c r="B69" s="149"/>
      <c r="C69" s="99"/>
      <c r="D69" s="150" t="s">
        <v>4220</v>
      </c>
      <c r="E69" s="151"/>
      <c r="F69" s="151"/>
      <c r="G69" s="151"/>
      <c r="H69" s="151"/>
      <c r="I69" s="151"/>
      <c r="J69" s="152">
        <f>J342</f>
        <v>0</v>
      </c>
      <c r="K69" s="99"/>
      <c r="L69" s="153"/>
    </row>
    <row r="70" spans="1:31" s="10" customFormat="1" ht="19.899999999999999" customHeight="1">
      <c r="B70" s="149"/>
      <c r="C70" s="99"/>
      <c r="D70" s="150" t="s">
        <v>4221</v>
      </c>
      <c r="E70" s="151"/>
      <c r="F70" s="151"/>
      <c r="G70" s="151"/>
      <c r="H70" s="151"/>
      <c r="I70" s="151"/>
      <c r="J70" s="152">
        <f>J349</f>
        <v>0</v>
      </c>
      <c r="K70" s="99"/>
      <c r="L70" s="153"/>
    </row>
    <row r="71" spans="1:31"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31" s="2" customFormat="1" ht="24.95" customHeight="1">
      <c r="A77" s="36"/>
      <c r="B77" s="37"/>
      <c r="C77" s="25" t="s">
        <v>365</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416" t="str">
        <f>E7</f>
        <v>ARCHIV UP V OLOMOUCI - BEZ VYBAVENÍ INTERIÉRU</v>
      </c>
      <c r="F80" s="417"/>
      <c r="G80" s="417"/>
      <c r="H80" s="417"/>
      <c r="I80" s="38"/>
      <c r="J80" s="38"/>
      <c r="K80" s="38"/>
      <c r="L80" s="116"/>
      <c r="S80" s="36"/>
      <c r="T80" s="36"/>
      <c r="U80" s="36"/>
      <c r="V80" s="36"/>
      <c r="W80" s="36"/>
      <c r="X80" s="36"/>
      <c r="Y80" s="36"/>
      <c r="Z80" s="36"/>
      <c r="AA80" s="36"/>
      <c r="AB80" s="36"/>
      <c r="AC80" s="36"/>
      <c r="AD80" s="36"/>
      <c r="AE80" s="36"/>
    </row>
    <row r="81" spans="1:65" s="1" customFormat="1" ht="12" customHeight="1">
      <c r="B81" s="23"/>
      <c r="C81" s="31" t="s">
        <v>282</v>
      </c>
      <c r="D81" s="24"/>
      <c r="E81" s="24"/>
      <c r="F81" s="24"/>
      <c r="G81" s="24"/>
      <c r="H81" s="24"/>
      <c r="I81" s="24"/>
      <c r="J81" s="24"/>
      <c r="K81" s="24"/>
      <c r="L81" s="22"/>
    </row>
    <row r="82" spans="1:65" s="2" customFormat="1" ht="16.5" customHeight="1">
      <c r="A82" s="36"/>
      <c r="B82" s="37"/>
      <c r="C82" s="38"/>
      <c r="D82" s="38"/>
      <c r="E82" s="416" t="s">
        <v>285</v>
      </c>
      <c r="F82" s="418"/>
      <c r="G82" s="418"/>
      <c r="H82" s="41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288</v>
      </c>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6.5" customHeight="1">
      <c r="A84" s="36"/>
      <c r="B84" s="37"/>
      <c r="C84" s="38"/>
      <c r="D84" s="38"/>
      <c r="E84" s="387" t="str">
        <f>E11</f>
        <v>SIL - ZAŘÍZENÍ SILNOPROUDÉ ELEKTROTECHNIKY</v>
      </c>
      <c r="F84" s="418"/>
      <c r="G84" s="418"/>
      <c r="H84" s="418"/>
      <c r="I84" s="38"/>
      <c r="J84" s="38"/>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4. 8. 2021</v>
      </c>
      <c r="K86" s="38"/>
      <c r="L86" s="116"/>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25.7" customHeight="1">
      <c r="A88" s="36"/>
      <c r="B88" s="37"/>
      <c r="C88" s="31" t="s">
        <v>25</v>
      </c>
      <c r="D88" s="38"/>
      <c r="E88" s="38"/>
      <c r="F88" s="29" t="str">
        <f>E17</f>
        <v>UP V OLOMOUCI, KŘÍŽOVSKÉHO 511/8, 779 00</v>
      </c>
      <c r="G88" s="38"/>
      <c r="H88" s="38"/>
      <c r="I88" s="31" t="s">
        <v>31</v>
      </c>
      <c r="J88" s="34" t="str">
        <f>E23</f>
        <v>ALFAPROJEKT OLOMOUC a.s.</v>
      </c>
      <c r="K88" s="38"/>
      <c r="L88" s="116"/>
      <c r="S88" s="36"/>
      <c r="T88" s="36"/>
      <c r="U88" s="36"/>
      <c r="V88" s="36"/>
      <c r="W88" s="36"/>
      <c r="X88" s="36"/>
      <c r="Y88" s="36"/>
      <c r="Z88" s="36"/>
      <c r="AA88" s="36"/>
      <c r="AB88" s="36"/>
      <c r="AC88" s="36"/>
      <c r="AD88" s="36"/>
      <c r="AE88" s="36"/>
    </row>
    <row r="89" spans="1:65" s="2" customFormat="1" ht="25.7" customHeight="1">
      <c r="A89" s="36"/>
      <c r="B89" s="37"/>
      <c r="C89" s="31" t="s">
        <v>29</v>
      </c>
      <c r="D89" s="38"/>
      <c r="E89" s="38"/>
      <c r="F89" s="29" t="str">
        <f>IF(E20="","",E20)</f>
        <v>Vyplň údaj</v>
      </c>
      <c r="G89" s="38"/>
      <c r="H89" s="38"/>
      <c r="I89" s="31" t="s">
        <v>34</v>
      </c>
      <c r="J89" s="34" t="str">
        <f>E26</f>
        <v>PROPOS LIBEREC s.r.o.</v>
      </c>
      <c r="K89" s="38"/>
      <c r="L89" s="116"/>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5" s="11" customFormat="1" ht="29.25" customHeight="1">
      <c r="A91" s="154"/>
      <c r="B91" s="155"/>
      <c r="C91" s="156" t="s">
        <v>366</v>
      </c>
      <c r="D91" s="157" t="s">
        <v>57</v>
      </c>
      <c r="E91" s="157" t="s">
        <v>53</v>
      </c>
      <c r="F91" s="157" t="s">
        <v>54</v>
      </c>
      <c r="G91" s="157" t="s">
        <v>367</v>
      </c>
      <c r="H91" s="157" t="s">
        <v>368</v>
      </c>
      <c r="I91" s="157" t="s">
        <v>369</v>
      </c>
      <c r="J91" s="157" t="s">
        <v>334</v>
      </c>
      <c r="K91" s="158" t="s">
        <v>370</v>
      </c>
      <c r="L91" s="159"/>
      <c r="M91" s="70" t="s">
        <v>19</v>
      </c>
      <c r="N91" s="71" t="s">
        <v>42</v>
      </c>
      <c r="O91" s="71" t="s">
        <v>371</v>
      </c>
      <c r="P91" s="71" t="s">
        <v>372</v>
      </c>
      <c r="Q91" s="71" t="s">
        <v>373</v>
      </c>
      <c r="R91" s="71" t="s">
        <v>374</v>
      </c>
      <c r="S91" s="71" t="s">
        <v>375</v>
      </c>
      <c r="T91" s="72" t="s">
        <v>376</v>
      </c>
      <c r="U91" s="154"/>
      <c r="V91" s="154"/>
      <c r="W91" s="154"/>
      <c r="X91" s="154"/>
      <c r="Y91" s="154"/>
      <c r="Z91" s="154"/>
      <c r="AA91" s="154"/>
      <c r="AB91" s="154"/>
      <c r="AC91" s="154"/>
      <c r="AD91" s="154"/>
      <c r="AE91" s="154"/>
    </row>
    <row r="92" spans="1:65" s="2" customFormat="1" ht="22.9" customHeight="1">
      <c r="A92" s="36"/>
      <c r="B92" s="37"/>
      <c r="C92" s="77" t="s">
        <v>377</v>
      </c>
      <c r="D92" s="38"/>
      <c r="E92" s="38"/>
      <c r="F92" s="38"/>
      <c r="G92" s="38"/>
      <c r="H92" s="38"/>
      <c r="I92" s="38"/>
      <c r="J92" s="160">
        <f>BK92</f>
        <v>0</v>
      </c>
      <c r="K92" s="38"/>
      <c r="L92" s="41"/>
      <c r="M92" s="73"/>
      <c r="N92" s="161"/>
      <c r="O92" s="74"/>
      <c r="P92" s="162">
        <f>P93</f>
        <v>0</v>
      </c>
      <c r="Q92" s="74"/>
      <c r="R92" s="162">
        <f>R93</f>
        <v>5.4782719000000011</v>
      </c>
      <c r="S92" s="74"/>
      <c r="T92" s="163">
        <f>T93</f>
        <v>0</v>
      </c>
      <c r="U92" s="36"/>
      <c r="V92" s="36"/>
      <c r="W92" s="36"/>
      <c r="X92" s="36"/>
      <c r="Y92" s="36"/>
      <c r="Z92" s="36"/>
      <c r="AA92" s="36"/>
      <c r="AB92" s="36"/>
      <c r="AC92" s="36"/>
      <c r="AD92" s="36"/>
      <c r="AE92" s="36"/>
      <c r="AT92" s="19" t="s">
        <v>71</v>
      </c>
      <c r="AU92" s="19" t="s">
        <v>335</v>
      </c>
      <c r="BK92" s="164">
        <f>BK93</f>
        <v>0</v>
      </c>
    </row>
    <row r="93" spans="1:65" s="12" customFormat="1" ht="25.9" customHeight="1">
      <c r="B93" s="165"/>
      <c r="C93" s="166"/>
      <c r="D93" s="167" t="s">
        <v>71</v>
      </c>
      <c r="E93" s="168" t="s">
        <v>465</v>
      </c>
      <c r="F93" s="168" t="s">
        <v>4222</v>
      </c>
      <c r="G93" s="166"/>
      <c r="H93" s="166"/>
      <c r="I93" s="169"/>
      <c r="J93" s="170">
        <f>BK93</f>
        <v>0</v>
      </c>
      <c r="K93" s="166"/>
      <c r="L93" s="171"/>
      <c r="M93" s="172"/>
      <c r="N93" s="173"/>
      <c r="O93" s="173"/>
      <c r="P93" s="174">
        <f>P94+SUM(P95:P267)+P289+P299+P302+P342+P349</f>
        <v>0</v>
      </c>
      <c r="Q93" s="173"/>
      <c r="R93" s="174">
        <f>R94+SUM(R95:R267)+R289+R299+R302+R342+R349</f>
        <v>5.4782719000000011</v>
      </c>
      <c r="S93" s="173"/>
      <c r="T93" s="175">
        <f>T94+SUM(T95:T267)+T289+T299+T302+T342+T349</f>
        <v>0</v>
      </c>
      <c r="AR93" s="176" t="s">
        <v>99</v>
      </c>
      <c r="AT93" s="177" t="s">
        <v>71</v>
      </c>
      <c r="AU93" s="177" t="s">
        <v>72</v>
      </c>
      <c r="AY93" s="176" t="s">
        <v>380</v>
      </c>
      <c r="BK93" s="178">
        <f>BK94+SUM(BK95:BK267)+BK289+BK299+BK302+BK342+BK349</f>
        <v>0</v>
      </c>
    </row>
    <row r="94" spans="1:65" s="2" customFormat="1" ht="16.5" customHeight="1">
      <c r="A94" s="36"/>
      <c r="B94" s="37"/>
      <c r="C94" s="181" t="s">
        <v>79</v>
      </c>
      <c r="D94" s="181" t="s">
        <v>382</v>
      </c>
      <c r="E94" s="182" t="s">
        <v>4223</v>
      </c>
      <c r="F94" s="183" t="s">
        <v>4224</v>
      </c>
      <c r="G94" s="184" t="s">
        <v>452</v>
      </c>
      <c r="H94" s="185">
        <v>540</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787</v>
      </c>
      <c r="AT94" s="192" t="s">
        <v>382</v>
      </c>
      <c r="AU94" s="192" t="s">
        <v>79</v>
      </c>
      <c r="AY94" s="19" t="s">
        <v>380</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787</v>
      </c>
      <c r="BM94" s="192" t="s">
        <v>82</v>
      </c>
    </row>
    <row r="95" spans="1:65" s="2" customFormat="1" ht="16.5" customHeight="1">
      <c r="A95" s="36"/>
      <c r="B95" s="37"/>
      <c r="C95" s="227" t="s">
        <v>82</v>
      </c>
      <c r="D95" s="227" t="s">
        <v>465</v>
      </c>
      <c r="E95" s="228" t="s">
        <v>4225</v>
      </c>
      <c r="F95" s="229" t="s">
        <v>4226</v>
      </c>
      <c r="G95" s="230" t="s">
        <v>452</v>
      </c>
      <c r="H95" s="231">
        <v>567</v>
      </c>
      <c r="I95" s="232"/>
      <c r="J95" s="233">
        <f>ROUND(I95*H95,2)</f>
        <v>0</v>
      </c>
      <c r="K95" s="229" t="s">
        <v>19</v>
      </c>
      <c r="L95" s="234"/>
      <c r="M95" s="235" t="s">
        <v>19</v>
      </c>
      <c r="N95" s="236" t="s">
        <v>43</v>
      </c>
      <c r="O95" s="66"/>
      <c r="P95" s="190">
        <f>O95*H95</f>
        <v>0</v>
      </c>
      <c r="Q95" s="190">
        <v>1.9000000000000001E-4</v>
      </c>
      <c r="R95" s="190">
        <f>Q95*H95</f>
        <v>0.10773000000000001</v>
      </c>
      <c r="S95" s="190">
        <v>0</v>
      </c>
      <c r="T95" s="191">
        <f>S95*H95</f>
        <v>0</v>
      </c>
      <c r="U95" s="36"/>
      <c r="V95" s="36"/>
      <c r="W95" s="36"/>
      <c r="X95" s="36"/>
      <c r="Y95" s="36"/>
      <c r="Z95" s="36"/>
      <c r="AA95" s="36"/>
      <c r="AB95" s="36"/>
      <c r="AC95" s="36"/>
      <c r="AD95" s="36"/>
      <c r="AE95" s="36"/>
      <c r="AR95" s="192" t="s">
        <v>1923</v>
      </c>
      <c r="AT95" s="192" t="s">
        <v>465</v>
      </c>
      <c r="AU95" s="192" t="s">
        <v>79</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787</v>
      </c>
      <c r="BM95" s="192" t="s">
        <v>386</v>
      </c>
    </row>
    <row r="96" spans="1:65" s="14" customFormat="1" ht="11.25">
      <c r="B96" s="205"/>
      <c r="C96" s="206"/>
      <c r="D96" s="196" t="s">
        <v>388</v>
      </c>
      <c r="E96" s="207" t="s">
        <v>19</v>
      </c>
      <c r="F96" s="208" t="s">
        <v>4227</v>
      </c>
      <c r="G96" s="206"/>
      <c r="H96" s="209">
        <v>567</v>
      </c>
      <c r="I96" s="210"/>
      <c r="J96" s="206"/>
      <c r="K96" s="206"/>
      <c r="L96" s="211"/>
      <c r="M96" s="212"/>
      <c r="N96" s="213"/>
      <c r="O96" s="213"/>
      <c r="P96" s="213"/>
      <c r="Q96" s="213"/>
      <c r="R96" s="213"/>
      <c r="S96" s="213"/>
      <c r="T96" s="214"/>
      <c r="AT96" s="215" t="s">
        <v>388</v>
      </c>
      <c r="AU96" s="215" t="s">
        <v>79</v>
      </c>
      <c r="AV96" s="14" t="s">
        <v>82</v>
      </c>
      <c r="AW96" s="14" t="s">
        <v>33</v>
      </c>
      <c r="AX96" s="14" t="s">
        <v>72</v>
      </c>
      <c r="AY96" s="215" t="s">
        <v>380</v>
      </c>
    </row>
    <row r="97" spans="1:65" s="15" customFormat="1" ht="11.25">
      <c r="B97" s="216"/>
      <c r="C97" s="217"/>
      <c r="D97" s="196" t="s">
        <v>388</v>
      </c>
      <c r="E97" s="218" t="s">
        <v>19</v>
      </c>
      <c r="F97" s="219" t="s">
        <v>419</v>
      </c>
      <c r="G97" s="217"/>
      <c r="H97" s="220">
        <v>567</v>
      </c>
      <c r="I97" s="221"/>
      <c r="J97" s="217"/>
      <c r="K97" s="217"/>
      <c r="L97" s="222"/>
      <c r="M97" s="223"/>
      <c r="N97" s="224"/>
      <c r="O97" s="224"/>
      <c r="P97" s="224"/>
      <c r="Q97" s="224"/>
      <c r="R97" s="224"/>
      <c r="S97" s="224"/>
      <c r="T97" s="225"/>
      <c r="AT97" s="226" t="s">
        <v>388</v>
      </c>
      <c r="AU97" s="226" t="s">
        <v>79</v>
      </c>
      <c r="AV97" s="15" t="s">
        <v>386</v>
      </c>
      <c r="AW97" s="15" t="s">
        <v>33</v>
      </c>
      <c r="AX97" s="15" t="s">
        <v>79</v>
      </c>
      <c r="AY97" s="226" t="s">
        <v>380</v>
      </c>
    </row>
    <row r="98" spans="1:65" s="2" customFormat="1" ht="16.5" customHeight="1">
      <c r="A98" s="36"/>
      <c r="B98" s="37"/>
      <c r="C98" s="181" t="s">
        <v>99</v>
      </c>
      <c r="D98" s="181" t="s">
        <v>382</v>
      </c>
      <c r="E98" s="182" t="s">
        <v>4228</v>
      </c>
      <c r="F98" s="183" t="s">
        <v>4229</v>
      </c>
      <c r="G98" s="184" t="s">
        <v>452</v>
      </c>
      <c r="H98" s="185">
        <v>32</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787</v>
      </c>
      <c r="AT98" s="192" t="s">
        <v>382</v>
      </c>
      <c r="AU98" s="192" t="s">
        <v>79</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787</v>
      </c>
      <c r="BM98" s="192" t="s">
        <v>411</v>
      </c>
    </row>
    <row r="99" spans="1:65" s="2" customFormat="1" ht="16.5" customHeight="1">
      <c r="A99" s="36"/>
      <c r="B99" s="37"/>
      <c r="C99" s="227" t="s">
        <v>386</v>
      </c>
      <c r="D99" s="227" t="s">
        <v>465</v>
      </c>
      <c r="E99" s="228" t="s">
        <v>4230</v>
      </c>
      <c r="F99" s="229" t="s">
        <v>4231</v>
      </c>
      <c r="G99" s="230" t="s">
        <v>452</v>
      </c>
      <c r="H99" s="231">
        <v>33.6</v>
      </c>
      <c r="I99" s="232"/>
      <c r="J99" s="233">
        <f>ROUND(I99*H99,2)</f>
        <v>0</v>
      </c>
      <c r="K99" s="229" t="s">
        <v>19</v>
      </c>
      <c r="L99" s="234"/>
      <c r="M99" s="235" t="s">
        <v>19</v>
      </c>
      <c r="N99" s="236" t="s">
        <v>43</v>
      </c>
      <c r="O99" s="66"/>
      <c r="P99" s="190">
        <f>O99*H99</f>
        <v>0</v>
      </c>
      <c r="Q99" s="190">
        <v>3.1E-4</v>
      </c>
      <c r="R99" s="190">
        <f>Q99*H99</f>
        <v>1.0416E-2</v>
      </c>
      <c r="S99" s="190">
        <v>0</v>
      </c>
      <c r="T99" s="191">
        <f>S99*H99</f>
        <v>0</v>
      </c>
      <c r="U99" s="36"/>
      <c r="V99" s="36"/>
      <c r="W99" s="36"/>
      <c r="X99" s="36"/>
      <c r="Y99" s="36"/>
      <c r="Z99" s="36"/>
      <c r="AA99" s="36"/>
      <c r="AB99" s="36"/>
      <c r="AC99" s="36"/>
      <c r="AD99" s="36"/>
      <c r="AE99" s="36"/>
      <c r="AR99" s="192" t="s">
        <v>1923</v>
      </c>
      <c r="AT99" s="192" t="s">
        <v>465</v>
      </c>
      <c r="AU99" s="192" t="s">
        <v>79</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787</v>
      </c>
      <c r="BM99" s="192" t="s">
        <v>424</v>
      </c>
    </row>
    <row r="100" spans="1:65" s="14" customFormat="1" ht="11.25">
      <c r="B100" s="205"/>
      <c r="C100" s="206"/>
      <c r="D100" s="196" t="s">
        <v>388</v>
      </c>
      <c r="E100" s="207" t="s">
        <v>19</v>
      </c>
      <c r="F100" s="208" t="s">
        <v>4232</v>
      </c>
      <c r="G100" s="206"/>
      <c r="H100" s="209">
        <v>33.6</v>
      </c>
      <c r="I100" s="210"/>
      <c r="J100" s="206"/>
      <c r="K100" s="206"/>
      <c r="L100" s="211"/>
      <c r="M100" s="212"/>
      <c r="N100" s="213"/>
      <c r="O100" s="213"/>
      <c r="P100" s="213"/>
      <c r="Q100" s="213"/>
      <c r="R100" s="213"/>
      <c r="S100" s="213"/>
      <c r="T100" s="214"/>
      <c r="AT100" s="215" t="s">
        <v>388</v>
      </c>
      <c r="AU100" s="215" t="s">
        <v>79</v>
      </c>
      <c r="AV100" s="14" t="s">
        <v>82</v>
      </c>
      <c r="AW100" s="14" t="s">
        <v>33</v>
      </c>
      <c r="AX100" s="14" t="s">
        <v>72</v>
      </c>
      <c r="AY100" s="215" t="s">
        <v>380</v>
      </c>
    </row>
    <row r="101" spans="1:65" s="15" customFormat="1" ht="11.25">
      <c r="B101" s="216"/>
      <c r="C101" s="217"/>
      <c r="D101" s="196" t="s">
        <v>388</v>
      </c>
      <c r="E101" s="218" t="s">
        <v>19</v>
      </c>
      <c r="F101" s="219" t="s">
        <v>419</v>
      </c>
      <c r="G101" s="217"/>
      <c r="H101" s="220">
        <v>33.6</v>
      </c>
      <c r="I101" s="221"/>
      <c r="J101" s="217"/>
      <c r="K101" s="217"/>
      <c r="L101" s="222"/>
      <c r="M101" s="223"/>
      <c r="N101" s="224"/>
      <c r="O101" s="224"/>
      <c r="P101" s="224"/>
      <c r="Q101" s="224"/>
      <c r="R101" s="224"/>
      <c r="S101" s="224"/>
      <c r="T101" s="225"/>
      <c r="AT101" s="226" t="s">
        <v>388</v>
      </c>
      <c r="AU101" s="226" t="s">
        <v>79</v>
      </c>
      <c r="AV101" s="15" t="s">
        <v>386</v>
      </c>
      <c r="AW101" s="15" t="s">
        <v>33</v>
      </c>
      <c r="AX101" s="15" t="s">
        <v>79</v>
      </c>
      <c r="AY101" s="226" t="s">
        <v>380</v>
      </c>
    </row>
    <row r="102" spans="1:65" s="2" customFormat="1" ht="16.5" customHeight="1">
      <c r="A102" s="36"/>
      <c r="B102" s="37"/>
      <c r="C102" s="181" t="s">
        <v>405</v>
      </c>
      <c r="D102" s="181" t="s">
        <v>382</v>
      </c>
      <c r="E102" s="182" t="s">
        <v>4233</v>
      </c>
      <c r="F102" s="183" t="s">
        <v>4234</v>
      </c>
      <c r="G102" s="184" t="s">
        <v>452</v>
      </c>
      <c r="H102" s="185">
        <v>20</v>
      </c>
      <c r="I102" s="186"/>
      <c r="J102" s="187">
        <f t="shared" ref="J102:J113" si="0">ROUND(I102*H102,2)</f>
        <v>0</v>
      </c>
      <c r="K102" s="183" t="s">
        <v>19</v>
      </c>
      <c r="L102" s="41"/>
      <c r="M102" s="188" t="s">
        <v>19</v>
      </c>
      <c r="N102" s="189" t="s">
        <v>43</v>
      </c>
      <c r="O102" s="66"/>
      <c r="P102" s="190">
        <f t="shared" ref="P102:P113" si="1">O102*H102</f>
        <v>0</v>
      </c>
      <c r="Q102" s="190">
        <v>0</v>
      </c>
      <c r="R102" s="190">
        <f t="shared" ref="R102:R113" si="2">Q102*H102</f>
        <v>0</v>
      </c>
      <c r="S102" s="190">
        <v>0</v>
      </c>
      <c r="T102" s="191">
        <f t="shared" ref="T102:T113" si="3">S102*H102</f>
        <v>0</v>
      </c>
      <c r="U102" s="36"/>
      <c r="V102" s="36"/>
      <c r="W102" s="36"/>
      <c r="X102" s="36"/>
      <c r="Y102" s="36"/>
      <c r="Z102" s="36"/>
      <c r="AA102" s="36"/>
      <c r="AB102" s="36"/>
      <c r="AC102" s="36"/>
      <c r="AD102" s="36"/>
      <c r="AE102" s="36"/>
      <c r="AR102" s="192" t="s">
        <v>787</v>
      </c>
      <c r="AT102" s="192" t="s">
        <v>382</v>
      </c>
      <c r="AU102" s="192" t="s">
        <v>79</v>
      </c>
      <c r="AY102" s="19" t="s">
        <v>380</v>
      </c>
      <c r="BE102" s="193">
        <f t="shared" ref="BE102:BE113" si="4">IF(N102="základní",J102,0)</f>
        <v>0</v>
      </c>
      <c r="BF102" s="193">
        <f t="shared" ref="BF102:BF113" si="5">IF(N102="snížená",J102,0)</f>
        <v>0</v>
      </c>
      <c r="BG102" s="193">
        <f t="shared" ref="BG102:BG113" si="6">IF(N102="zákl. přenesená",J102,0)</f>
        <v>0</v>
      </c>
      <c r="BH102" s="193">
        <f t="shared" ref="BH102:BH113" si="7">IF(N102="sníž. přenesená",J102,0)</f>
        <v>0</v>
      </c>
      <c r="BI102" s="193">
        <f t="shared" ref="BI102:BI113" si="8">IF(N102="nulová",J102,0)</f>
        <v>0</v>
      </c>
      <c r="BJ102" s="19" t="s">
        <v>79</v>
      </c>
      <c r="BK102" s="193">
        <f t="shared" ref="BK102:BK113" si="9">ROUND(I102*H102,2)</f>
        <v>0</v>
      </c>
      <c r="BL102" s="19" t="s">
        <v>787</v>
      </c>
      <c r="BM102" s="192" t="s">
        <v>122</v>
      </c>
    </row>
    <row r="103" spans="1:65" s="2" customFormat="1" ht="16.5" customHeight="1">
      <c r="A103" s="36"/>
      <c r="B103" s="37"/>
      <c r="C103" s="227" t="s">
        <v>411</v>
      </c>
      <c r="D103" s="227" t="s">
        <v>465</v>
      </c>
      <c r="E103" s="228" t="s">
        <v>4235</v>
      </c>
      <c r="F103" s="229" t="s">
        <v>4236</v>
      </c>
      <c r="G103" s="230" t="s">
        <v>452</v>
      </c>
      <c r="H103" s="231">
        <v>20</v>
      </c>
      <c r="I103" s="232"/>
      <c r="J103" s="233">
        <f t="shared" si="0"/>
        <v>0</v>
      </c>
      <c r="K103" s="229" t="s">
        <v>19</v>
      </c>
      <c r="L103" s="234"/>
      <c r="M103" s="235" t="s">
        <v>19</v>
      </c>
      <c r="N103" s="236" t="s">
        <v>43</v>
      </c>
      <c r="O103" s="66"/>
      <c r="P103" s="190">
        <f t="shared" si="1"/>
        <v>0</v>
      </c>
      <c r="Q103" s="190">
        <v>3.2000000000000003E-4</v>
      </c>
      <c r="R103" s="190">
        <f t="shared" si="2"/>
        <v>6.4000000000000003E-3</v>
      </c>
      <c r="S103" s="190">
        <v>0</v>
      </c>
      <c r="T103" s="191">
        <f t="shared" si="3"/>
        <v>0</v>
      </c>
      <c r="U103" s="36"/>
      <c r="V103" s="36"/>
      <c r="W103" s="36"/>
      <c r="X103" s="36"/>
      <c r="Y103" s="36"/>
      <c r="Z103" s="36"/>
      <c r="AA103" s="36"/>
      <c r="AB103" s="36"/>
      <c r="AC103" s="36"/>
      <c r="AD103" s="36"/>
      <c r="AE103" s="36"/>
      <c r="AR103" s="192" t="s">
        <v>1923</v>
      </c>
      <c r="AT103" s="192" t="s">
        <v>465</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787</v>
      </c>
      <c r="BM103" s="192" t="s">
        <v>128</v>
      </c>
    </row>
    <row r="104" spans="1:65" s="2" customFormat="1" ht="16.5" customHeight="1">
      <c r="A104" s="36"/>
      <c r="B104" s="37"/>
      <c r="C104" s="181" t="s">
        <v>420</v>
      </c>
      <c r="D104" s="181" t="s">
        <v>382</v>
      </c>
      <c r="E104" s="182" t="s">
        <v>4237</v>
      </c>
      <c r="F104" s="183" t="s">
        <v>4238</v>
      </c>
      <c r="G104" s="184" t="s">
        <v>452</v>
      </c>
      <c r="H104" s="185">
        <v>52</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787</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787</v>
      </c>
      <c r="BM104" s="192" t="s">
        <v>134</v>
      </c>
    </row>
    <row r="105" spans="1:65" s="2" customFormat="1" ht="16.5" customHeight="1">
      <c r="A105" s="36"/>
      <c r="B105" s="37"/>
      <c r="C105" s="227" t="s">
        <v>424</v>
      </c>
      <c r="D105" s="227" t="s">
        <v>465</v>
      </c>
      <c r="E105" s="228" t="s">
        <v>4239</v>
      </c>
      <c r="F105" s="229" t="s">
        <v>4240</v>
      </c>
      <c r="G105" s="230" t="s">
        <v>452</v>
      </c>
      <c r="H105" s="231">
        <v>52</v>
      </c>
      <c r="I105" s="232"/>
      <c r="J105" s="233">
        <f t="shared" si="0"/>
        <v>0</v>
      </c>
      <c r="K105" s="229" t="s">
        <v>19</v>
      </c>
      <c r="L105" s="234"/>
      <c r="M105" s="235" t="s">
        <v>19</v>
      </c>
      <c r="N105" s="236"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1923</v>
      </c>
      <c r="AT105" s="192" t="s">
        <v>465</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787</v>
      </c>
      <c r="BM105" s="192" t="s">
        <v>281</v>
      </c>
    </row>
    <row r="106" spans="1:65" s="2" customFormat="1" ht="16.5" customHeight="1">
      <c r="A106" s="36"/>
      <c r="B106" s="37"/>
      <c r="C106" s="181" t="s">
        <v>430</v>
      </c>
      <c r="D106" s="181" t="s">
        <v>382</v>
      </c>
      <c r="E106" s="182" t="s">
        <v>4241</v>
      </c>
      <c r="F106" s="183" t="s">
        <v>4242</v>
      </c>
      <c r="G106" s="184" t="s">
        <v>398</v>
      </c>
      <c r="H106" s="185">
        <v>15</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787</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787</v>
      </c>
      <c r="BM106" s="192" t="s">
        <v>477</v>
      </c>
    </row>
    <row r="107" spans="1:65" s="2" customFormat="1" ht="16.5" customHeight="1">
      <c r="A107" s="36"/>
      <c r="B107" s="37"/>
      <c r="C107" s="227" t="s">
        <v>122</v>
      </c>
      <c r="D107" s="227" t="s">
        <v>465</v>
      </c>
      <c r="E107" s="228" t="s">
        <v>4243</v>
      </c>
      <c r="F107" s="229" t="s">
        <v>4244</v>
      </c>
      <c r="G107" s="230" t="s">
        <v>452</v>
      </c>
      <c r="H107" s="231">
        <v>15</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1923</v>
      </c>
      <c r="AT107" s="192" t="s">
        <v>465</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787</v>
      </c>
      <c r="BM107" s="192" t="s">
        <v>486</v>
      </c>
    </row>
    <row r="108" spans="1:65" s="2" customFormat="1" ht="16.5" customHeight="1">
      <c r="A108" s="36"/>
      <c r="B108" s="37"/>
      <c r="C108" s="181" t="s">
        <v>125</v>
      </c>
      <c r="D108" s="181" t="s">
        <v>382</v>
      </c>
      <c r="E108" s="182" t="s">
        <v>4245</v>
      </c>
      <c r="F108" s="183" t="s">
        <v>4246</v>
      </c>
      <c r="G108" s="184" t="s">
        <v>452</v>
      </c>
      <c r="H108" s="185">
        <v>52</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787</v>
      </c>
      <c r="AT108" s="192" t="s">
        <v>382</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787</v>
      </c>
      <c r="BM108" s="192" t="s">
        <v>495</v>
      </c>
    </row>
    <row r="109" spans="1:65" s="2" customFormat="1" ht="16.5" customHeight="1">
      <c r="A109" s="36"/>
      <c r="B109" s="37"/>
      <c r="C109" s="227" t="s">
        <v>128</v>
      </c>
      <c r="D109" s="227" t="s">
        <v>465</v>
      </c>
      <c r="E109" s="228" t="s">
        <v>4247</v>
      </c>
      <c r="F109" s="229" t="s">
        <v>4248</v>
      </c>
      <c r="G109" s="230" t="s">
        <v>452</v>
      </c>
      <c r="H109" s="231">
        <v>52</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1923</v>
      </c>
      <c r="AT109" s="192" t="s">
        <v>465</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787</v>
      </c>
      <c r="BM109" s="192" t="s">
        <v>505</v>
      </c>
    </row>
    <row r="110" spans="1:65" s="2" customFormat="1" ht="16.5" customHeight="1">
      <c r="A110" s="36"/>
      <c r="B110" s="37"/>
      <c r="C110" s="181" t="s">
        <v>131</v>
      </c>
      <c r="D110" s="181" t="s">
        <v>382</v>
      </c>
      <c r="E110" s="182" t="s">
        <v>4249</v>
      </c>
      <c r="F110" s="183" t="s">
        <v>4250</v>
      </c>
      <c r="G110" s="184" t="s">
        <v>452</v>
      </c>
      <c r="H110" s="185">
        <v>120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787</v>
      </c>
      <c r="AT110" s="192" t="s">
        <v>382</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787</v>
      </c>
      <c r="BM110" s="192" t="s">
        <v>514</v>
      </c>
    </row>
    <row r="111" spans="1:65" s="2" customFormat="1" ht="16.5" customHeight="1">
      <c r="A111" s="36"/>
      <c r="B111" s="37"/>
      <c r="C111" s="227" t="s">
        <v>134</v>
      </c>
      <c r="D111" s="227" t="s">
        <v>465</v>
      </c>
      <c r="E111" s="228" t="s">
        <v>4251</v>
      </c>
      <c r="F111" s="229" t="s">
        <v>4252</v>
      </c>
      <c r="G111" s="230" t="s">
        <v>452</v>
      </c>
      <c r="H111" s="231">
        <v>120</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1923</v>
      </c>
      <c r="AT111" s="192" t="s">
        <v>465</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787</v>
      </c>
      <c r="BM111" s="192" t="s">
        <v>525</v>
      </c>
    </row>
    <row r="112" spans="1:65" s="2" customFormat="1" ht="16.5" customHeight="1">
      <c r="A112" s="36"/>
      <c r="B112" s="37"/>
      <c r="C112" s="181" t="s">
        <v>8</v>
      </c>
      <c r="D112" s="181" t="s">
        <v>382</v>
      </c>
      <c r="E112" s="182" t="s">
        <v>4253</v>
      </c>
      <c r="F112" s="183" t="s">
        <v>4254</v>
      </c>
      <c r="G112" s="184" t="s">
        <v>452</v>
      </c>
      <c r="H112" s="185">
        <v>64</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787</v>
      </c>
      <c r="AT112" s="192" t="s">
        <v>382</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787</v>
      </c>
      <c r="BM112" s="192" t="s">
        <v>534</v>
      </c>
    </row>
    <row r="113" spans="1:65" s="2" customFormat="1" ht="16.5" customHeight="1">
      <c r="A113" s="36"/>
      <c r="B113" s="37"/>
      <c r="C113" s="227" t="s">
        <v>281</v>
      </c>
      <c r="D113" s="227" t="s">
        <v>465</v>
      </c>
      <c r="E113" s="228" t="s">
        <v>4255</v>
      </c>
      <c r="F113" s="229" t="s">
        <v>4256</v>
      </c>
      <c r="G113" s="230" t="s">
        <v>452</v>
      </c>
      <c r="H113" s="231">
        <v>67.2</v>
      </c>
      <c r="I113" s="232"/>
      <c r="J113" s="233">
        <f t="shared" si="0"/>
        <v>0</v>
      </c>
      <c r="K113" s="229" t="s">
        <v>19</v>
      </c>
      <c r="L113" s="234"/>
      <c r="M113" s="235" t="s">
        <v>19</v>
      </c>
      <c r="N113" s="236" t="s">
        <v>43</v>
      </c>
      <c r="O113" s="66"/>
      <c r="P113" s="190">
        <f t="shared" si="1"/>
        <v>0</v>
      </c>
      <c r="Q113" s="190">
        <v>1E-4</v>
      </c>
      <c r="R113" s="190">
        <f t="shared" si="2"/>
        <v>6.7200000000000003E-3</v>
      </c>
      <c r="S113" s="190">
        <v>0</v>
      </c>
      <c r="T113" s="191">
        <f t="shared" si="3"/>
        <v>0</v>
      </c>
      <c r="U113" s="36"/>
      <c r="V113" s="36"/>
      <c r="W113" s="36"/>
      <c r="X113" s="36"/>
      <c r="Y113" s="36"/>
      <c r="Z113" s="36"/>
      <c r="AA113" s="36"/>
      <c r="AB113" s="36"/>
      <c r="AC113" s="36"/>
      <c r="AD113" s="36"/>
      <c r="AE113" s="36"/>
      <c r="AR113" s="192" t="s">
        <v>1923</v>
      </c>
      <c r="AT113" s="192" t="s">
        <v>465</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787</v>
      </c>
      <c r="BM113" s="192" t="s">
        <v>546</v>
      </c>
    </row>
    <row r="114" spans="1:65" s="14" customFormat="1" ht="11.25">
      <c r="B114" s="205"/>
      <c r="C114" s="206"/>
      <c r="D114" s="196" t="s">
        <v>388</v>
      </c>
      <c r="E114" s="207" t="s">
        <v>19</v>
      </c>
      <c r="F114" s="208" t="s">
        <v>4257</v>
      </c>
      <c r="G114" s="206"/>
      <c r="H114" s="209">
        <v>67.2</v>
      </c>
      <c r="I114" s="210"/>
      <c r="J114" s="206"/>
      <c r="K114" s="206"/>
      <c r="L114" s="211"/>
      <c r="M114" s="212"/>
      <c r="N114" s="213"/>
      <c r="O114" s="213"/>
      <c r="P114" s="213"/>
      <c r="Q114" s="213"/>
      <c r="R114" s="213"/>
      <c r="S114" s="213"/>
      <c r="T114" s="214"/>
      <c r="AT114" s="215" t="s">
        <v>388</v>
      </c>
      <c r="AU114" s="215" t="s">
        <v>79</v>
      </c>
      <c r="AV114" s="14" t="s">
        <v>82</v>
      </c>
      <c r="AW114" s="14" t="s">
        <v>33</v>
      </c>
      <c r="AX114" s="14" t="s">
        <v>72</v>
      </c>
      <c r="AY114" s="215" t="s">
        <v>380</v>
      </c>
    </row>
    <row r="115" spans="1:65" s="15" customFormat="1" ht="11.25">
      <c r="B115" s="216"/>
      <c r="C115" s="217"/>
      <c r="D115" s="196" t="s">
        <v>388</v>
      </c>
      <c r="E115" s="218" t="s">
        <v>19</v>
      </c>
      <c r="F115" s="219" t="s">
        <v>419</v>
      </c>
      <c r="G115" s="217"/>
      <c r="H115" s="220">
        <v>67.2</v>
      </c>
      <c r="I115" s="221"/>
      <c r="J115" s="217"/>
      <c r="K115" s="217"/>
      <c r="L115" s="222"/>
      <c r="M115" s="223"/>
      <c r="N115" s="224"/>
      <c r="O115" s="224"/>
      <c r="P115" s="224"/>
      <c r="Q115" s="224"/>
      <c r="R115" s="224"/>
      <c r="S115" s="224"/>
      <c r="T115" s="225"/>
      <c r="AT115" s="226" t="s">
        <v>388</v>
      </c>
      <c r="AU115" s="226" t="s">
        <v>79</v>
      </c>
      <c r="AV115" s="15" t="s">
        <v>386</v>
      </c>
      <c r="AW115" s="15" t="s">
        <v>33</v>
      </c>
      <c r="AX115" s="15" t="s">
        <v>79</v>
      </c>
      <c r="AY115" s="226" t="s">
        <v>380</v>
      </c>
    </row>
    <row r="116" spans="1:65" s="2" customFormat="1" ht="16.5" customHeight="1">
      <c r="A116" s="36"/>
      <c r="B116" s="37"/>
      <c r="C116" s="181" t="s">
        <v>471</v>
      </c>
      <c r="D116" s="181" t="s">
        <v>382</v>
      </c>
      <c r="E116" s="182" t="s">
        <v>4258</v>
      </c>
      <c r="F116" s="183" t="s">
        <v>4259</v>
      </c>
      <c r="G116" s="184" t="s">
        <v>452</v>
      </c>
      <c r="H116" s="185">
        <v>10214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787</v>
      </c>
      <c r="AT116" s="192" t="s">
        <v>382</v>
      </c>
      <c r="AU116" s="192" t="s">
        <v>79</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787</v>
      </c>
      <c r="BM116" s="192" t="s">
        <v>556</v>
      </c>
    </row>
    <row r="117" spans="1:65" s="2" customFormat="1" ht="16.5" customHeight="1">
      <c r="A117" s="36"/>
      <c r="B117" s="37"/>
      <c r="C117" s="227" t="s">
        <v>477</v>
      </c>
      <c r="D117" s="227" t="s">
        <v>465</v>
      </c>
      <c r="E117" s="228" t="s">
        <v>4260</v>
      </c>
      <c r="F117" s="229" t="s">
        <v>4261</v>
      </c>
      <c r="G117" s="230" t="s">
        <v>452</v>
      </c>
      <c r="H117" s="231">
        <v>9397.5</v>
      </c>
      <c r="I117" s="232"/>
      <c r="J117" s="233">
        <f>ROUND(I117*H117,2)</f>
        <v>0</v>
      </c>
      <c r="K117" s="229" t="s">
        <v>19</v>
      </c>
      <c r="L117" s="234"/>
      <c r="M117" s="235" t="s">
        <v>19</v>
      </c>
      <c r="N117" s="236" t="s">
        <v>43</v>
      </c>
      <c r="O117" s="66"/>
      <c r="P117" s="190">
        <f>O117*H117</f>
        <v>0</v>
      </c>
      <c r="Q117" s="190">
        <v>1.2E-4</v>
      </c>
      <c r="R117" s="190">
        <f>Q117*H117</f>
        <v>1.1276999999999999</v>
      </c>
      <c r="S117" s="190">
        <v>0</v>
      </c>
      <c r="T117" s="191">
        <f>S117*H117</f>
        <v>0</v>
      </c>
      <c r="U117" s="36"/>
      <c r="V117" s="36"/>
      <c r="W117" s="36"/>
      <c r="X117" s="36"/>
      <c r="Y117" s="36"/>
      <c r="Z117" s="36"/>
      <c r="AA117" s="36"/>
      <c r="AB117" s="36"/>
      <c r="AC117" s="36"/>
      <c r="AD117" s="36"/>
      <c r="AE117" s="36"/>
      <c r="AR117" s="192" t="s">
        <v>1923</v>
      </c>
      <c r="AT117" s="192" t="s">
        <v>465</v>
      </c>
      <c r="AU117" s="192" t="s">
        <v>79</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787</v>
      </c>
      <c r="BM117" s="192" t="s">
        <v>579</v>
      </c>
    </row>
    <row r="118" spans="1:65" s="14" customFormat="1" ht="11.25">
      <c r="B118" s="205"/>
      <c r="C118" s="206"/>
      <c r="D118" s="196" t="s">
        <v>388</v>
      </c>
      <c r="E118" s="207" t="s">
        <v>19</v>
      </c>
      <c r="F118" s="208" t="s">
        <v>4262</v>
      </c>
      <c r="G118" s="206"/>
      <c r="H118" s="209">
        <v>9397.5</v>
      </c>
      <c r="I118" s="210"/>
      <c r="J118" s="206"/>
      <c r="K118" s="206"/>
      <c r="L118" s="211"/>
      <c r="M118" s="212"/>
      <c r="N118" s="213"/>
      <c r="O118" s="213"/>
      <c r="P118" s="213"/>
      <c r="Q118" s="213"/>
      <c r="R118" s="213"/>
      <c r="S118" s="213"/>
      <c r="T118" s="214"/>
      <c r="AT118" s="215" t="s">
        <v>388</v>
      </c>
      <c r="AU118" s="215" t="s">
        <v>79</v>
      </c>
      <c r="AV118" s="14" t="s">
        <v>82</v>
      </c>
      <c r="AW118" s="14" t="s">
        <v>33</v>
      </c>
      <c r="AX118" s="14" t="s">
        <v>72</v>
      </c>
      <c r="AY118" s="215" t="s">
        <v>380</v>
      </c>
    </row>
    <row r="119" spans="1:65" s="15" customFormat="1" ht="11.25">
      <c r="B119" s="216"/>
      <c r="C119" s="217"/>
      <c r="D119" s="196" t="s">
        <v>388</v>
      </c>
      <c r="E119" s="218" t="s">
        <v>19</v>
      </c>
      <c r="F119" s="219" t="s">
        <v>419</v>
      </c>
      <c r="G119" s="217"/>
      <c r="H119" s="220">
        <v>9397.5</v>
      </c>
      <c r="I119" s="221"/>
      <c r="J119" s="217"/>
      <c r="K119" s="217"/>
      <c r="L119" s="222"/>
      <c r="M119" s="223"/>
      <c r="N119" s="224"/>
      <c r="O119" s="224"/>
      <c r="P119" s="224"/>
      <c r="Q119" s="224"/>
      <c r="R119" s="224"/>
      <c r="S119" s="224"/>
      <c r="T119" s="225"/>
      <c r="AT119" s="226" t="s">
        <v>388</v>
      </c>
      <c r="AU119" s="226" t="s">
        <v>79</v>
      </c>
      <c r="AV119" s="15" t="s">
        <v>386</v>
      </c>
      <c r="AW119" s="15" t="s">
        <v>33</v>
      </c>
      <c r="AX119" s="15" t="s">
        <v>79</v>
      </c>
      <c r="AY119" s="226" t="s">
        <v>380</v>
      </c>
    </row>
    <row r="120" spans="1:65" s="2" customFormat="1" ht="16.5" customHeight="1">
      <c r="A120" s="36"/>
      <c r="B120" s="37"/>
      <c r="C120" s="227" t="s">
        <v>284</v>
      </c>
      <c r="D120" s="227" t="s">
        <v>465</v>
      </c>
      <c r="E120" s="228" t="s">
        <v>4263</v>
      </c>
      <c r="F120" s="229" t="s">
        <v>4264</v>
      </c>
      <c r="G120" s="230" t="s">
        <v>452</v>
      </c>
      <c r="H120" s="231">
        <v>517</v>
      </c>
      <c r="I120" s="232"/>
      <c r="J120" s="233">
        <f>ROUND(I120*H120,2)</f>
        <v>0</v>
      </c>
      <c r="K120" s="229" t="s">
        <v>19</v>
      </c>
      <c r="L120" s="234"/>
      <c r="M120" s="235" t="s">
        <v>19</v>
      </c>
      <c r="N120" s="236" t="s">
        <v>43</v>
      </c>
      <c r="O120" s="66"/>
      <c r="P120" s="190">
        <f>O120*H120</f>
        <v>0</v>
      </c>
      <c r="Q120" s="190">
        <v>1.2E-4</v>
      </c>
      <c r="R120" s="190">
        <f>Q120*H120</f>
        <v>6.2040000000000005E-2</v>
      </c>
      <c r="S120" s="190">
        <v>0</v>
      </c>
      <c r="T120" s="191">
        <f>S120*H120</f>
        <v>0</v>
      </c>
      <c r="U120" s="36"/>
      <c r="V120" s="36"/>
      <c r="W120" s="36"/>
      <c r="X120" s="36"/>
      <c r="Y120" s="36"/>
      <c r="Z120" s="36"/>
      <c r="AA120" s="36"/>
      <c r="AB120" s="36"/>
      <c r="AC120" s="36"/>
      <c r="AD120" s="36"/>
      <c r="AE120" s="36"/>
      <c r="AR120" s="192" t="s">
        <v>1923</v>
      </c>
      <c r="AT120" s="192" t="s">
        <v>465</v>
      </c>
      <c r="AU120" s="192" t="s">
        <v>79</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787</v>
      </c>
      <c r="BM120" s="192" t="s">
        <v>619</v>
      </c>
    </row>
    <row r="121" spans="1:65" s="14" customFormat="1" ht="11.25">
      <c r="B121" s="205"/>
      <c r="C121" s="206"/>
      <c r="D121" s="196" t="s">
        <v>388</v>
      </c>
      <c r="E121" s="207" t="s">
        <v>19</v>
      </c>
      <c r="F121" s="208" t="s">
        <v>4265</v>
      </c>
      <c r="G121" s="206"/>
      <c r="H121" s="209">
        <v>517</v>
      </c>
      <c r="I121" s="210"/>
      <c r="J121" s="206"/>
      <c r="K121" s="206"/>
      <c r="L121" s="211"/>
      <c r="M121" s="212"/>
      <c r="N121" s="213"/>
      <c r="O121" s="213"/>
      <c r="P121" s="213"/>
      <c r="Q121" s="213"/>
      <c r="R121" s="213"/>
      <c r="S121" s="213"/>
      <c r="T121" s="214"/>
      <c r="AT121" s="215" t="s">
        <v>388</v>
      </c>
      <c r="AU121" s="215" t="s">
        <v>79</v>
      </c>
      <c r="AV121" s="14" t="s">
        <v>82</v>
      </c>
      <c r="AW121" s="14" t="s">
        <v>33</v>
      </c>
      <c r="AX121" s="14" t="s">
        <v>72</v>
      </c>
      <c r="AY121" s="215" t="s">
        <v>380</v>
      </c>
    </row>
    <row r="122" spans="1:65" s="15" customFormat="1" ht="11.25">
      <c r="B122" s="216"/>
      <c r="C122" s="217"/>
      <c r="D122" s="196" t="s">
        <v>388</v>
      </c>
      <c r="E122" s="218" t="s">
        <v>19</v>
      </c>
      <c r="F122" s="219" t="s">
        <v>419</v>
      </c>
      <c r="G122" s="217"/>
      <c r="H122" s="220">
        <v>517</v>
      </c>
      <c r="I122" s="221"/>
      <c r="J122" s="217"/>
      <c r="K122" s="217"/>
      <c r="L122" s="222"/>
      <c r="M122" s="223"/>
      <c r="N122" s="224"/>
      <c r="O122" s="224"/>
      <c r="P122" s="224"/>
      <c r="Q122" s="224"/>
      <c r="R122" s="224"/>
      <c r="S122" s="224"/>
      <c r="T122" s="225"/>
      <c r="AT122" s="226" t="s">
        <v>388</v>
      </c>
      <c r="AU122" s="226" t="s">
        <v>79</v>
      </c>
      <c r="AV122" s="15" t="s">
        <v>386</v>
      </c>
      <c r="AW122" s="15" t="s">
        <v>33</v>
      </c>
      <c r="AX122" s="15" t="s">
        <v>79</v>
      </c>
      <c r="AY122" s="226" t="s">
        <v>380</v>
      </c>
    </row>
    <row r="123" spans="1:65" s="2" customFormat="1" ht="16.5" customHeight="1">
      <c r="A123" s="36"/>
      <c r="B123" s="37"/>
      <c r="C123" s="227" t="s">
        <v>486</v>
      </c>
      <c r="D123" s="227" t="s">
        <v>465</v>
      </c>
      <c r="E123" s="228" t="s">
        <v>4266</v>
      </c>
      <c r="F123" s="229" t="s">
        <v>4267</v>
      </c>
      <c r="G123" s="230" t="s">
        <v>452</v>
      </c>
      <c r="H123" s="231">
        <v>833.7</v>
      </c>
      <c r="I123" s="232"/>
      <c r="J123" s="233">
        <f>ROUND(I123*H123,2)</f>
        <v>0</v>
      </c>
      <c r="K123" s="229" t="s">
        <v>19</v>
      </c>
      <c r="L123" s="234"/>
      <c r="M123" s="235" t="s">
        <v>19</v>
      </c>
      <c r="N123" s="236" t="s">
        <v>43</v>
      </c>
      <c r="O123" s="66"/>
      <c r="P123" s="190">
        <f>O123*H123</f>
        <v>0</v>
      </c>
      <c r="Q123" s="190">
        <v>1.2E-4</v>
      </c>
      <c r="R123" s="190">
        <f>Q123*H123</f>
        <v>0.10004400000000001</v>
      </c>
      <c r="S123" s="190">
        <v>0</v>
      </c>
      <c r="T123" s="191">
        <f>S123*H123</f>
        <v>0</v>
      </c>
      <c r="U123" s="36"/>
      <c r="V123" s="36"/>
      <c r="W123" s="36"/>
      <c r="X123" s="36"/>
      <c r="Y123" s="36"/>
      <c r="Z123" s="36"/>
      <c r="AA123" s="36"/>
      <c r="AB123" s="36"/>
      <c r="AC123" s="36"/>
      <c r="AD123" s="36"/>
      <c r="AE123" s="36"/>
      <c r="AR123" s="192" t="s">
        <v>1923</v>
      </c>
      <c r="AT123" s="192" t="s">
        <v>465</v>
      </c>
      <c r="AU123" s="192" t="s">
        <v>79</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787</v>
      </c>
      <c r="BM123" s="192" t="s">
        <v>631</v>
      </c>
    </row>
    <row r="124" spans="1:65" s="14" customFormat="1" ht="11.25">
      <c r="B124" s="205"/>
      <c r="C124" s="206"/>
      <c r="D124" s="196" t="s">
        <v>388</v>
      </c>
      <c r="E124" s="207" t="s">
        <v>19</v>
      </c>
      <c r="F124" s="208" t="s">
        <v>4268</v>
      </c>
      <c r="G124" s="206"/>
      <c r="H124" s="209">
        <v>833.7</v>
      </c>
      <c r="I124" s="210"/>
      <c r="J124" s="206"/>
      <c r="K124" s="206"/>
      <c r="L124" s="211"/>
      <c r="M124" s="212"/>
      <c r="N124" s="213"/>
      <c r="O124" s="213"/>
      <c r="P124" s="213"/>
      <c r="Q124" s="213"/>
      <c r="R124" s="213"/>
      <c r="S124" s="213"/>
      <c r="T124" s="214"/>
      <c r="AT124" s="215" t="s">
        <v>388</v>
      </c>
      <c r="AU124" s="215" t="s">
        <v>79</v>
      </c>
      <c r="AV124" s="14" t="s">
        <v>82</v>
      </c>
      <c r="AW124" s="14" t="s">
        <v>33</v>
      </c>
      <c r="AX124" s="14" t="s">
        <v>72</v>
      </c>
      <c r="AY124" s="215" t="s">
        <v>380</v>
      </c>
    </row>
    <row r="125" spans="1:65" s="15" customFormat="1" ht="11.25">
      <c r="B125" s="216"/>
      <c r="C125" s="217"/>
      <c r="D125" s="196" t="s">
        <v>388</v>
      </c>
      <c r="E125" s="218" t="s">
        <v>19</v>
      </c>
      <c r="F125" s="219" t="s">
        <v>419</v>
      </c>
      <c r="G125" s="217"/>
      <c r="H125" s="220">
        <v>833.7</v>
      </c>
      <c r="I125" s="221"/>
      <c r="J125" s="217"/>
      <c r="K125" s="217"/>
      <c r="L125" s="222"/>
      <c r="M125" s="223"/>
      <c r="N125" s="224"/>
      <c r="O125" s="224"/>
      <c r="P125" s="224"/>
      <c r="Q125" s="224"/>
      <c r="R125" s="224"/>
      <c r="S125" s="224"/>
      <c r="T125" s="225"/>
      <c r="AT125" s="226" t="s">
        <v>388</v>
      </c>
      <c r="AU125" s="226" t="s">
        <v>79</v>
      </c>
      <c r="AV125" s="15" t="s">
        <v>386</v>
      </c>
      <c r="AW125" s="15" t="s">
        <v>33</v>
      </c>
      <c r="AX125" s="15" t="s">
        <v>79</v>
      </c>
      <c r="AY125" s="226" t="s">
        <v>380</v>
      </c>
    </row>
    <row r="126" spans="1:65" s="2" customFormat="1" ht="16.5" customHeight="1">
      <c r="A126" s="36"/>
      <c r="B126" s="37"/>
      <c r="C126" s="181" t="s">
        <v>7</v>
      </c>
      <c r="D126" s="181" t="s">
        <v>382</v>
      </c>
      <c r="E126" s="182" t="s">
        <v>4269</v>
      </c>
      <c r="F126" s="183" t="s">
        <v>4270</v>
      </c>
      <c r="G126" s="184" t="s">
        <v>452</v>
      </c>
      <c r="H126" s="185">
        <v>6236</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787</v>
      </c>
      <c r="AT126" s="192" t="s">
        <v>382</v>
      </c>
      <c r="AU126" s="192" t="s">
        <v>79</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787</v>
      </c>
      <c r="BM126" s="192" t="s">
        <v>644</v>
      </c>
    </row>
    <row r="127" spans="1:65" s="2" customFormat="1" ht="16.5" customHeight="1">
      <c r="A127" s="36"/>
      <c r="B127" s="37"/>
      <c r="C127" s="227" t="s">
        <v>495</v>
      </c>
      <c r="D127" s="227" t="s">
        <v>465</v>
      </c>
      <c r="E127" s="228" t="s">
        <v>4271</v>
      </c>
      <c r="F127" s="229" t="s">
        <v>4272</v>
      </c>
      <c r="G127" s="230" t="s">
        <v>452</v>
      </c>
      <c r="H127" s="231">
        <v>5985</v>
      </c>
      <c r="I127" s="232"/>
      <c r="J127" s="233">
        <f>ROUND(I127*H127,2)</f>
        <v>0</v>
      </c>
      <c r="K127" s="229" t="s">
        <v>19</v>
      </c>
      <c r="L127" s="234"/>
      <c r="M127" s="235" t="s">
        <v>19</v>
      </c>
      <c r="N127" s="236" t="s">
        <v>43</v>
      </c>
      <c r="O127" s="66"/>
      <c r="P127" s="190">
        <f>O127*H127</f>
        <v>0</v>
      </c>
      <c r="Q127" s="190">
        <v>1.7000000000000001E-4</v>
      </c>
      <c r="R127" s="190">
        <f>Q127*H127</f>
        <v>1.01745</v>
      </c>
      <c r="S127" s="190">
        <v>0</v>
      </c>
      <c r="T127" s="191">
        <f>S127*H127</f>
        <v>0</v>
      </c>
      <c r="U127" s="36"/>
      <c r="V127" s="36"/>
      <c r="W127" s="36"/>
      <c r="X127" s="36"/>
      <c r="Y127" s="36"/>
      <c r="Z127" s="36"/>
      <c r="AA127" s="36"/>
      <c r="AB127" s="36"/>
      <c r="AC127" s="36"/>
      <c r="AD127" s="36"/>
      <c r="AE127" s="36"/>
      <c r="AR127" s="192" t="s">
        <v>1923</v>
      </c>
      <c r="AT127" s="192" t="s">
        <v>465</v>
      </c>
      <c r="AU127" s="192" t="s">
        <v>79</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787</v>
      </c>
      <c r="BM127" s="192" t="s">
        <v>652</v>
      </c>
    </row>
    <row r="128" spans="1:65" s="14" customFormat="1" ht="11.25">
      <c r="B128" s="205"/>
      <c r="C128" s="206"/>
      <c r="D128" s="196" t="s">
        <v>388</v>
      </c>
      <c r="E128" s="207" t="s">
        <v>19</v>
      </c>
      <c r="F128" s="208" t="s">
        <v>4273</v>
      </c>
      <c r="G128" s="206"/>
      <c r="H128" s="209">
        <v>5985</v>
      </c>
      <c r="I128" s="210"/>
      <c r="J128" s="206"/>
      <c r="K128" s="206"/>
      <c r="L128" s="211"/>
      <c r="M128" s="212"/>
      <c r="N128" s="213"/>
      <c r="O128" s="213"/>
      <c r="P128" s="213"/>
      <c r="Q128" s="213"/>
      <c r="R128" s="213"/>
      <c r="S128" s="213"/>
      <c r="T128" s="214"/>
      <c r="AT128" s="215" t="s">
        <v>388</v>
      </c>
      <c r="AU128" s="215" t="s">
        <v>79</v>
      </c>
      <c r="AV128" s="14" t="s">
        <v>82</v>
      </c>
      <c r="AW128" s="14" t="s">
        <v>33</v>
      </c>
      <c r="AX128" s="14" t="s">
        <v>72</v>
      </c>
      <c r="AY128" s="215" t="s">
        <v>380</v>
      </c>
    </row>
    <row r="129" spans="1:65" s="15" customFormat="1" ht="11.25">
      <c r="B129" s="216"/>
      <c r="C129" s="217"/>
      <c r="D129" s="196" t="s">
        <v>388</v>
      </c>
      <c r="E129" s="218" t="s">
        <v>19</v>
      </c>
      <c r="F129" s="219" t="s">
        <v>419</v>
      </c>
      <c r="G129" s="217"/>
      <c r="H129" s="220">
        <v>5985</v>
      </c>
      <c r="I129" s="221"/>
      <c r="J129" s="217"/>
      <c r="K129" s="217"/>
      <c r="L129" s="222"/>
      <c r="M129" s="223"/>
      <c r="N129" s="224"/>
      <c r="O129" s="224"/>
      <c r="P129" s="224"/>
      <c r="Q129" s="224"/>
      <c r="R129" s="224"/>
      <c r="S129" s="224"/>
      <c r="T129" s="225"/>
      <c r="AT129" s="226" t="s">
        <v>388</v>
      </c>
      <c r="AU129" s="226" t="s">
        <v>79</v>
      </c>
      <c r="AV129" s="15" t="s">
        <v>386</v>
      </c>
      <c r="AW129" s="15" t="s">
        <v>33</v>
      </c>
      <c r="AX129" s="15" t="s">
        <v>79</v>
      </c>
      <c r="AY129" s="226" t="s">
        <v>380</v>
      </c>
    </row>
    <row r="130" spans="1:65" s="2" customFormat="1" ht="16.5" customHeight="1">
      <c r="A130" s="36"/>
      <c r="B130" s="37"/>
      <c r="C130" s="227" t="s">
        <v>500</v>
      </c>
      <c r="D130" s="227" t="s">
        <v>465</v>
      </c>
      <c r="E130" s="228" t="s">
        <v>4274</v>
      </c>
      <c r="F130" s="229" t="s">
        <v>4275</v>
      </c>
      <c r="G130" s="230" t="s">
        <v>452</v>
      </c>
      <c r="H130" s="231">
        <v>386.4</v>
      </c>
      <c r="I130" s="232"/>
      <c r="J130" s="233">
        <f>ROUND(I130*H130,2)</f>
        <v>0</v>
      </c>
      <c r="K130" s="229" t="s">
        <v>19</v>
      </c>
      <c r="L130" s="234"/>
      <c r="M130" s="235" t="s">
        <v>19</v>
      </c>
      <c r="N130" s="236" t="s">
        <v>43</v>
      </c>
      <c r="O130" s="66"/>
      <c r="P130" s="190">
        <f>O130*H130</f>
        <v>0</v>
      </c>
      <c r="Q130" s="190">
        <v>2.3000000000000001E-4</v>
      </c>
      <c r="R130" s="190">
        <f>Q130*H130</f>
        <v>8.8871999999999993E-2</v>
      </c>
      <c r="S130" s="190">
        <v>0</v>
      </c>
      <c r="T130" s="191">
        <f>S130*H130</f>
        <v>0</v>
      </c>
      <c r="U130" s="36"/>
      <c r="V130" s="36"/>
      <c r="W130" s="36"/>
      <c r="X130" s="36"/>
      <c r="Y130" s="36"/>
      <c r="Z130" s="36"/>
      <c r="AA130" s="36"/>
      <c r="AB130" s="36"/>
      <c r="AC130" s="36"/>
      <c r="AD130" s="36"/>
      <c r="AE130" s="36"/>
      <c r="AR130" s="192" t="s">
        <v>1923</v>
      </c>
      <c r="AT130" s="192" t="s">
        <v>465</v>
      </c>
      <c r="AU130" s="192" t="s">
        <v>79</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787</v>
      </c>
      <c r="BM130" s="192" t="s">
        <v>660</v>
      </c>
    </row>
    <row r="131" spans="1:65" s="14" customFormat="1" ht="11.25">
      <c r="B131" s="205"/>
      <c r="C131" s="206"/>
      <c r="D131" s="196" t="s">
        <v>388</v>
      </c>
      <c r="E131" s="207" t="s">
        <v>19</v>
      </c>
      <c r="F131" s="208" t="s">
        <v>4276</v>
      </c>
      <c r="G131" s="206"/>
      <c r="H131" s="209">
        <v>386.4</v>
      </c>
      <c r="I131" s="210"/>
      <c r="J131" s="206"/>
      <c r="K131" s="206"/>
      <c r="L131" s="211"/>
      <c r="M131" s="212"/>
      <c r="N131" s="213"/>
      <c r="O131" s="213"/>
      <c r="P131" s="213"/>
      <c r="Q131" s="213"/>
      <c r="R131" s="213"/>
      <c r="S131" s="213"/>
      <c r="T131" s="214"/>
      <c r="AT131" s="215" t="s">
        <v>388</v>
      </c>
      <c r="AU131" s="215" t="s">
        <v>79</v>
      </c>
      <c r="AV131" s="14" t="s">
        <v>82</v>
      </c>
      <c r="AW131" s="14" t="s">
        <v>33</v>
      </c>
      <c r="AX131" s="14" t="s">
        <v>72</v>
      </c>
      <c r="AY131" s="215" t="s">
        <v>380</v>
      </c>
    </row>
    <row r="132" spans="1:65" s="15" customFormat="1" ht="11.25">
      <c r="B132" s="216"/>
      <c r="C132" s="217"/>
      <c r="D132" s="196" t="s">
        <v>388</v>
      </c>
      <c r="E132" s="218" t="s">
        <v>19</v>
      </c>
      <c r="F132" s="219" t="s">
        <v>419</v>
      </c>
      <c r="G132" s="217"/>
      <c r="H132" s="220">
        <v>386.4</v>
      </c>
      <c r="I132" s="221"/>
      <c r="J132" s="217"/>
      <c r="K132" s="217"/>
      <c r="L132" s="222"/>
      <c r="M132" s="223"/>
      <c r="N132" s="224"/>
      <c r="O132" s="224"/>
      <c r="P132" s="224"/>
      <c r="Q132" s="224"/>
      <c r="R132" s="224"/>
      <c r="S132" s="224"/>
      <c r="T132" s="225"/>
      <c r="AT132" s="226" t="s">
        <v>388</v>
      </c>
      <c r="AU132" s="226" t="s">
        <v>79</v>
      </c>
      <c r="AV132" s="15" t="s">
        <v>386</v>
      </c>
      <c r="AW132" s="15" t="s">
        <v>33</v>
      </c>
      <c r="AX132" s="15" t="s">
        <v>79</v>
      </c>
      <c r="AY132" s="226" t="s">
        <v>380</v>
      </c>
    </row>
    <row r="133" spans="1:65" s="2" customFormat="1" ht="16.5" customHeight="1">
      <c r="A133" s="36"/>
      <c r="B133" s="37"/>
      <c r="C133" s="227" t="s">
        <v>505</v>
      </c>
      <c r="D133" s="227" t="s">
        <v>465</v>
      </c>
      <c r="E133" s="228" t="s">
        <v>4277</v>
      </c>
      <c r="F133" s="229" t="s">
        <v>4278</v>
      </c>
      <c r="G133" s="230" t="s">
        <v>452</v>
      </c>
      <c r="H133" s="231">
        <v>176.4</v>
      </c>
      <c r="I133" s="232"/>
      <c r="J133" s="233">
        <f>ROUND(I133*H133,2)</f>
        <v>0</v>
      </c>
      <c r="K133" s="229" t="s">
        <v>19</v>
      </c>
      <c r="L133" s="234"/>
      <c r="M133" s="235" t="s">
        <v>19</v>
      </c>
      <c r="N133" s="236" t="s">
        <v>43</v>
      </c>
      <c r="O133" s="66"/>
      <c r="P133" s="190">
        <f>O133*H133</f>
        <v>0</v>
      </c>
      <c r="Q133" s="190">
        <v>3.5E-4</v>
      </c>
      <c r="R133" s="190">
        <f>Q133*H133</f>
        <v>6.1740000000000003E-2</v>
      </c>
      <c r="S133" s="190">
        <v>0</v>
      </c>
      <c r="T133" s="191">
        <f>S133*H133</f>
        <v>0</v>
      </c>
      <c r="U133" s="36"/>
      <c r="V133" s="36"/>
      <c r="W133" s="36"/>
      <c r="X133" s="36"/>
      <c r="Y133" s="36"/>
      <c r="Z133" s="36"/>
      <c r="AA133" s="36"/>
      <c r="AB133" s="36"/>
      <c r="AC133" s="36"/>
      <c r="AD133" s="36"/>
      <c r="AE133" s="36"/>
      <c r="AR133" s="192" t="s">
        <v>1923</v>
      </c>
      <c r="AT133" s="192" t="s">
        <v>465</v>
      </c>
      <c r="AU133" s="192" t="s">
        <v>79</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787</v>
      </c>
      <c r="BM133" s="192" t="s">
        <v>668</v>
      </c>
    </row>
    <row r="134" spans="1:65" s="14" customFormat="1" ht="11.25">
      <c r="B134" s="205"/>
      <c r="C134" s="206"/>
      <c r="D134" s="196" t="s">
        <v>388</v>
      </c>
      <c r="E134" s="207" t="s">
        <v>19</v>
      </c>
      <c r="F134" s="208" t="s">
        <v>4279</v>
      </c>
      <c r="G134" s="206"/>
      <c r="H134" s="209">
        <v>176.4</v>
      </c>
      <c r="I134" s="210"/>
      <c r="J134" s="206"/>
      <c r="K134" s="206"/>
      <c r="L134" s="211"/>
      <c r="M134" s="212"/>
      <c r="N134" s="213"/>
      <c r="O134" s="213"/>
      <c r="P134" s="213"/>
      <c r="Q134" s="213"/>
      <c r="R134" s="213"/>
      <c r="S134" s="213"/>
      <c r="T134" s="214"/>
      <c r="AT134" s="215" t="s">
        <v>388</v>
      </c>
      <c r="AU134" s="215" t="s">
        <v>79</v>
      </c>
      <c r="AV134" s="14" t="s">
        <v>82</v>
      </c>
      <c r="AW134" s="14" t="s">
        <v>33</v>
      </c>
      <c r="AX134" s="14" t="s">
        <v>72</v>
      </c>
      <c r="AY134" s="215" t="s">
        <v>380</v>
      </c>
    </row>
    <row r="135" spans="1:65" s="15" customFormat="1" ht="11.25">
      <c r="B135" s="216"/>
      <c r="C135" s="217"/>
      <c r="D135" s="196" t="s">
        <v>388</v>
      </c>
      <c r="E135" s="218" t="s">
        <v>19</v>
      </c>
      <c r="F135" s="219" t="s">
        <v>419</v>
      </c>
      <c r="G135" s="217"/>
      <c r="H135" s="220">
        <v>176.4</v>
      </c>
      <c r="I135" s="221"/>
      <c r="J135" s="217"/>
      <c r="K135" s="217"/>
      <c r="L135" s="222"/>
      <c r="M135" s="223"/>
      <c r="N135" s="224"/>
      <c r="O135" s="224"/>
      <c r="P135" s="224"/>
      <c r="Q135" s="224"/>
      <c r="R135" s="224"/>
      <c r="S135" s="224"/>
      <c r="T135" s="225"/>
      <c r="AT135" s="226" t="s">
        <v>388</v>
      </c>
      <c r="AU135" s="226" t="s">
        <v>79</v>
      </c>
      <c r="AV135" s="15" t="s">
        <v>386</v>
      </c>
      <c r="AW135" s="15" t="s">
        <v>33</v>
      </c>
      <c r="AX135" s="15" t="s">
        <v>79</v>
      </c>
      <c r="AY135" s="226" t="s">
        <v>380</v>
      </c>
    </row>
    <row r="136" spans="1:65" s="2" customFormat="1" ht="16.5" customHeight="1">
      <c r="A136" s="36"/>
      <c r="B136" s="37"/>
      <c r="C136" s="181" t="s">
        <v>509</v>
      </c>
      <c r="D136" s="181" t="s">
        <v>382</v>
      </c>
      <c r="E136" s="182" t="s">
        <v>4280</v>
      </c>
      <c r="F136" s="183" t="s">
        <v>4281</v>
      </c>
      <c r="G136" s="184" t="s">
        <v>452</v>
      </c>
      <c r="H136" s="185">
        <v>980</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787</v>
      </c>
      <c r="AT136" s="192" t="s">
        <v>382</v>
      </c>
      <c r="AU136" s="192" t="s">
        <v>79</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787</v>
      </c>
      <c r="BM136" s="192" t="s">
        <v>677</v>
      </c>
    </row>
    <row r="137" spans="1:65" s="2" customFormat="1" ht="16.5" customHeight="1">
      <c r="A137" s="36"/>
      <c r="B137" s="37"/>
      <c r="C137" s="227" t="s">
        <v>514</v>
      </c>
      <c r="D137" s="227" t="s">
        <v>465</v>
      </c>
      <c r="E137" s="228" t="s">
        <v>4282</v>
      </c>
      <c r="F137" s="229" t="s">
        <v>4283</v>
      </c>
      <c r="G137" s="230" t="s">
        <v>452</v>
      </c>
      <c r="H137" s="231">
        <v>705.6</v>
      </c>
      <c r="I137" s="232"/>
      <c r="J137" s="233">
        <f>ROUND(I137*H137,2)</f>
        <v>0</v>
      </c>
      <c r="K137" s="229" t="s">
        <v>19</v>
      </c>
      <c r="L137" s="234"/>
      <c r="M137" s="235" t="s">
        <v>19</v>
      </c>
      <c r="N137" s="236" t="s">
        <v>43</v>
      </c>
      <c r="O137" s="66"/>
      <c r="P137" s="190">
        <f>O137*H137</f>
        <v>0</v>
      </c>
      <c r="Q137" s="190">
        <v>1.6000000000000001E-4</v>
      </c>
      <c r="R137" s="190">
        <f>Q137*H137</f>
        <v>0.11289600000000001</v>
      </c>
      <c r="S137" s="190">
        <v>0</v>
      </c>
      <c r="T137" s="191">
        <f>S137*H137</f>
        <v>0</v>
      </c>
      <c r="U137" s="36"/>
      <c r="V137" s="36"/>
      <c r="W137" s="36"/>
      <c r="X137" s="36"/>
      <c r="Y137" s="36"/>
      <c r="Z137" s="36"/>
      <c r="AA137" s="36"/>
      <c r="AB137" s="36"/>
      <c r="AC137" s="36"/>
      <c r="AD137" s="36"/>
      <c r="AE137" s="36"/>
      <c r="AR137" s="192" t="s">
        <v>1923</v>
      </c>
      <c r="AT137" s="192" t="s">
        <v>465</v>
      </c>
      <c r="AU137" s="192" t="s">
        <v>79</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787</v>
      </c>
      <c r="BM137" s="192" t="s">
        <v>699</v>
      </c>
    </row>
    <row r="138" spans="1:65" s="14" customFormat="1" ht="11.25">
      <c r="B138" s="205"/>
      <c r="C138" s="206"/>
      <c r="D138" s="196" t="s">
        <v>388</v>
      </c>
      <c r="E138" s="207" t="s">
        <v>19</v>
      </c>
      <c r="F138" s="208" t="s">
        <v>4284</v>
      </c>
      <c r="G138" s="206"/>
      <c r="H138" s="209">
        <v>705.6</v>
      </c>
      <c r="I138" s="210"/>
      <c r="J138" s="206"/>
      <c r="K138" s="206"/>
      <c r="L138" s="211"/>
      <c r="M138" s="212"/>
      <c r="N138" s="213"/>
      <c r="O138" s="213"/>
      <c r="P138" s="213"/>
      <c r="Q138" s="213"/>
      <c r="R138" s="213"/>
      <c r="S138" s="213"/>
      <c r="T138" s="214"/>
      <c r="AT138" s="215" t="s">
        <v>388</v>
      </c>
      <c r="AU138" s="215" t="s">
        <v>79</v>
      </c>
      <c r="AV138" s="14" t="s">
        <v>82</v>
      </c>
      <c r="AW138" s="14" t="s">
        <v>33</v>
      </c>
      <c r="AX138" s="14" t="s">
        <v>72</v>
      </c>
      <c r="AY138" s="215" t="s">
        <v>380</v>
      </c>
    </row>
    <row r="139" spans="1:65" s="15" customFormat="1" ht="11.25">
      <c r="B139" s="216"/>
      <c r="C139" s="217"/>
      <c r="D139" s="196" t="s">
        <v>388</v>
      </c>
      <c r="E139" s="218" t="s">
        <v>19</v>
      </c>
      <c r="F139" s="219" t="s">
        <v>419</v>
      </c>
      <c r="G139" s="217"/>
      <c r="H139" s="220">
        <v>705.6</v>
      </c>
      <c r="I139" s="221"/>
      <c r="J139" s="217"/>
      <c r="K139" s="217"/>
      <c r="L139" s="222"/>
      <c r="M139" s="223"/>
      <c r="N139" s="224"/>
      <c r="O139" s="224"/>
      <c r="P139" s="224"/>
      <c r="Q139" s="224"/>
      <c r="R139" s="224"/>
      <c r="S139" s="224"/>
      <c r="T139" s="225"/>
      <c r="AT139" s="226" t="s">
        <v>388</v>
      </c>
      <c r="AU139" s="226" t="s">
        <v>79</v>
      </c>
      <c r="AV139" s="15" t="s">
        <v>386</v>
      </c>
      <c r="AW139" s="15" t="s">
        <v>33</v>
      </c>
      <c r="AX139" s="15" t="s">
        <v>79</v>
      </c>
      <c r="AY139" s="226" t="s">
        <v>380</v>
      </c>
    </row>
    <row r="140" spans="1:65" s="2" customFormat="1" ht="16.5" customHeight="1">
      <c r="A140" s="36"/>
      <c r="B140" s="37"/>
      <c r="C140" s="227" t="s">
        <v>520</v>
      </c>
      <c r="D140" s="227" t="s">
        <v>465</v>
      </c>
      <c r="E140" s="228" t="s">
        <v>4285</v>
      </c>
      <c r="F140" s="229" t="s">
        <v>4286</v>
      </c>
      <c r="G140" s="230" t="s">
        <v>452</v>
      </c>
      <c r="H140" s="231">
        <v>323.39999999999998</v>
      </c>
      <c r="I140" s="232"/>
      <c r="J140" s="233">
        <f>ROUND(I140*H140,2)</f>
        <v>0</v>
      </c>
      <c r="K140" s="229" t="s">
        <v>19</v>
      </c>
      <c r="L140" s="234"/>
      <c r="M140" s="235" t="s">
        <v>19</v>
      </c>
      <c r="N140" s="236" t="s">
        <v>43</v>
      </c>
      <c r="O140" s="66"/>
      <c r="P140" s="190">
        <f>O140*H140</f>
        <v>0</v>
      </c>
      <c r="Q140" s="190">
        <v>2.5000000000000001E-4</v>
      </c>
      <c r="R140" s="190">
        <f>Q140*H140</f>
        <v>8.0849999999999991E-2</v>
      </c>
      <c r="S140" s="190">
        <v>0</v>
      </c>
      <c r="T140" s="191">
        <f>S140*H140</f>
        <v>0</v>
      </c>
      <c r="U140" s="36"/>
      <c r="V140" s="36"/>
      <c r="W140" s="36"/>
      <c r="X140" s="36"/>
      <c r="Y140" s="36"/>
      <c r="Z140" s="36"/>
      <c r="AA140" s="36"/>
      <c r="AB140" s="36"/>
      <c r="AC140" s="36"/>
      <c r="AD140" s="36"/>
      <c r="AE140" s="36"/>
      <c r="AR140" s="192" t="s">
        <v>1923</v>
      </c>
      <c r="AT140" s="192" t="s">
        <v>465</v>
      </c>
      <c r="AU140" s="192" t="s">
        <v>79</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787</v>
      </c>
      <c r="BM140" s="192" t="s">
        <v>709</v>
      </c>
    </row>
    <row r="141" spans="1:65" s="14" customFormat="1" ht="11.25">
      <c r="B141" s="205"/>
      <c r="C141" s="206"/>
      <c r="D141" s="196" t="s">
        <v>388</v>
      </c>
      <c r="E141" s="207" t="s">
        <v>19</v>
      </c>
      <c r="F141" s="208" t="s">
        <v>4287</v>
      </c>
      <c r="G141" s="206"/>
      <c r="H141" s="209">
        <v>323.39999999999998</v>
      </c>
      <c r="I141" s="210"/>
      <c r="J141" s="206"/>
      <c r="K141" s="206"/>
      <c r="L141" s="211"/>
      <c r="M141" s="212"/>
      <c r="N141" s="213"/>
      <c r="O141" s="213"/>
      <c r="P141" s="213"/>
      <c r="Q141" s="213"/>
      <c r="R141" s="213"/>
      <c r="S141" s="213"/>
      <c r="T141" s="214"/>
      <c r="AT141" s="215" t="s">
        <v>388</v>
      </c>
      <c r="AU141" s="215" t="s">
        <v>79</v>
      </c>
      <c r="AV141" s="14" t="s">
        <v>82</v>
      </c>
      <c r="AW141" s="14" t="s">
        <v>33</v>
      </c>
      <c r="AX141" s="14" t="s">
        <v>72</v>
      </c>
      <c r="AY141" s="215" t="s">
        <v>380</v>
      </c>
    </row>
    <row r="142" spans="1:65" s="15" customFormat="1" ht="11.25">
      <c r="B142" s="216"/>
      <c r="C142" s="217"/>
      <c r="D142" s="196" t="s">
        <v>388</v>
      </c>
      <c r="E142" s="218" t="s">
        <v>19</v>
      </c>
      <c r="F142" s="219" t="s">
        <v>419</v>
      </c>
      <c r="G142" s="217"/>
      <c r="H142" s="220">
        <v>323.39999999999998</v>
      </c>
      <c r="I142" s="221"/>
      <c r="J142" s="217"/>
      <c r="K142" s="217"/>
      <c r="L142" s="222"/>
      <c r="M142" s="223"/>
      <c r="N142" s="224"/>
      <c r="O142" s="224"/>
      <c r="P142" s="224"/>
      <c r="Q142" s="224"/>
      <c r="R142" s="224"/>
      <c r="S142" s="224"/>
      <c r="T142" s="225"/>
      <c r="AT142" s="226" t="s">
        <v>388</v>
      </c>
      <c r="AU142" s="226" t="s">
        <v>79</v>
      </c>
      <c r="AV142" s="15" t="s">
        <v>386</v>
      </c>
      <c r="AW142" s="15" t="s">
        <v>33</v>
      </c>
      <c r="AX142" s="15" t="s">
        <v>79</v>
      </c>
      <c r="AY142" s="226" t="s">
        <v>380</v>
      </c>
    </row>
    <row r="143" spans="1:65" s="2" customFormat="1" ht="16.5" customHeight="1">
      <c r="A143" s="36"/>
      <c r="B143" s="37"/>
      <c r="C143" s="181" t="s">
        <v>525</v>
      </c>
      <c r="D143" s="181" t="s">
        <v>382</v>
      </c>
      <c r="E143" s="182" t="s">
        <v>4288</v>
      </c>
      <c r="F143" s="183" t="s">
        <v>4289</v>
      </c>
      <c r="G143" s="184" t="s">
        <v>452</v>
      </c>
      <c r="H143" s="185">
        <v>532</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787</v>
      </c>
      <c r="AT143" s="192" t="s">
        <v>382</v>
      </c>
      <c r="AU143" s="192" t="s">
        <v>79</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787</v>
      </c>
      <c r="BM143" s="192" t="s">
        <v>733</v>
      </c>
    </row>
    <row r="144" spans="1:65" s="2" customFormat="1" ht="16.5" customHeight="1">
      <c r="A144" s="36"/>
      <c r="B144" s="37"/>
      <c r="C144" s="227" t="s">
        <v>529</v>
      </c>
      <c r="D144" s="227" t="s">
        <v>465</v>
      </c>
      <c r="E144" s="228" t="s">
        <v>4290</v>
      </c>
      <c r="F144" s="229" t="s">
        <v>4291</v>
      </c>
      <c r="G144" s="230" t="s">
        <v>452</v>
      </c>
      <c r="H144" s="231">
        <v>445.2</v>
      </c>
      <c r="I144" s="232"/>
      <c r="J144" s="233">
        <f>ROUND(I144*H144,2)</f>
        <v>0</v>
      </c>
      <c r="K144" s="229" t="s">
        <v>19</v>
      </c>
      <c r="L144" s="234"/>
      <c r="M144" s="235" t="s">
        <v>19</v>
      </c>
      <c r="N144" s="236" t="s">
        <v>43</v>
      </c>
      <c r="O144" s="66"/>
      <c r="P144" s="190">
        <f>O144*H144</f>
        <v>0</v>
      </c>
      <c r="Q144" s="190">
        <v>3.4000000000000002E-4</v>
      </c>
      <c r="R144" s="190">
        <f>Q144*H144</f>
        <v>0.151368</v>
      </c>
      <c r="S144" s="190">
        <v>0</v>
      </c>
      <c r="T144" s="191">
        <f>S144*H144</f>
        <v>0</v>
      </c>
      <c r="U144" s="36"/>
      <c r="V144" s="36"/>
      <c r="W144" s="36"/>
      <c r="X144" s="36"/>
      <c r="Y144" s="36"/>
      <c r="Z144" s="36"/>
      <c r="AA144" s="36"/>
      <c r="AB144" s="36"/>
      <c r="AC144" s="36"/>
      <c r="AD144" s="36"/>
      <c r="AE144" s="36"/>
      <c r="AR144" s="192" t="s">
        <v>1923</v>
      </c>
      <c r="AT144" s="192" t="s">
        <v>465</v>
      </c>
      <c r="AU144" s="192" t="s">
        <v>79</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787</v>
      </c>
      <c r="BM144" s="192" t="s">
        <v>753</v>
      </c>
    </row>
    <row r="145" spans="1:65" s="14" customFormat="1" ht="11.25">
      <c r="B145" s="205"/>
      <c r="C145" s="206"/>
      <c r="D145" s="196" t="s">
        <v>388</v>
      </c>
      <c r="E145" s="207" t="s">
        <v>19</v>
      </c>
      <c r="F145" s="208" t="s">
        <v>4292</v>
      </c>
      <c r="G145" s="206"/>
      <c r="H145" s="209">
        <v>445.2</v>
      </c>
      <c r="I145" s="210"/>
      <c r="J145" s="206"/>
      <c r="K145" s="206"/>
      <c r="L145" s="211"/>
      <c r="M145" s="212"/>
      <c r="N145" s="213"/>
      <c r="O145" s="213"/>
      <c r="P145" s="213"/>
      <c r="Q145" s="213"/>
      <c r="R145" s="213"/>
      <c r="S145" s="213"/>
      <c r="T145" s="214"/>
      <c r="AT145" s="215" t="s">
        <v>388</v>
      </c>
      <c r="AU145" s="215" t="s">
        <v>79</v>
      </c>
      <c r="AV145" s="14" t="s">
        <v>82</v>
      </c>
      <c r="AW145" s="14" t="s">
        <v>33</v>
      </c>
      <c r="AX145" s="14" t="s">
        <v>72</v>
      </c>
      <c r="AY145" s="215" t="s">
        <v>380</v>
      </c>
    </row>
    <row r="146" spans="1:65" s="15" customFormat="1" ht="11.25">
      <c r="B146" s="216"/>
      <c r="C146" s="217"/>
      <c r="D146" s="196" t="s">
        <v>388</v>
      </c>
      <c r="E146" s="218" t="s">
        <v>19</v>
      </c>
      <c r="F146" s="219" t="s">
        <v>419</v>
      </c>
      <c r="G146" s="217"/>
      <c r="H146" s="220">
        <v>445.2</v>
      </c>
      <c r="I146" s="221"/>
      <c r="J146" s="217"/>
      <c r="K146" s="217"/>
      <c r="L146" s="222"/>
      <c r="M146" s="223"/>
      <c r="N146" s="224"/>
      <c r="O146" s="224"/>
      <c r="P146" s="224"/>
      <c r="Q146" s="224"/>
      <c r="R146" s="224"/>
      <c r="S146" s="224"/>
      <c r="T146" s="225"/>
      <c r="AT146" s="226" t="s">
        <v>388</v>
      </c>
      <c r="AU146" s="226" t="s">
        <v>79</v>
      </c>
      <c r="AV146" s="15" t="s">
        <v>386</v>
      </c>
      <c r="AW146" s="15" t="s">
        <v>33</v>
      </c>
      <c r="AX146" s="15" t="s">
        <v>79</v>
      </c>
      <c r="AY146" s="226" t="s">
        <v>380</v>
      </c>
    </row>
    <row r="147" spans="1:65" s="2" customFormat="1" ht="16.5" customHeight="1">
      <c r="A147" s="36"/>
      <c r="B147" s="37"/>
      <c r="C147" s="227" t="s">
        <v>534</v>
      </c>
      <c r="D147" s="227" t="s">
        <v>465</v>
      </c>
      <c r="E147" s="228" t="s">
        <v>4293</v>
      </c>
      <c r="F147" s="229" t="s">
        <v>4294</v>
      </c>
      <c r="G147" s="230" t="s">
        <v>452</v>
      </c>
      <c r="H147" s="231">
        <v>113.4</v>
      </c>
      <c r="I147" s="232"/>
      <c r="J147" s="233">
        <f>ROUND(I147*H147,2)</f>
        <v>0</v>
      </c>
      <c r="K147" s="229" t="s">
        <v>19</v>
      </c>
      <c r="L147" s="234"/>
      <c r="M147" s="235" t="s">
        <v>19</v>
      </c>
      <c r="N147" s="236" t="s">
        <v>43</v>
      </c>
      <c r="O147" s="66"/>
      <c r="P147" s="190">
        <f>O147*H147</f>
        <v>0</v>
      </c>
      <c r="Q147" s="190">
        <v>5.2999999999999998E-4</v>
      </c>
      <c r="R147" s="190">
        <f>Q147*H147</f>
        <v>6.0102000000000003E-2</v>
      </c>
      <c r="S147" s="190">
        <v>0</v>
      </c>
      <c r="T147" s="191">
        <f>S147*H147</f>
        <v>0</v>
      </c>
      <c r="U147" s="36"/>
      <c r="V147" s="36"/>
      <c r="W147" s="36"/>
      <c r="X147" s="36"/>
      <c r="Y147" s="36"/>
      <c r="Z147" s="36"/>
      <c r="AA147" s="36"/>
      <c r="AB147" s="36"/>
      <c r="AC147" s="36"/>
      <c r="AD147" s="36"/>
      <c r="AE147" s="36"/>
      <c r="AR147" s="192" t="s">
        <v>1923</v>
      </c>
      <c r="AT147" s="192" t="s">
        <v>465</v>
      </c>
      <c r="AU147" s="192" t="s">
        <v>79</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787</v>
      </c>
      <c r="BM147" s="192" t="s">
        <v>767</v>
      </c>
    </row>
    <row r="148" spans="1:65" s="14" customFormat="1" ht="11.25">
      <c r="B148" s="205"/>
      <c r="C148" s="206"/>
      <c r="D148" s="196" t="s">
        <v>388</v>
      </c>
      <c r="E148" s="207" t="s">
        <v>19</v>
      </c>
      <c r="F148" s="208" t="s">
        <v>4295</v>
      </c>
      <c r="G148" s="206"/>
      <c r="H148" s="209">
        <v>113.4</v>
      </c>
      <c r="I148" s="210"/>
      <c r="J148" s="206"/>
      <c r="K148" s="206"/>
      <c r="L148" s="211"/>
      <c r="M148" s="212"/>
      <c r="N148" s="213"/>
      <c r="O148" s="213"/>
      <c r="P148" s="213"/>
      <c r="Q148" s="213"/>
      <c r="R148" s="213"/>
      <c r="S148" s="213"/>
      <c r="T148" s="214"/>
      <c r="AT148" s="215" t="s">
        <v>388</v>
      </c>
      <c r="AU148" s="215" t="s">
        <v>79</v>
      </c>
      <c r="AV148" s="14" t="s">
        <v>82</v>
      </c>
      <c r="AW148" s="14" t="s">
        <v>33</v>
      </c>
      <c r="AX148" s="14" t="s">
        <v>72</v>
      </c>
      <c r="AY148" s="215" t="s">
        <v>380</v>
      </c>
    </row>
    <row r="149" spans="1:65" s="15" customFormat="1" ht="11.25">
      <c r="B149" s="216"/>
      <c r="C149" s="217"/>
      <c r="D149" s="196" t="s">
        <v>388</v>
      </c>
      <c r="E149" s="218" t="s">
        <v>19</v>
      </c>
      <c r="F149" s="219" t="s">
        <v>419</v>
      </c>
      <c r="G149" s="217"/>
      <c r="H149" s="220">
        <v>113.4</v>
      </c>
      <c r="I149" s="221"/>
      <c r="J149" s="217"/>
      <c r="K149" s="217"/>
      <c r="L149" s="222"/>
      <c r="M149" s="223"/>
      <c r="N149" s="224"/>
      <c r="O149" s="224"/>
      <c r="P149" s="224"/>
      <c r="Q149" s="224"/>
      <c r="R149" s="224"/>
      <c r="S149" s="224"/>
      <c r="T149" s="225"/>
      <c r="AT149" s="226" t="s">
        <v>388</v>
      </c>
      <c r="AU149" s="226" t="s">
        <v>79</v>
      </c>
      <c r="AV149" s="15" t="s">
        <v>386</v>
      </c>
      <c r="AW149" s="15" t="s">
        <v>33</v>
      </c>
      <c r="AX149" s="15" t="s">
        <v>79</v>
      </c>
      <c r="AY149" s="226" t="s">
        <v>380</v>
      </c>
    </row>
    <row r="150" spans="1:65" s="2" customFormat="1" ht="16.5" customHeight="1">
      <c r="A150" s="36"/>
      <c r="B150" s="37"/>
      <c r="C150" s="181" t="s">
        <v>540</v>
      </c>
      <c r="D150" s="181" t="s">
        <v>382</v>
      </c>
      <c r="E150" s="182" t="s">
        <v>4296</v>
      </c>
      <c r="F150" s="183" t="s">
        <v>4297</v>
      </c>
      <c r="G150" s="184" t="s">
        <v>452</v>
      </c>
      <c r="H150" s="185">
        <v>328</v>
      </c>
      <c r="I150" s="186"/>
      <c r="J150" s="187">
        <f>ROUND(I150*H150,2)</f>
        <v>0</v>
      </c>
      <c r="K150" s="183" t="s">
        <v>19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787</v>
      </c>
      <c r="AT150" s="192" t="s">
        <v>382</v>
      </c>
      <c r="AU150" s="192" t="s">
        <v>79</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787</v>
      </c>
      <c r="BM150" s="192" t="s">
        <v>776</v>
      </c>
    </row>
    <row r="151" spans="1:65" s="2" customFormat="1" ht="16.5" customHeight="1">
      <c r="A151" s="36"/>
      <c r="B151" s="37"/>
      <c r="C151" s="227" t="s">
        <v>546</v>
      </c>
      <c r="D151" s="227" t="s">
        <v>465</v>
      </c>
      <c r="E151" s="228" t="s">
        <v>4298</v>
      </c>
      <c r="F151" s="229" t="s">
        <v>4299</v>
      </c>
      <c r="G151" s="230" t="s">
        <v>452</v>
      </c>
      <c r="H151" s="231">
        <v>344.4</v>
      </c>
      <c r="I151" s="232"/>
      <c r="J151" s="233">
        <f>ROUND(I151*H151,2)</f>
        <v>0</v>
      </c>
      <c r="K151" s="229" t="s">
        <v>19</v>
      </c>
      <c r="L151" s="234"/>
      <c r="M151" s="235" t="s">
        <v>19</v>
      </c>
      <c r="N151" s="236" t="s">
        <v>43</v>
      </c>
      <c r="O151" s="66"/>
      <c r="P151" s="190">
        <f>O151*H151</f>
        <v>0</v>
      </c>
      <c r="Q151" s="190">
        <v>3.5E-4</v>
      </c>
      <c r="R151" s="190">
        <f>Q151*H151</f>
        <v>0.12053999999999999</v>
      </c>
      <c r="S151" s="190">
        <v>0</v>
      </c>
      <c r="T151" s="191">
        <f>S151*H151</f>
        <v>0</v>
      </c>
      <c r="U151" s="36"/>
      <c r="V151" s="36"/>
      <c r="W151" s="36"/>
      <c r="X151" s="36"/>
      <c r="Y151" s="36"/>
      <c r="Z151" s="36"/>
      <c r="AA151" s="36"/>
      <c r="AB151" s="36"/>
      <c r="AC151" s="36"/>
      <c r="AD151" s="36"/>
      <c r="AE151" s="36"/>
      <c r="AR151" s="192" t="s">
        <v>1923</v>
      </c>
      <c r="AT151" s="192" t="s">
        <v>465</v>
      </c>
      <c r="AU151" s="192" t="s">
        <v>79</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787</v>
      </c>
      <c r="BM151" s="192" t="s">
        <v>787</v>
      </c>
    </row>
    <row r="152" spans="1:65" s="14" customFormat="1" ht="11.25">
      <c r="B152" s="205"/>
      <c r="C152" s="206"/>
      <c r="D152" s="196" t="s">
        <v>388</v>
      </c>
      <c r="E152" s="207" t="s">
        <v>19</v>
      </c>
      <c r="F152" s="208" t="s">
        <v>4300</v>
      </c>
      <c r="G152" s="206"/>
      <c r="H152" s="209">
        <v>344.4</v>
      </c>
      <c r="I152" s="210"/>
      <c r="J152" s="206"/>
      <c r="K152" s="206"/>
      <c r="L152" s="211"/>
      <c r="M152" s="212"/>
      <c r="N152" s="213"/>
      <c r="O152" s="213"/>
      <c r="P152" s="213"/>
      <c r="Q152" s="213"/>
      <c r="R152" s="213"/>
      <c r="S152" s="213"/>
      <c r="T152" s="214"/>
      <c r="AT152" s="215" t="s">
        <v>388</v>
      </c>
      <c r="AU152" s="215" t="s">
        <v>79</v>
      </c>
      <c r="AV152" s="14" t="s">
        <v>82</v>
      </c>
      <c r="AW152" s="14" t="s">
        <v>33</v>
      </c>
      <c r="AX152" s="14" t="s">
        <v>72</v>
      </c>
      <c r="AY152" s="215" t="s">
        <v>380</v>
      </c>
    </row>
    <row r="153" spans="1:65" s="15" customFormat="1" ht="11.25">
      <c r="B153" s="216"/>
      <c r="C153" s="217"/>
      <c r="D153" s="196" t="s">
        <v>388</v>
      </c>
      <c r="E153" s="218" t="s">
        <v>19</v>
      </c>
      <c r="F153" s="219" t="s">
        <v>419</v>
      </c>
      <c r="G153" s="217"/>
      <c r="H153" s="220">
        <v>344.4</v>
      </c>
      <c r="I153" s="221"/>
      <c r="J153" s="217"/>
      <c r="K153" s="217"/>
      <c r="L153" s="222"/>
      <c r="M153" s="223"/>
      <c r="N153" s="224"/>
      <c r="O153" s="224"/>
      <c r="P153" s="224"/>
      <c r="Q153" s="224"/>
      <c r="R153" s="224"/>
      <c r="S153" s="224"/>
      <c r="T153" s="225"/>
      <c r="AT153" s="226" t="s">
        <v>388</v>
      </c>
      <c r="AU153" s="226" t="s">
        <v>79</v>
      </c>
      <c r="AV153" s="15" t="s">
        <v>386</v>
      </c>
      <c r="AW153" s="15" t="s">
        <v>33</v>
      </c>
      <c r="AX153" s="15" t="s">
        <v>79</v>
      </c>
      <c r="AY153" s="226" t="s">
        <v>380</v>
      </c>
    </row>
    <row r="154" spans="1:65" s="2" customFormat="1" ht="16.5" customHeight="1">
      <c r="A154" s="36"/>
      <c r="B154" s="37"/>
      <c r="C154" s="181" t="s">
        <v>552</v>
      </c>
      <c r="D154" s="181" t="s">
        <v>382</v>
      </c>
      <c r="E154" s="182" t="s">
        <v>4301</v>
      </c>
      <c r="F154" s="183" t="s">
        <v>4302</v>
      </c>
      <c r="G154" s="184" t="s">
        <v>452</v>
      </c>
      <c r="H154" s="185">
        <v>5</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787</v>
      </c>
      <c r="AT154" s="192" t="s">
        <v>382</v>
      </c>
      <c r="AU154" s="192" t="s">
        <v>79</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787</v>
      </c>
      <c r="BM154" s="192" t="s">
        <v>795</v>
      </c>
    </row>
    <row r="155" spans="1:65" s="2" customFormat="1" ht="16.5" customHeight="1">
      <c r="A155" s="36"/>
      <c r="B155" s="37"/>
      <c r="C155" s="227" t="s">
        <v>556</v>
      </c>
      <c r="D155" s="227" t="s">
        <v>465</v>
      </c>
      <c r="E155" s="228" t="s">
        <v>4303</v>
      </c>
      <c r="F155" s="229" t="s">
        <v>4304</v>
      </c>
      <c r="G155" s="230" t="s">
        <v>452</v>
      </c>
      <c r="H155" s="231">
        <v>5.25</v>
      </c>
      <c r="I155" s="232"/>
      <c r="J155" s="233">
        <f>ROUND(I155*H155,2)</f>
        <v>0</v>
      </c>
      <c r="K155" s="229" t="s">
        <v>19</v>
      </c>
      <c r="L155" s="234"/>
      <c r="M155" s="235" t="s">
        <v>19</v>
      </c>
      <c r="N155" s="236" t="s">
        <v>43</v>
      </c>
      <c r="O155" s="66"/>
      <c r="P155" s="190">
        <f>O155*H155</f>
        <v>0</v>
      </c>
      <c r="Q155" s="190">
        <v>1.8699999999999999E-3</v>
      </c>
      <c r="R155" s="190">
        <f>Q155*H155</f>
        <v>9.8174999999999998E-3</v>
      </c>
      <c r="S155" s="190">
        <v>0</v>
      </c>
      <c r="T155" s="191">
        <f>S155*H155</f>
        <v>0</v>
      </c>
      <c r="U155" s="36"/>
      <c r="V155" s="36"/>
      <c r="W155" s="36"/>
      <c r="X155" s="36"/>
      <c r="Y155" s="36"/>
      <c r="Z155" s="36"/>
      <c r="AA155" s="36"/>
      <c r="AB155" s="36"/>
      <c r="AC155" s="36"/>
      <c r="AD155" s="36"/>
      <c r="AE155" s="36"/>
      <c r="AR155" s="192" t="s">
        <v>1923</v>
      </c>
      <c r="AT155" s="192" t="s">
        <v>465</v>
      </c>
      <c r="AU155" s="192" t="s">
        <v>79</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787</v>
      </c>
      <c r="BM155" s="192" t="s">
        <v>804</v>
      </c>
    </row>
    <row r="156" spans="1:65" s="14" customFormat="1" ht="11.25">
      <c r="B156" s="205"/>
      <c r="C156" s="206"/>
      <c r="D156" s="196" t="s">
        <v>388</v>
      </c>
      <c r="E156" s="207" t="s">
        <v>19</v>
      </c>
      <c r="F156" s="208" t="s">
        <v>4305</v>
      </c>
      <c r="G156" s="206"/>
      <c r="H156" s="209">
        <v>5.25</v>
      </c>
      <c r="I156" s="210"/>
      <c r="J156" s="206"/>
      <c r="K156" s="206"/>
      <c r="L156" s="211"/>
      <c r="M156" s="212"/>
      <c r="N156" s="213"/>
      <c r="O156" s="213"/>
      <c r="P156" s="213"/>
      <c r="Q156" s="213"/>
      <c r="R156" s="213"/>
      <c r="S156" s="213"/>
      <c r="T156" s="214"/>
      <c r="AT156" s="215" t="s">
        <v>388</v>
      </c>
      <c r="AU156" s="215" t="s">
        <v>79</v>
      </c>
      <c r="AV156" s="14" t="s">
        <v>82</v>
      </c>
      <c r="AW156" s="14" t="s">
        <v>33</v>
      </c>
      <c r="AX156" s="14" t="s">
        <v>72</v>
      </c>
      <c r="AY156" s="215" t="s">
        <v>380</v>
      </c>
    </row>
    <row r="157" spans="1:65" s="15" customFormat="1" ht="11.25">
      <c r="B157" s="216"/>
      <c r="C157" s="217"/>
      <c r="D157" s="196" t="s">
        <v>388</v>
      </c>
      <c r="E157" s="218" t="s">
        <v>19</v>
      </c>
      <c r="F157" s="219" t="s">
        <v>419</v>
      </c>
      <c r="G157" s="217"/>
      <c r="H157" s="220">
        <v>5.25</v>
      </c>
      <c r="I157" s="221"/>
      <c r="J157" s="217"/>
      <c r="K157" s="217"/>
      <c r="L157" s="222"/>
      <c r="M157" s="223"/>
      <c r="N157" s="224"/>
      <c r="O157" s="224"/>
      <c r="P157" s="224"/>
      <c r="Q157" s="224"/>
      <c r="R157" s="224"/>
      <c r="S157" s="224"/>
      <c r="T157" s="225"/>
      <c r="AT157" s="226" t="s">
        <v>388</v>
      </c>
      <c r="AU157" s="226" t="s">
        <v>79</v>
      </c>
      <c r="AV157" s="15" t="s">
        <v>386</v>
      </c>
      <c r="AW157" s="15" t="s">
        <v>33</v>
      </c>
      <c r="AX157" s="15" t="s">
        <v>79</v>
      </c>
      <c r="AY157" s="226" t="s">
        <v>380</v>
      </c>
    </row>
    <row r="158" spans="1:65" s="2" customFormat="1" ht="16.5" customHeight="1">
      <c r="A158" s="36"/>
      <c r="B158" s="37"/>
      <c r="C158" s="181" t="s">
        <v>565</v>
      </c>
      <c r="D158" s="181" t="s">
        <v>382</v>
      </c>
      <c r="E158" s="182" t="s">
        <v>4306</v>
      </c>
      <c r="F158" s="183" t="s">
        <v>4307</v>
      </c>
      <c r="G158" s="184" t="s">
        <v>452</v>
      </c>
      <c r="H158" s="185">
        <v>29</v>
      </c>
      <c r="I158" s="186"/>
      <c r="J158" s="187">
        <f>ROUND(I158*H158,2)</f>
        <v>0</v>
      </c>
      <c r="K158" s="183" t="s">
        <v>19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787</v>
      </c>
      <c r="AT158" s="192" t="s">
        <v>382</v>
      </c>
      <c r="AU158" s="192" t="s">
        <v>79</v>
      </c>
      <c r="AY158" s="19" t="s">
        <v>380</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787</v>
      </c>
      <c r="BM158" s="192" t="s">
        <v>831</v>
      </c>
    </row>
    <row r="159" spans="1:65" s="2" customFormat="1" ht="16.5" customHeight="1">
      <c r="A159" s="36"/>
      <c r="B159" s="37"/>
      <c r="C159" s="227" t="s">
        <v>579</v>
      </c>
      <c r="D159" s="227" t="s">
        <v>465</v>
      </c>
      <c r="E159" s="228" t="s">
        <v>4308</v>
      </c>
      <c r="F159" s="229" t="s">
        <v>4309</v>
      </c>
      <c r="G159" s="230" t="s">
        <v>452</v>
      </c>
      <c r="H159" s="231">
        <v>33</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1923</v>
      </c>
      <c r="AT159" s="192" t="s">
        <v>465</v>
      </c>
      <c r="AU159" s="192" t="s">
        <v>79</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787</v>
      </c>
      <c r="BM159" s="192" t="s">
        <v>841</v>
      </c>
    </row>
    <row r="160" spans="1:65" s="14" customFormat="1" ht="11.25">
      <c r="B160" s="205"/>
      <c r="C160" s="206"/>
      <c r="D160" s="196" t="s">
        <v>388</v>
      </c>
      <c r="E160" s="207" t="s">
        <v>19</v>
      </c>
      <c r="F160" s="208" t="s">
        <v>4310</v>
      </c>
      <c r="G160" s="206"/>
      <c r="H160" s="209">
        <v>33</v>
      </c>
      <c r="I160" s="210"/>
      <c r="J160" s="206"/>
      <c r="K160" s="206"/>
      <c r="L160" s="211"/>
      <c r="M160" s="212"/>
      <c r="N160" s="213"/>
      <c r="O160" s="213"/>
      <c r="P160" s="213"/>
      <c r="Q160" s="213"/>
      <c r="R160" s="213"/>
      <c r="S160" s="213"/>
      <c r="T160" s="214"/>
      <c r="AT160" s="215" t="s">
        <v>388</v>
      </c>
      <c r="AU160" s="215" t="s">
        <v>79</v>
      </c>
      <c r="AV160" s="14" t="s">
        <v>82</v>
      </c>
      <c r="AW160" s="14" t="s">
        <v>33</v>
      </c>
      <c r="AX160" s="14" t="s">
        <v>72</v>
      </c>
      <c r="AY160" s="215" t="s">
        <v>380</v>
      </c>
    </row>
    <row r="161" spans="1:65" s="15" customFormat="1" ht="11.25">
      <c r="B161" s="216"/>
      <c r="C161" s="217"/>
      <c r="D161" s="196" t="s">
        <v>388</v>
      </c>
      <c r="E161" s="218" t="s">
        <v>19</v>
      </c>
      <c r="F161" s="219" t="s">
        <v>419</v>
      </c>
      <c r="G161" s="217"/>
      <c r="H161" s="220">
        <v>33</v>
      </c>
      <c r="I161" s="221"/>
      <c r="J161" s="217"/>
      <c r="K161" s="217"/>
      <c r="L161" s="222"/>
      <c r="M161" s="223"/>
      <c r="N161" s="224"/>
      <c r="O161" s="224"/>
      <c r="P161" s="224"/>
      <c r="Q161" s="224"/>
      <c r="R161" s="224"/>
      <c r="S161" s="224"/>
      <c r="T161" s="225"/>
      <c r="AT161" s="226" t="s">
        <v>388</v>
      </c>
      <c r="AU161" s="226" t="s">
        <v>79</v>
      </c>
      <c r="AV161" s="15" t="s">
        <v>386</v>
      </c>
      <c r="AW161" s="15" t="s">
        <v>33</v>
      </c>
      <c r="AX161" s="15" t="s">
        <v>79</v>
      </c>
      <c r="AY161" s="226" t="s">
        <v>380</v>
      </c>
    </row>
    <row r="162" spans="1:65" s="2" customFormat="1" ht="16.5" customHeight="1">
      <c r="A162" s="36"/>
      <c r="B162" s="37"/>
      <c r="C162" s="181" t="s">
        <v>600</v>
      </c>
      <c r="D162" s="181" t="s">
        <v>382</v>
      </c>
      <c r="E162" s="182" t="s">
        <v>4311</v>
      </c>
      <c r="F162" s="183" t="s">
        <v>4312</v>
      </c>
      <c r="G162" s="184" t="s">
        <v>452</v>
      </c>
      <c r="H162" s="185">
        <v>65</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787</v>
      </c>
      <c r="AT162" s="192" t="s">
        <v>382</v>
      </c>
      <c r="AU162" s="192" t="s">
        <v>79</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787</v>
      </c>
      <c r="BM162" s="192" t="s">
        <v>851</v>
      </c>
    </row>
    <row r="163" spans="1:65" s="2" customFormat="1" ht="16.5" customHeight="1">
      <c r="A163" s="36"/>
      <c r="B163" s="37"/>
      <c r="C163" s="227" t="s">
        <v>619</v>
      </c>
      <c r="D163" s="227" t="s">
        <v>465</v>
      </c>
      <c r="E163" s="228" t="s">
        <v>4313</v>
      </c>
      <c r="F163" s="229" t="s">
        <v>4314</v>
      </c>
      <c r="G163" s="230" t="s">
        <v>452</v>
      </c>
      <c r="H163" s="231">
        <v>68.25</v>
      </c>
      <c r="I163" s="232"/>
      <c r="J163" s="233">
        <f>ROUND(I163*H163,2)</f>
        <v>0</v>
      </c>
      <c r="K163" s="229" t="s">
        <v>19</v>
      </c>
      <c r="L163" s="234"/>
      <c r="M163" s="235" t="s">
        <v>19</v>
      </c>
      <c r="N163" s="236" t="s">
        <v>43</v>
      </c>
      <c r="O163" s="66"/>
      <c r="P163" s="190">
        <f>O163*H163</f>
        <v>0</v>
      </c>
      <c r="Q163" s="190">
        <v>2.2499999999999998E-3</v>
      </c>
      <c r="R163" s="190">
        <f>Q163*H163</f>
        <v>0.15356249999999999</v>
      </c>
      <c r="S163" s="190">
        <v>0</v>
      </c>
      <c r="T163" s="191">
        <f>S163*H163</f>
        <v>0</v>
      </c>
      <c r="U163" s="36"/>
      <c r="V163" s="36"/>
      <c r="W163" s="36"/>
      <c r="X163" s="36"/>
      <c r="Y163" s="36"/>
      <c r="Z163" s="36"/>
      <c r="AA163" s="36"/>
      <c r="AB163" s="36"/>
      <c r="AC163" s="36"/>
      <c r="AD163" s="36"/>
      <c r="AE163" s="36"/>
      <c r="AR163" s="192" t="s">
        <v>1923</v>
      </c>
      <c r="AT163" s="192" t="s">
        <v>465</v>
      </c>
      <c r="AU163" s="192" t="s">
        <v>79</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787</v>
      </c>
      <c r="BM163" s="192" t="s">
        <v>859</v>
      </c>
    </row>
    <row r="164" spans="1:65" s="14" customFormat="1" ht="11.25">
      <c r="B164" s="205"/>
      <c r="C164" s="206"/>
      <c r="D164" s="196" t="s">
        <v>388</v>
      </c>
      <c r="E164" s="207" t="s">
        <v>19</v>
      </c>
      <c r="F164" s="208" t="s">
        <v>4315</v>
      </c>
      <c r="G164" s="206"/>
      <c r="H164" s="209">
        <v>68.25</v>
      </c>
      <c r="I164" s="210"/>
      <c r="J164" s="206"/>
      <c r="K164" s="206"/>
      <c r="L164" s="211"/>
      <c r="M164" s="212"/>
      <c r="N164" s="213"/>
      <c r="O164" s="213"/>
      <c r="P164" s="213"/>
      <c r="Q164" s="213"/>
      <c r="R164" s="213"/>
      <c r="S164" s="213"/>
      <c r="T164" s="214"/>
      <c r="AT164" s="215" t="s">
        <v>388</v>
      </c>
      <c r="AU164" s="215" t="s">
        <v>79</v>
      </c>
      <c r="AV164" s="14" t="s">
        <v>82</v>
      </c>
      <c r="AW164" s="14" t="s">
        <v>33</v>
      </c>
      <c r="AX164" s="14" t="s">
        <v>72</v>
      </c>
      <c r="AY164" s="215" t="s">
        <v>380</v>
      </c>
    </row>
    <row r="165" spans="1:65" s="15" customFormat="1" ht="11.25">
      <c r="B165" s="216"/>
      <c r="C165" s="217"/>
      <c r="D165" s="196" t="s">
        <v>388</v>
      </c>
      <c r="E165" s="218" t="s">
        <v>19</v>
      </c>
      <c r="F165" s="219" t="s">
        <v>419</v>
      </c>
      <c r="G165" s="217"/>
      <c r="H165" s="220">
        <v>68.25</v>
      </c>
      <c r="I165" s="221"/>
      <c r="J165" s="217"/>
      <c r="K165" s="217"/>
      <c r="L165" s="222"/>
      <c r="M165" s="223"/>
      <c r="N165" s="224"/>
      <c r="O165" s="224"/>
      <c r="P165" s="224"/>
      <c r="Q165" s="224"/>
      <c r="R165" s="224"/>
      <c r="S165" s="224"/>
      <c r="T165" s="225"/>
      <c r="AT165" s="226" t="s">
        <v>388</v>
      </c>
      <c r="AU165" s="226" t="s">
        <v>79</v>
      </c>
      <c r="AV165" s="15" t="s">
        <v>386</v>
      </c>
      <c r="AW165" s="15" t="s">
        <v>33</v>
      </c>
      <c r="AX165" s="15" t="s">
        <v>79</v>
      </c>
      <c r="AY165" s="226" t="s">
        <v>380</v>
      </c>
    </row>
    <row r="166" spans="1:65" s="2" customFormat="1" ht="21.75" customHeight="1">
      <c r="A166" s="36"/>
      <c r="B166" s="37"/>
      <c r="C166" s="181" t="s">
        <v>623</v>
      </c>
      <c r="D166" s="181" t="s">
        <v>382</v>
      </c>
      <c r="E166" s="182" t="s">
        <v>4316</v>
      </c>
      <c r="F166" s="183" t="s">
        <v>4317</v>
      </c>
      <c r="G166" s="184" t="s">
        <v>452</v>
      </c>
      <c r="H166" s="185">
        <v>514</v>
      </c>
      <c r="I166" s="186"/>
      <c r="J166" s="187">
        <f>ROUND(I166*H166,2)</f>
        <v>0</v>
      </c>
      <c r="K166" s="183" t="s">
        <v>19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787</v>
      </c>
      <c r="AT166" s="192" t="s">
        <v>382</v>
      </c>
      <c r="AU166" s="192" t="s">
        <v>79</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787</v>
      </c>
      <c r="BM166" s="192" t="s">
        <v>867</v>
      </c>
    </row>
    <row r="167" spans="1:65" s="2" customFormat="1" ht="16.5" customHeight="1">
      <c r="A167" s="36"/>
      <c r="B167" s="37"/>
      <c r="C167" s="227" t="s">
        <v>631</v>
      </c>
      <c r="D167" s="227" t="s">
        <v>465</v>
      </c>
      <c r="E167" s="228" t="s">
        <v>4318</v>
      </c>
      <c r="F167" s="229" t="s">
        <v>4319</v>
      </c>
      <c r="G167" s="230" t="s">
        <v>452</v>
      </c>
      <c r="H167" s="231">
        <v>341</v>
      </c>
      <c r="I167" s="232"/>
      <c r="J167" s="233">
        <f>ROUND(I167*H167,2)</f>
        <v>0</v>
      </c>
      <c r="K167" s="229" t="s">
        <v>19</v>
      </c>
      <c r="L167" s="234"/>
      <c r="M167" s="235" t="s">
        <v>19</v>
      </c>
      <c r="N167" s="236" t="s">
        <v>43</v>
      </c>
      <c r="O167" s="66"/>
      <c r="P167" s="190">
        <f>O167*H167</f>
        <v>0</v>
      </c>
      <c r="Q167" s="190">
        <v>8.0000000000000007E-5</v>
      </c>
      <c r="R167" s="190">
        <f>Q167*H167</f>
        <v>2.7280000000000002E-2</v>
      </c>
      <c r="S167" s="190">
        <v>0</v>
      </c>
      <c r="T167" s="191">
        <f>S167*H167</f>
        <v>0</v>
      </c>
      <c r="U167" s="36"/>
      <c r="V167" s="36"/>
      <c r="W167" s="36"/>
      <c r="X167" s="36"/>
      <c r="Y167" s="36"/>
      <c r="Z167" s="36"/>
      <c r="AA167" s="36"/>
      <c r="AB167" s="36"/>
      <c r="AC167" s="36"/>
      <c r="AD167" s="36"/>
      <c r="AE167" s="36"/>
      <c r="AR167" s="192" t="s">
        <v>1923</v>
      </c>
      <c r="AT167" s="192" t="s">
        <v>465</v>
      </c>
      <c r="AU167" s="192" t="s">
        <v>79</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787</v>
      </c>
      <c r="BM167" s="192" t="s">
        <v>884</v>
      </c>
    </row>
    <row r="168" spans="1:65" s="14" customFormat="1" ht="11.25">
      <c r="B168" s="205"/>
      <c r="C168" s="206"/>
      <c r="D168" s="196" t="s">
        <v>388</v>
      </c>
      <c r="E168" s="207" t="s">
        <v>19</v>
      </c>
      <c r="F168" s="208" t="s">
        <v>4320</v>
      </c>
      <c r="G168" s="206"/>
      <c r="H168" s="209">
        <v>341</v>
      </c>
      <c r="I168" s="210"/>
      <c r="J168" s="206"/>
      <c r="K168" s="206"/>
      <c r="L168" s="211"/>
      <c r="M168" s="212"/>
      <c r="N168" s="213"/>
      <c r="O168" s="213"/>
      <c r="P168" s="213"/>
      <c r="Q168" s="213"/>
      <c r="R168" s="213"/>
      <c r="S168" s="213"/>
      <c r="T168" s="214"/>
      <c r="AT168" s="215" t="s">
        <v>388</v>
      </c>
      <c r="AU168" s="215" t="s">
        <v>79</v>
      </c>
      <c r="AV168" s="14" t="s">
        <v>82</v>
      </c>
      <c r="AW168" s="14" t="s">
        <v>33</v>
      </c>
      <c r="AX168" s="14" t="s">
        <v>72</v>
      </c>
      <c r="AY168" s="215" t="s">
        <v>380</v>
      </c>
    </row>
    <row r="169" spans="1:65" s="15" customFormat="1" ht="11.25">
      <c r="B169" s="216"/>
      <c r="C169" s="217"/>
      <c r="D169" s="196" t="s">
        <v>388</v>
      </c>
      <c r="E169" s="218" t="s">
        <v>19</v>
      </c>
      <c r="F169" s="219" t="s">
        <v>419</v>
      </c>
      <c r="G169" s="217"/>
      <c r="H169" s="220">
        <v>341</v>
      </c>
      <c r="I169" s="221"/>
      <c r="J169" s="217"/>
      <c r="K169" s="217"/>
      <c r="L169" s="222"/>
      <c r="M169" s="223"/>
      <c r="N169" s="224"/>
      <c r="O169" s="224"/>
      <c r="P169" s="224"/>
      <c r="Q169" s="224"/>
      <c r="R169" s="224"/>
      <c r="S169" s="224"/>
      <c r="T169" s="225"/>
      <c r="AT169" s="226" t="s">
        <v>388</v>
      </c>
      <c r="AU169" s="226" t="s">
        <v>79</v>
      </c>
      <c r="AV169" s="15" t="s">
        <v>386</v>
      </c>
      <c r="AW169" s="15" t="s">
        <v>33</v>
      </c>
      <c r="AX169" s="15" t="s">
        <v>79</v>
      </c>
      <c r="AY169" s="226" t="s">
        <v>380</v>
      </c>
    </row>
    <row r="170" spans="1:65" s="2" customFormat="1" ht="16.5" customHeight="1">
      <c r="A170" s="36"/>
      <c r="B170" s="37"/>
      <c r="C170" s="227" t="s">
        <v>638</v>
      </c>
      <c r="D170" s="227" t="s">
        <v>465</v>
      </c>
      <c r="E170" s="228" t="s">
        <v>4321</v>
      </c>
      <c r="F170" s="229" t="s">
        <v>4322</v>
      </c>
      <c r="G170" s="230" t="s">
        <v>452</v>
      </c>
      <c r="H170" s="231">
        <v>198</v>
      </c>
      <c r="I170" s="232"/>
      <c r="J170" s="233">
        <f>ROUND(I170*H170,2)</f>
        <v>0</v>
      </c>
      <c r="K170" s="229" t="s">
        <v>19</v>
      </c>
      <c r="L170" s="234"/>
      <c r="M170" s="235" t="s">
        <v>19</v>
      </c>
      <c r="N170" s="236" t="s">
        <v>43</v>
      </c>
      <c r="O170" s="66"/>
      <c r="P170" s="190">
        <f>O170*H170</f>
        <v>0</v>
      </c>
      <c r="Q170" s="190">
        <v>1.2999999999999999E-4</v>
      </c>
      <c r="R170" s="190">
        <f>Q170*H170</f>
        <v>2.5739999999999999E-2</v>
      </c>
      <c r="S170" s="190">
        <v>0</v>
      </c>
      <c r="T170" s="191">
        <f>S170*H170</f>
        <v>0</v>
      </c>
      <c r="U170" s="36"/>
      <c r="V170" s="36"/>
      <c r="W170" s="36"/>
      <c r="X170" s="36"/>
      <c r="Y170" s="36"/>
      <c r="Z170" s="36"/>
      <c r="AA170" s="36"/>
      <c r="AB170" s="36"/>
      <c r="AC170" s="36"/>
      <c r="AD170" s="36"/>
      <c r="AE170" s="36"/>
      <c r="AR170" s="192" t="s">
        <v>1923</v>
      </c>
      <c r="AT170" s="192" t="s">
        <v>465</v>
      </c>
      <c r="AU170" s="192" t="s">
        <v>79</v>
      </c>
      <c r="AY170" s="19" t="s">
        <v>380</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787</v>
      </c>
      <c r="BM170" s="192" t="s">
        <v>910</v>
      </c>
    </row>
    <row r="171" spans="1:65" s="14" customFormat="1" ht="11.25">
      <c r="B171" s="205"/>
      <c r="C171" s="206"/>
      <c r="D171" s="196" t="s">
        <v>388</v>
      </c>
      <c r="E171" s="207" t="s">
        <v>19</v>
      </c>
      <c r="F171" s="208" t="s">
        <v>4323</v>
      </c>
      <c r="G171" s="206"/>
      <c r="H171" s="209">
        <v>198</v>
      </c>
      <c r="I171" s="210"/>
      <c r="J171" s="206"/>
      <c r="K171" s="206"/>
      <c r="L171" s="211"/>
      <c r="M171" s="212"/>
      <c r="N171" s="213"/>
      <c r="O171" s="213"/>
      <c r="P171" s="213"/>
      <c r="Q171" s="213"/>
      <c r="R171" s="213"/>
      <c r="S171" s="213"/>
      <c r="T171" s="214"/>
      <c r="AT171" s="215" t="s">
        <v>388</v>
      </c>
      <c r="AU171" s="215" t="s">
        <v>79</v>
      </c>
      <c r="AV171" s="14" t="s">
        <v>82</v>
      </c>
      <c r="AW171" s="14" t="s">
        <v>33</v>
      </c>
      <c r="AX171" s="14" t="s">
        <v>72</v>
      </c>
      <c r="AY171" s="215" t="s">
        <v>380</v>
      </c>
    </row>
    <row r="172" spans="1:65" s="15" customFormat="1" ht="11.25">
      <c r="B172" s="216"/>
      <c r="C172" s="217"/>
      <c r="D172" s="196" t="s">
        <v>388</v>
      </c>
      <c r="E172" s="218" t="s">
        <v>19</v>
      </c>
      <c r="F172" s="219" t="s">
        <v>419</v>
      </c>
      <c r="G172" s="217"/>
      <c r="H172" s="220">
        <v>198</v>
      </c>
      <c r="I172" s="221"/>
      <c r="J172" s="217"/>
      <c r="K172" s="217"/>
      <c r="L172" s="222"/>
      <c r="M172" s="223"/>
      <c r="N172" s="224"/>
      <c r="O172" s="224"/>
      <c r="P172" s="224"/>
      <c r="Q172" s="224"/>
      <c r="R172" s="224"/>
      <c r="S172" s="224"/>
      <c r="T172" s="225"/>
      <c r="AT172" s="226" t="s">
        <v>388</v>
      </c>
      <c r="AU172" s="226" t="s">
        <v>79</v>
      </c>
      <c r="AV172" s="15" t="s">
        <v>386</v>
      </c>
      <c r="AW172" s="15" t="s">
        <v>33</v>
      </c>
      <c r="AX172" s="15" t="s">
        <v>79</v>
      </c>
      <c r="AY172" s="226" t="s">
        <v>380</v>
      </c>
    </row>
    <row r="173" spans="1:65" s="2" customFormat="1" ht="16.5" customHeight="1">
      <c r="A173" s="36"/>
      <c r="B173" s="37"/>
      <c r="C173" s="227" t="s">
        <v>644</v>
      </c>
      <c r="D173" s="227" t="s">
        <v>465</v>
      </c>
      <c r="E173" s="228" t="s">
        <v>4324</v>
      </c>
      <c r="F173" s="229" t="s">
        <v>4325</v>
      </c>
      <c r="G173" s="230" t="s">
        <v>452</v>
      </c>
      <c r="H173" s="231">
        <v>26.4</v>
      </c>
      <c r="I173" s="232"/>
      <c r="J173" s="233">
        <f>ROUND(I173*H173,2)</f>
        <v>0</v>
      </c>
      <c r="K173" s="229" t="s">
        <v>19</v>
      </c>
      <c r="L173" s="234"/>
      <c r="M173" s="235" t="s">
        <v>19</v>
      </c>
      <c r="N173" s="236" t="s">
        <v>43</v>
      </c>
      <c r="O173" s="66"/>
      <c r="P173" s="190">
        <f>O173*H173</f>
        <v>0</v>
      </c>
      <c r="Q173" s="190">
        <v>2.0000000000000001E-4</v>
      </c>
      <c r="R173" s="190">
        <f>Q173*H173</f>
        <v>5.28E-3</v>
      </c>
      <c r="S173" s="190">
        <v>0</v>
      </c>
      <c r="T173" s="191">
        <f>S173*H173</f>
        <v>0</v>
      </c>
      <c r="U173" s="36"/>
      <c r="V173" s="36"/>
      <c r="W173" s="36"/>
      <c r="X173" s="36"/>
      <c r="Y173" s="36"/>
      <c r="Z173" s="36"/>
      <c r="AA173" s="36"/>
      <c r="AB173" s="36"/>
      <c r="AC173" s="36"/>
      <c r="AD173" s="36"/>
      <c r="AE173" s="36"/>
      <c r="AR173" s="192" t="s">
        <v>1923</v>
      </c>
      <c r="AT173" s="192" t="s">
        <v>465</v>
      </c>
      <c r="AU173" s="192" t="s">
        <v>79</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787</v>
      </c>
      <c r="BM173" s="192" t="s">
        <v>927</v>
      </c>
    </row>
    <row r="174" spans="1:65" s="14" customFormat="1" ht="11.25">
      <c r="B174" s="205"/>
      <c r="C174" s="206"/>
      <c r="D174" s="196" t="s">
        <v>388</v>
      </c>
      <c r="E174" s="207" t="s">
        <v>19</v>
      </c>
      <c r="F174" s="208" t="s">
        <v>4326</v>
      </c>
      <c r="G174" s="206"/>
      <c r="H174" s="209">
        <v>26.4</v>
      </c>
      <c r="I174" s="210"/>
      <c r="J174" s="206"/>
      <c r="K174" s="206"/>
      <c r="L174" s="211"/>
      <c r="M174" s="212"/>
      <c r="N174" s="213"/>
      <c r="O174" s="213"/>
      <c r="P174" s="213"/>
      <c r="Q174" s="213"/>
      <c r="R174" s="213"/>
      <c r="S174" s="213"/>
      <c r="T174" s="214"/>
      <c r="AT174" s="215" t="s">
        <v>388</v>
      </c>
      <c r="AU174" s="215" t="s">
        <v>79</v>
      </c>
      <c r="AV174" s="14" t="s">
        <v>82</v>
      </c>
      <c r="AW174" s="14" t="s">
        <v>33</v>
      </c>
      <c r="AX174" s="14" t="s">
        <v>72</v>
      </c>
      <c r="AY174" s="215" t="s">
        <v>380</v>
      </c>
    </row>
    <row r="175" spans="1:65" s="15" customFormat="1" ht="11.25">
      <c r="B175" s="216"/>
      <c r="C175" s="217"/>
      <c r="D175" s="196" t="s">
        <v>388</v>
      </c>
      <c r="E175" s="218" t="s">
        <v>19</v>
      </c>
      <c r="F175" s="219" t="s">
        <v>419</v>
      </c>
      <c r="G175" s="217"/>
      <c r="H175" s="220">
        <v>26.4</v>
      </c>
      <c r="I175" s="221"/>
      <c r="J175" s="217"/>
      <c r="K175" s="217"/>
      <c r="L175" s="222"/>
      <c r="M175" s="223"/>
      <c r="N175" s="224"/>
      <c r="O175" s="224"/>
      <c r="P175" s="224"/>
      <c r="Q175" s="224"/>
      <c r="R175" s="224"/>
      <c r="S175" s="224"/>
      <c r="T175" s="225"/>
      <c r="AT175" s="226" t="s">
        <v>388</v>
      </c>
      <c r="AU175" s="226" t="s">
        <v>79</v>
      </c>
      <c r="AV175" s="15" t="s">
        <v>386</v>
      </c>
      <c r="AW175" s="15" t="s">
        <v>33</v>
      </c>
      <c r="AX175" s="15" t="s">
        <v>79</v>
      </c>
      <c r="AY175" s="226" t="s">
        <v>380</v>
      </c>
    </row>
    <row r="176" spans="1:65" s="2" customFormat="1" ht="16.5" customHeight="1">
      <c r="A176" s="36"/>
      <c r="B176" s="37"/>
      <c r="C176" s="181" t="s">
        <v>648</v>
      </c>
      <c r="D176" s="181" t="s">
        <v>382</v>
      </c>
      <c r="E176" s="182" t="s">
        <v>4327</v>
      </c>
      <c r="F176" s="183" t="s">
        <v>4328</v>
      </c>
      <c r="G176" s="184" t="s">
        <v>452</v>
      </c>
      <c r="H176" s="185">
        <v>115</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787</v>
      </c>
      <c r="AT176" s="192" t="s">
        <v>382</v>
      </c>
      <c r="AU176" s="192" t="s">
        <v>79</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787</v>
      </c>
      <c r="BM176" s="192" t="s">
        <v>936</v>
      </c>
    </row>
    <row r="177" spans="1:65" s="2" customFormat="1" ht="16.5" customHeight="1">
      <c r="A177" s="36"/>
      <c r="B177" s="37"/>
      <c r="C177" s="227" t="s">
        <v>652</v>
      </c>
      <c r="D177" s="227" t="s">
        <v>465</v>
      </c>
      <c r="E177" s="228" t="s">
        <v>4329</v>
      </c>
      <c r="F177" s="229" t="s">
        <v>4330</v>
      </c>
      <c r="G177" s="230" t="s">
        <v>452</v>
      </c>
      <c r="H177" s="231">
        <v>126.5</v>
      </c>
      <c r="I177" s="232"/>
      <c r="J177" s="233">
        <f>ROUND(I177*H177,2)</f>
        <v>0</v>
      </c>
      <c r="K177" s="229" t="s">
        <v>19</v>
      </c>
      <c r="L177" s="234"/>
      <c r="M177" s="235" t="s">
        <v>19</v>
      </c>
      <c r="N177" s="236" t="s">
        <v>43</v>
      </c>
      <c r="O177" s="66"/>
      <c r="P177" s="190">
        <f>O177*H177</f>
        <v>0</v>
      </c>
      <c r="Q177" s="190">
        <v>3.2000000000000003E-4</v>
      </c>
      <c r="R177" s="190">
        <f>Q177*H177</f>
        <v>4.0480000000000002E-2</v>
      </c>
      <c r="S177" s="190">
        <v>0</v>
      </c>
      <c r="T177" s="191">
        <f>S177*H177</f>
        <v>0</v>
      </c>
      <c r="U177" s="36"/>
      <c r="V177" s="36"/>
      <c r="W177" s="36"/>
      <c r="X177" s="36"/>
      <c r="Y177" s="36"/>
      <c r="Z177" s="36"/>
      <c r="AA177" s="36"/>
      <c r="AB177" s="36"/>
      <c r="AC177" s="36"/>
      <c r="AD177" s="36"/>
      <c r="AE177" s="36"/>
      <c r="AR177" s="192" t="s">
        <v>1923</v>
      </c>
      <c r="AT177" s="192" t="s">
        <v>465</v>
      </c>
      <c r="AU177" s="192" t="s">
        <v>79</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787</v>
      </c>
      <c r="BM177" s="192" t="s">
        <v>946</v>
      </c>
    </row>
    <row r="178" spans="1:65" s="14" customFormat="1" ht="11.25">
      <c r="B178" s="205"/>
      <c r="C178" s="206"/>
      <c r="D178" s="196" t="s">
        <v>388</v>
      </c>
      <c r="E178" s="207" t="s">
        <v>19</v>
      </c>
      <c r="F178" s="208" t="s">
        <v>4331</v>
      </c>
      <c r="G178" s="206"/>
      <c r="H178" s="209">
        <v>126.5</v>
      </c>
      <c r="I178" s="210"/>
      <c r="J178" s="206"/>
      <c r="K178" s="206"/>
      <c r="L178" s="211"/>
      <c r="M178" s="212"/>
      <c r="N178" s="213"/>
      <c r="O178" s="213"/>
      <c r="P178" s="213"/>
      <c r="Q178" s="213"/>
      <c r="R178" s="213"/>
      <c r="S178" s="213"/>
      <c r="T178" s="214"/>
      <c r="AT178" s="215" t="s">
        <v>388</v>
      </c>
      <c r="AU178" s="215" t="s">
        <v>79</v>
      </c>
      <c r="AV178" s="14" t="s">
        <v>82</v>
      </c>
      <c r="AW178" s="14" t="s">
        <v>33</v>
      </c>
      <c r="AX178" s="14" t="s">
        <v>72</v>
      </c>
      <c r="AY178" s="215" t="s">
        <v>380</v>
      </c>
    </row>
    <row r="179" spans="1:65" s="15" customFormat="1" ht="11.25">
      <c r="B179" s="216"/>
      <c r="C179" s="217"/>
      <c r="D179" s="196" t="s">
        <v>388</v>
      </c>
      <c r="E179" s="218" t="s">
        <v>19</v>
      </c>
      <c r="F179" s="219" t="s">
        <v>419</v>
      </c>
      <c r="G179" s="217"/>
      <c r="H179" s="220">
        <v>126.5</v>
      </c>
      <c r="I179" s="221"/>
      <c r="J179" s="217"/>
      <c r="K179" s="217"/>
      <c r="L179" s="222"/>
      <c r="M179" s="223"/>
      <c r="N179" s="224"/>
      <c r="O179" s="224"/>
      <c r="P179" s="224"/>
      <c r="Q179" s="224"/>
      <c r="R179" s="224"/>
      <c r="S179" s="224"/>
      <c r="T179" s="225"/>
      <c r="AT179" s="226" t="s">
        <v>388</v>
      </c>
      <c r="AU179" s="226" t="s">
        <v>79</v>
      </c>
      <c r="AV179" s="15" t="s">
        <v>386</v>
      </c>
      <c r="AW179" s="15" t="s">
        <v>33</v>
      </c>
      <c r="AX179" s="15" t="s">
        <v>79</v>
      </c>
      <c r="AY179" s="226" t="s">
        <v>380</v>
      </c>
    </row>
    <row r="180" spans="1:65" s="2" customFormat="1" ht="16.5" customHeight="1">
      <c r="A180" s="36"/>
      <c r="B180" s="37"/>
      <c r="C180" s="181" t="s">
        <v>656</v>
      </c>
      <c r="D180" s="181" t="s">
        <v>382</v>
      </c>
      <c r="E180" s="182" t="s">
        <v>4332</v>
      </c>
      <c r="F180" s="183" t="s">
        <v>4333</v>
      </c>
      <c r="G180" s="184" t="s">
        <v>452</v>
      </c>
      <c r="H180" s="185">
        <v>390</v>
      </c>
      <c r="I180" s="186"/>
      <c r="J180" s="187">
        <f>ROUND(I180*H180,2)</f>
        <v>0</v>
      </c>
      <c r="K180" s="183" t="s">
        <v>19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787</v>
      </c>
      <c r="AT180" s="192" t="s">
        <v>382</v>
      </c>
      <c r="AU180" s="192" t="s">
        <v>79</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787</v>
      </c>
      <c r="BM180" s="192" t="s">
        <v>955</v>
      </c>
    </row>
    <row r="181" spans="1:65" s="2" customFormat="1" ht="16.5" customHeight="1">
      <c r="A181" s="36"/>
      <c r="B181" s="37"/>
      <c r="C181" s="227" t="s">
        <v>660</v>
      </c>
      <c r="D181" s="227" t="s">
        <v>465</v>
      </c>
      <c r="E181" s="228" t="s">
        <v>4334</v>
      </c>
      <c r="F181" s="229" t="s">
        <v>4335</v>
      </c>
      <c r="G181" s="230" t="s">
        <v>452</v>
      </c>
      <c r="H181" s="231">
        <v>409.5</v>
      </c>
      <c r="I181" s="232"/>
      <c r="J181" s="233">
        <f>ROUND(I181*H181,2)</f>
        <v>0</v>
      </c>
      <c r="K181" s="229" t="s">
        <v>19</v>
      </c>
      <c r="L181" s="234"/>
      <c r="M181" s="235" t="s">
        <v>19</v>
      </c>
      <c r="N181" s="236"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1923</v>
      </c>
      <c r="AT181" s="192" t="s">
        <v>465</v>
      </c>
      <c r="AU181" s="192" t="s">
        <v>79</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787</v>
      </c>
      <c r="BM181" s="192" t="s">
        <v>963</v>
      </c>
    </row>
    <row r="182" spans="1:65" s="14" customFormat="1" ht="11.25">
      <c r="B182" s="205"/>
      <c r="C182" s="206"/>
      <c r="D182" s="196" t="s">
        <v>388</v>
      </c>
      <c r="E182" s="207" t="s">
        <v>19</v>
      </c>
      <c r="F182" s="208" t="s">
        <v>4336</v>
      </c>
      <c r="G182" s="206"/>
      <c r="H182" s="209">
        <v>409.5</v>
      </c>
      <c r="I182" s="210"/>
      <c r="J182" s="206"/>
      <c r="K182" s="206"/>
      <c r="L182" s="211"/>
      <c r="M182" s="212"/>
      <c r="N182" s="213"/>
      <c r="O182" s="213"/>
      <c r="P182" s="213"/>
      <c r="Q182" s="213"/>
      <c r="R182" s="213"/>
      <c r="S182" s="213"/>
      <c r="T182" s="214"/>
      <c r="AT182" s="215" t="s">
        <v>388</v>
      </c>
      <c r="AU182" s="215" t="s">
        <v>79</v>
      </c>
      <c r="AV182" s="14" t="s">
        <v>82</v>
      </c>
      <c r="AW182" s="14" t="s">
        <v>33</v>
      </c>
      <c r="AX182" s="14" t="s">
        <v>72</v>
      </c>
      <c r="AY182" s="215" t="s">
        <v>380</v>
      </c>
    </row>
    <row r="183" spans="1:65" s="15" customFormat="1" ht="11.25">
      <c r="B183" s="216"/>
      <c r="C183" s="217"/>
      <c r="D183" s="196" t="s">
        <v>388</v>
      </c>
      <c r="E183" s="218" t="s">
        <v>19</v>
      </c>
      <c r="F183" s="219" t="s">
        <v>419</v>
      </c>
      <c r="G183" s="217"/>
      <c r="H183" s="220">
        <v>409.5</v>
      </c>
      <c r="I183" s="221"/>
      <c r="J183" s="217"/>
      <c r="K183" s="217"/>
      <c r="L183" s="222"/>
      <c r="M183" s="223"/>
      <c r="N183" s="224"/>
      <c r="O183" s="224"/>
      <c r="P183" s="224"/>
      <c r="Q183" s="224"/>
      <c r="R183" s="224"/>
      <c r="S183" s="224"/>
      <c r="T183" s="225"/>
      <c r="AT183" s="226" t="s">
        <v>388</v>
      </c>
      <c r="AU183" s="226" t="s">
        <v>79</v>
      </c>
      <c r="AV183" s="15" t="s">
        <v>386</v>
      </c>
      <c r="AW183" s="15" t="s">
        <v>33</v>
      </c>
      <c r="AX183" s="15" t="s">
        <v>79</v>
      </c>
      <c r="AY183" s="226" t="s">
        <v>380</v>
      </c>
    </row>
    <row r="184" spans="1:65" s="2" customFormat="1" ht="16.5" customHeight="1">
      <c r="A184" s="36"/>
      <c r="B184" s="37"/>
      <c r="C184" s="181" t="s">
        <v>664</v>
      </c>
      <c r="D184" s="181" t="s">
        <v>382</v>
      </c>
      <c r="E184" s="182" t="s">
        <v>4337</v>
      </c>
      <c r="F184" s="183" t="s">
        <v>4338</v>
      </c>
      <c r="G184" s="184" t="s">
        <v>452</v>
      </c>
      <c r="H184" s="185">
        <v>12</v>
      </c>
      <c r="I184" s="186"/>
      <c r="J184" s="187">
        <f>ROUND(I184*H184,2)</f>
        <v>0</v>
      </c>
      <c r="K184" s="183" t="s">
        <v>19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787</v>
      </c>
      <c r="AT184" s="192" t="s">
        <v>382</v>
      </c>
      <c r="AU184" s="192" t="s">
        <v>79</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787</v>
      </c>
      <c r="BM184" s="192" t="s">
        <v>971</v>
      </c>
    </row>
    <row r="185" spans="1:65" s="2" customFormat="1" ht="16.5" customHeight="1">
      <c r="A185" s="36"/>
      <c r="B185" s="37"/>
      <c r="C185" s="227" t="s">
        <v>668</v>
      </c>
      <c r="D185" s="227" t="s">
        <v>465</v>
      </c>
      <c r="E185" s="228" t="s">
        <v>4339</v>
      </c>
      <c r="F185" s="229" t="s">
        <v>4340</v>
      </c>
      <c r="G185" s="230" t="s">
        <v>452</v>
      </c>
      <c r="H185" s="231">
        <v>12.6</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1923</v>
      </c>
      <c r="AT185" s="192" t="s">
        <v>465</v>
      </c>
      <c r="AU185" s="192" t="s">
        <v>79</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787</v>
      </c>
      <c r="BM185" s="192" t="s">
        <v>979</v>
      </c>
    </row>
    <row r="186" spans="1:65" s="14" customFormat="1" ht="11.25">
      <c r="B186" s="205"/>
      <c r="C186" s="206"/>
      <c r="D186" s="196" t="s">
        <v>388</v>
      </c>
      <c r="E186" s="207" t="s">
        <v>19</v>
      </c>
      <c r="F186" s="208" t="s">
        <v>4341</v>
      </c>
      <c r="G186" s="206"/>
      <c r="H186" s="209">
        <v>12.6</v>
      </c>
      <c r="I186" s="210"/>
      <c r="J186" s="206"/>
      <c r="K186" s="206"/>
      <c r="L186" s="211"/>
      <c r="M186" s="212"/>
      <c r="N186" s="213"/>
      <c r="O186" s="213"/>
      <c r="P186" s="213"/>
      <c r="Q186" s="213"/>
      <c r="R186" s="213"/>
      <c r="S186" s="213"/>
      <c r="T186" s="214"/>
      <c r="AT186" s="215" t="s">
        <v>388</v>
      </c>
      <c r="AU186" s="215" t="s">
        <v>79</v>
      </c>
      <c r="AV186" s="14" t="s">
        <v>82</v>
      </c>
      <c r="AW186" s="14" t="s">
        <v>33</v>
      </c>
      <c r="AX186" s="14" t="s">
        <v>72</v>
      </c>
      <c r="AY186" s="215" t="s">
        <v>380</v>
      </c>
    </row>
    <row r="187" spans="1:65" s="15" customFormat="1" ht="11.25">
      <c r="B187" s="216"/>
      <c r="C187" s="217"/>
      <c r="D187" s="196" t="s">
        <v>388</v>
      </c>
      <c r="E187" s="218" t="s">
        <v>19</v>
      </c>
      <c r="F187" s="219" t="s">
        <v>419</v>
      </c>
      <c r="G187" s="217"/>
      <c r="H187" s="220">
        <v>12.6</v>
      </c>
      <c r="I187" s="221"/>
      <c r="J187" s="217"/>
      <c r="K187" s="217"/>
      <c r="L187" s="222"/>
      <c r="M187" s="223"/>
      <c r="N187" s="224"/>
      <c r="O187" s="224"/>
      <c r="P187" s="224"/>
      <c r="Q187" s="224"/>
      <c r="R187" s="224"/>
      <c r="S187" s="224"/>
      <c r="T187" s="225"/>
      <c r="AT187" s="226" t="s">
        <v>388</v>
      </c>
      <c r="AU187" s="226" t="s">
        <v>79</v>
      </c>
      <c r="AV187" s="15" t="s">
        <v>386</v>
      </c>
      <c r="AW187" s="15" t="s">
        <v>33</v>
      </c>
      <c r="AX187" s="15" t="s">
        <v>79</v>
      </c>
      <c r="AY187" s="226" t="s">
        <v>380</v>
      </c>
    </row>
    <row r="188" spans="1:65" s="2" customFormat="1" ht="16.5" customHeight="1">
      <c r="A188" s="36"/>
      <c r="B188" s="37"/>
      <c r="C188" s="181" t="s">
        <v>672</v>
      </c>
      <c r="D188" s="181" t="s">
        <v>382</v>
      </c>
      <c r="E188" s="182" t="s">
        <v>4342</v>
      </c>
      <c r="F188" s="183" t="s">
        <v>4343</v>
      </c>
      <c r="G188" s="184" t="s">
        <v>452</v>
      </c>
      <c r="H188" s="185">
        <v>28</v>
      </c>
      <c r="I188" s="186"/>
      <c r="J188" s="187">
        <f>ROUND(I188*H188,2)</f>
        <v>0</v>
      </c>
      <c r="K188" s="183" t="s">
        <v>19</v>
      </c>
      <c r="L188" s="41"/>
      <c r="M188" s="188" t="s">
        <v>19</v>
      </c>
      <c r="N188" s="189" t="s">
        <v>43</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787</v>
      </c>
      <c r="AT188" s="192" t="s">
        <v>382</v>
      </c>
      <c r="AU188" s="192" t="s">
        <v>79</v>
      </c>
      <c r="AY188" s="19" t="s">
        <v>380</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787</v>
      </c>
      <c r="BM188" s="192" t="s">
        <v>987</v>
      </c>
    </row>
    <row r="189" spans="1:65" s="2" customFormat="1" ht="16.5" customHeight="1">
      <c r="A189" s="36"/>
      <c r="B189" s="37"/>
      <c r="C189" s="227" t="s">
        <v>677</v>
      </c>
      <c r="D189" s="227" t="s">
        <v>465</v>
      </c>
      <c r="E189" s="228" t="s">
        <v>4344</v>
      </c>
      <c r="F189" s="229" t="s">
        <v>4345</v>
      </c>
      <c r="G189" s="230" t="s">
        <v>452</v>
      </c>
      <c r="H189" s="231">
        <v>28</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1923</v>
      </c>
      <c r="AT189" s="192" t="s">
        <v>465</v>
      </c>
      <c r="AU189" s="192" t="s">
        <v>79</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787</v>
      </c>
      <c r="BM189" s="192" t="s">
        <v>995</v>
      </c>
    </row>
    <row r="190" spans="1:65" s="2" customFormat="1" ht="16.5" customHeight="1">
      <c r="A190" s="36"/>
      <c r="B190" s="37"/>
      <c r="C190" s="181" t="s">
        <v>688</v>
      </c>
      <c r="D190" s="181" t="s">
        <v>382</v>
      </c>
      <c r="E190" s="182" t="s">
        <v>4346</v>
      </c>
      <c r="F190" s="183" t="s">
        <v>4347</v>
      </c>
      <c r="G190" s="184" t="s">
        <v>452</v>
      </c>
      <c r="H190" s="185">
        <v>20</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787</v>
      </c>
      <c r="AT190" s="192" t="s">
        <v>382</v>
      </c>
      <c r="AU190" s="192" t="s">
        <v>79</v>
      </c>
      <c r="AY190" s="19" t="s">
        <v>380</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787</v>
      </c>
      <c r="BM190" s="192" t="s">
        <v>154</v>
      </c>
    </row>
    <row r="191" spans="1:65" s="2" customFormat="1" ht="16.5" customHeight="1">
      <c r="A191" s="36"/>
      <c r="B191" s="37"/>
      <c r="C191" s="227" t="s">
        <v>699</v>
      </c>
      <c r="D191" s="227" t="s">
        <v>465</v>
      </c>
      <c r="E191" s="228" t="s">
        <v>4348</v>
      </c>
      <c r="F191" s="229" t="s">
        <v>4349</v>
      </c>
      <c r="G191" s="230" t="s">
        <v>452</v>
      </c>
      <c r="H191" s="231">
        <v>22</v>
      </c>
      <c r="I191" s="232"/>
      <c r="J191" s="233">
        <f>ROUND(I191*H191,2)</f>
        <v>0</v>
      </c>
      <c r="K191" s="229" t="s">
        <v>19</v>
      </c>
      <c r="L191" s="234"/>
      <c r="M191" s="235" t="s">
        <v>19</v>
      </c>
      <c r="N191" s="236" t="s">
        <v>43</v>
      </c>
      <c r="O191" s="66"/>
      <c r="P191" s="190">
        <f>O191*H191</f>
        <v>0</v>
      </c>
      <c r="Q191" s="190">
        <v>1.57E-3</v>
      </c>
      <c r="R191" s="190">
        <f>Q191*H191</f>
        <v>3.4540000000000001E-2</v>
      </c>
      <c r="S191" s="190">
        <v>0</v>
      </c>
      <c r="T191" s="191">
        <f>S191*H191</f>
        <v>0</v>
      </c>
      <c r="U191" s="36"/>
      <c r="V191" s="36"/>
      <c r="W191" s="36"/>
      <c r="X191" s="36"/>
      <c r="Y191" s="36"/>
      <c r="Z191" s="36"/>
      <c r="AA191" s="36"/>
      <c r="AB191" s="36"/>
      <c r="AC191" s="36"/>
      <c r="AD191" s="36"/>
      <c r="AE191" s="36"/>
      <c r="AR191" s="192" t="s">
        <v>1923</v>
      </c>
      <c r="AT191" s="192" t="s">
        <v>465</v>
      </c>
      <c r="AU191" s="192" t="s">
        <v>79</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787</v>
      </c>
      <c r="BM191" s="192" t="s">
        <v>160</v>
      </c>
    </row>
    <row r="192" spans="1:65" s="14" customFormat="1" ht="11.25">
      <c r="B192" s="205"/>
      <c r="C192" s="206"/>
      <c r="D192" s="196" t="s">
        <v>388</v>
      </c>
      <c r="E192" s="207" t="s">
        <v>19</v>
      </c>
      <c r="F192" s="208" t="s">
        <v>4350</v>
      </c>
      <c r="G192" s="206"/>
      <c r="H192" s="209">
        <v>22</v>
      </c>
      <c r="I192" s="210"/>
      <c r="J192" s="206"/>
      <c r="K192" s="206"/>
      <c r="L192" s="211"/>
      <c r="M192" s="212"/>
      <c r="N192" s="213"/>
      <c r="O192" s="213"/>
      <c r="P192" s="213"/>
      <c r="Q192" s="213"/>
      <c r="R192" s="213"/>
      <c r="S192" s="213"/>
      <c r="T192" s="214"/>
      <c r="AT192" s="215" t="s">
        <v>388</v>
      </c>
      <c r="AU192" s="215" t="s">
        <v>79</v>
      </c>
      <c r="AV192" s="14" t="s">
        <v>82</v>
      </c>
      <c r="AW192" s="14" t="s">
        <v>33</v>
      </c>
      <c r="AX192" s="14" t="s">
        <v>72</v>
      </c>
      <c r="AY192" s="215" t="s">
        <v>380</v>
      </c>
    </row>
    <row r="193" spans="1:65" s="15" customFormat="1" ht="11.25">
      <c r="B193" s="216"/>
      <c r="C193" s="217"/>
      <c r="D193" s="196" t="s">
        <v>388</v>
      </c>
      <c r="E193" s="218" t="s">
        <v>19</v>
      </c>
      <c r="F193" s="219" t="s">
        <v>419</v>
      </c>
      <c r="G193" s="217"/>
      <c r="H193" s="220">
        <v>22</v>
      </c>
      <c r="I193" s="221"/>
      <c r="J193" s="217"/>
      <c r="K193" s="217"/>
      <c r="L193" s="222"/>
      <c r="M193" s="223"/>
      <c r="N193" s="224"/>
      <c r="O193" s="224"/>
      <c r="P193" s="224"/>
      <c r="Q193" s="224"/>
      <c r="R193" s="224"/>
      <c r="S193" s="224"/>
      <c r="T193" s="225"/>
      <c r="AT193" s="226" t="s">
        <v>388</v>
      </c>
      <c r="AU193" s="226" t="s">
        <v>79</v>
      </c>
      <c r="AV193" s="15" t="s">
        <v>386</v>
      </c>
      <c r="AW193" s="15" t="s">
        <v>33</v>
      </c>
      <c r="AX193" s="15" t="s">
        <v>79</v>
      </c>
      <c r="AY193" s="226" t="s">
        <v>380</v>
      </c>
    </row>
    <row r="194" spans="1:65" s="2" customFormat="1" ht="16.5" customHeight="1">
      <c r="A194" s="36"/>
      <c r="B194" s="37"/>
      <c r="C194" s="181" t="s">
        <v>703</v>
      </c>
      <c r="D194" s="181" t="s">
        <v>382</v>
      </c>
      <c r="E194" s="182" t="s">
        <v>4351</v>
      </c>
      <c r="F194" s="183" t="s">
        <v>4352</v>
      </c>
      <c r="G194" s="184" t="s">
        <v>452</v>
      </c>
      <c r="H194" s="185">
        <v>36</v>
      </c>
      <c r="I194" s="186"/>
      <c r="J194" s="187">
        <f>ROUND(I194*H194,2)</f>
        <v>0</v>
      </c>
      <c r="K194" s="183" t="s">
        <v>19</v>
      </c>
      <c r="L194" s="41"/>
      <c r="M194" s="188" t="s">
        <v>19</v>
      </c>
      <c r="N194" s="189"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787</v>
      </c>
      <c r="AT194" s="192" t="s">
        <v>382</v>
      </c>
      <c r="AU194" s="192" t="s">
        <v>79</v>
      </c>
      <c r="AY194" s="19" t="s">
        <v>380</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787</v>
      </c>
      <c r="BM194" s="192" t="s">
        <v>163</v>
      </c>
    </row>
    <row r="195" spans="1:65" s="2" customFormat="1" ht="16.5" customHeight="1">
      <c r="A195" s="36"/>
      <c r="B195" s="37"/>
      <c r="C195" s="227" t="s">
        <v>709</v>
      </c>
      <c r="D195" s="227" t="s">
        <v>465</v>
      </c>
      <c r="E195" s="228" t="s">
        <v>4353</v>
      </c>
      <c r="F195" s="229" t="s">
        <v>4354</v>
      </c>
      <c r="G195" s="230" t="s">
        <v>452</v>
      </c>
      <c r="H195" s="231">
        <v>39.6</v>
      </c>
      <c r="I195" s="232"/>
      <c r="J195" s="233">
        <f>ROUND(I195*H195,2)</f>
        <v>0</v>
      </c>
      <c r="K195" s="229" t="s">
        <v>19</v>
      </c>
      <c r="L195" s="234"/>
      <c r="M195" s="235" t="s">
        <v>19</v>
      </c>
      <c r="N195" s="236" t="s">
        <v>43</v>
      </c>
      <c r="O195" s="66"/>
      <c r="P195" s="190">
        <f>O195*H195</f>
        <v>0</v>
      </c>
      <c r="Q195" s="190">
        <v>8.8000000000000005E-3</v>
      </c>
      <c r="R195" s="190">
        <f>Q195*H195</f>
        <v>0.34848000000000001</v>
      </c>
      <c r="S195" s="190">
        <v>0</v>
      </c>
      <c r="T195" s="191">
        <f>S195*H195</f>
        <v>0</v>
      </c>
      <c r="U195" s="36"/>
      <c r="V195" s="36"/>
      <c r="W195" s="36"/>
      <c r="X195" s="36"/>
      <c r="Y195" s="36"/>
      <c r="Z195" s="36"/>
      <c r="AA195" s="36"/>
      <c r="AB195" s="36"/>
      <c r="AC195" s="36"/>
      <c r="AD195" s="36"/>
      <c r="AE195" s="36"/>
      <c r="AR195" s="192" t="s">
        <v>1923</v>
      </c>
      <c r="AT195" s="192" t="s">
        <v>465</v>
      </c>
      <c r="AU195" s="192" t="s">
        <v>79</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787</v>
      </c>
      <c r="BM195" s="192" t="s">
        <v>1029</v>
      </c>
    </row>
    <row r="196" spans="1:65" s="14" customFormat="1" ht="11.25">
      <c r="B196" s="205"/>
      <c r="C196" s="206"/>
      <c r="D196" s="196" t="s">
        <v>388</v>
      </c>
      <c r="E196" s="207" t="s">
        <v>19</v>
      </c>
      <c r="F196" s="208" t="s">
        <v>4355</v>
      </c>
      <c r="G196" s="206"/>
      <c r="H196" s="209">
        <v>39.6</v>
      </c>
      <c r="I196" s="210"/>
      <c r="J196" s="206"/>
      <c r="K196" s="206"/>
      <c r="L196" s="211"/>
      <c r="M196" s="212"/>
      <c r="N196" s="213"/>
      <c r="O196" s="213"/>
      <c r="P196" s="213"/>
      <c r="Q196" s="213"/>
      <c r="R196" s="213"/>
      <c r="S196" s="213"/>
      <c r="T196" s="214"/>
      <c r="AT196" s="215" t="s">
        <v>388</v>
      </c>
      <c r="AU196" s="215" t="s">
        <v>79</v>
      </c>
      <c r="AV196" s="14" t="s">
        <v>82</v>
      </c>
      <c r="AW196" s="14" t="s">
        <v>33</v>
      </c>
      <c r="AX196" s="14" t="s">
        <v>72</v>
      </c>
      <c r="AY196" s="215" t="s">
        <v>380</v>
      </c>
    </row>
    <row r="197" spans="1:65" s="15" customFormat="1" ht="11.25">
      <c r="B197" s="216"/>
      <c r="C197" s="217"/>
      <c r="D197" s="196" t="s">
        <v>388</v>
      </c>
      <c r="E197" s="218" t="s">
        <v>19</v>
      </c>
      <c r="F197" s="219" t="s">
        <v>419</v>
      </c>
      <c r="G197" s="217"/>
      <c r="H197" s="220">
        <v>39.6</v>
      </c>
      <c r="I197" s="221"/>
      <c r="J197" s="217"/>
      <c r="K197" s="217"/>
      <c r="L197" s="222"/>
      <c r="M197" s="223"/>
      <c r="N197" s="224"/>
      <c r="O197" s="224"/>
      <c r="P197" s="224"/>
      <c r="Q197" s="224"/>
      <c r="R197" s="224"/>
      <c r="S197" s="224"/>
      <c r="T197" s="225"/>
      <c r="AT197" s="226" t="s">
        <v>388</v>
      </c>
      <c r="AU197" s="226" t="s">
        <v>79</v>
      </c>
      <c r="AV197" s="15" t="s">
        <v>386</v>
      </c>
      <c r="AW197" s="15" t="s">
        <v>33</v>
      </c>
      <c r="AX197" s="15" t="s">
        <v>79</v>
      </c>
      <c r="AY197" s="226" t="s">
        <v>380</v>
      </c>
    </row>
    <row r="198" spans="1:65" s="2" customFormat="1" ht="16.5" customHeight="1">
      <c r="A198" s="36"/>
      <c r="B198" s="37"/>
      <c r="C198" s="181" t="s">
        <v>721</v>
      </c>
      <c r="D198" s="181" t="s">
        <v>382</v>
      </c>
      <c r="E198" s="182" t="s">
        <v>4356</v>
      </c>
      <c r="F198" s="183" t="s">
        <v>4357</v>
      </c>
      <c r="G198" s="184" t="s">
        <v>452</v>
      </c>
      <c r="H198" s="185">
        <v>18</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787</v>
      </c>
      <c r="AT198" s="192" t="s">
        <v>382</v>
      </c>
      <c r="AU198" s="192" t="s">
        <v>79</v>
      </c>
      <c r="AY198" s="19" t="s">
        <v>380</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787</v>
      </c>
      <c r="BM198" s="192" t="s">
        <v>1039</v>
      </c>
    </row>
    <row r="199" spans="1:65" s="2" customFormat="1" ht="16.5" customHeight="1">
      <c r="A199" s="36"/>
      <c r="B199" s="37"/>
      <c r="C199" s="227" t="s">
        <v>733</v>
      </c>
      <c r="D199" s="227" t="s">
        <v>465</v>
      </c>
      <c r="E199" s="228" t="s">
        <v>4358</v>
      </c>
      <c r="F199" s="229" t="s">
        <v>4359</v>
      </c>
      <c r="G199" s="230" t="s">
        <v>452</v>
      </c>
      <c r="H199" s="231">
        <v>19.8</v>
      </c>
      <c r="I199" s="232"/>
      <c r="J199" s="233">
        <f>ROUND(I199*H199,2)</f>
        <v>0</v>
      </c>
      <c r="K199" s="229" t="s">
        <v>19</v>
      </c>
      <c r="L199" s="234"/>
      <c r="M199" s="235" t="s">
        <v>19</v>
      </c>
      <c r="N199" s="236" t="s">
        <v>43</v>
      </c>
      <c r="O199" s="66"/>
      <c r="P199" s="190">
        <f>O199*H199</f>
        <v>0</v>
      </c>
      <c r="Q199" s="190">
        <v>5.5000000000000003E-4</v>
      </c>
      <c r="R199" s="190">
        <f>Q199*H199</f>
        <v>1.089E-2</v>
      </c>
      <c r="S199" s="190">
        <v>0</v>
      </c>
      <c r="T199" s="191">
        <f>S199*H199</f>
        <v>0</v>
      </c>
      <c r="U199" s="36"/>
      <c r="V199" s="36"/>
      <c r="W199" s="36"/>
      <c r="X199" s="36"/>
      <c r="Y199" s="36"/>
      <c r="Z199" s="36"/>
      <c r="AA199" s="36"/>
      <c r="AB199" s="36"/>
      <c r="AC199" s="36"/>
      <c r="AD199" s="36"/>
      <c r="AE199" s="36"/>
      <c r="AR199" s="192" t="s">
        <v>1923</v>
      </c>
      <c r="AT199" s="192" t="s">
        <v>465</v>
      </c>
      <c r="AU199" s="192" t="s">
        <v>79</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787</v>
      </c>
      <c r="BM199" s="192" t="s">
        <v>1049</v>
      </c>
    </row>
    <row r="200" spans="1:65" s="14" customFormat="1" ht="11.25">
      <c r="B200" s="205"/>
      <c r="C200" s="206"/>
      <c r="D200" s="196" t="s">
        <v>388</v>
      </c>
      <c r="E200" s="207" t="s">
        <v>19</v>
      </c>
      <c r="F200" s="208" t="s">
        <v>4360</v>
      </c>
      <c r="G200" s="206"/>
      <c r="H200" s="209">
        <v>19.8</v>
      </c>
      <c r="I200" s="210"/>
      <c r="J200" s="206"/>
      <c r="K200" s="206"/>
      <c r="L200" s="211"/>
      <c r="M200" s="212"/>
      <c r="N200" s="213"/>
      <c r="O200" s="213"/>
      <c r="P200" s="213"/>
      <c r="Q200" s="213"/>
      <c r="R200" s="213"/>
      <c r="S200" s="213"/>
      <c r="T200" s="214"/>
      <c r="AT200" s="215" t="s">
        <v>388</v>
      </c>
      <c r="AU200" s="215" t="s">
        <v>79</v>
      </c>
      <c r="AV200" s="14" t="s">
        <v>82</v>
      </c>
      <c r="AW200" s="14" t="s">
        <v>33</v>
      </c>
      <c r="AX200" s="14" t="s">
        <v>72</v>
      </c>
      <c r="AY200" s="215" t="s">
        <v>380</v>
      </c>
    </row>
    <row r="201" spans="1:65" s="15" customFormat="1" ht="11.25">
      <c r="B201" s="216"/>
      <c r="C201" s="217"/>
      <c r="D201" s="196" t="s">
        <v>388</v>
      </c>
      <c r="E201" s="218" t="s">
        <v>19</v>
      </c>
      <c r="F201" s="219" t="s">
        <v>419</v>
      </c>
      <c r="G201" s="217"/>
      <c r="H201" s="220">
        <v>19.8</v>
      </c>
      <c r="I201" s="221"/>
      <c r="J201" s="217"/>
      <c r="K201" s="217"/>
      <c r="L201" s="222"/>
      <c r="M201" s="223"/>
      <c r="N201" s="224"/>
      <c r="O201" s="224"/>
      <c r="P201" s="224"/>
      <c r="Q201" s="224"/>
      <c r="R201" s="224"/>
      <c r="S201" s="224"/>
      <c r="T201" s="225"/>
      <c r="AT201" s="226" t="s">
        <v>388</v>
      </c>
      <c r="AU201" s="226" t="s">
        <v>79</v>
      </c>
      <c r="AV201" s="15" t="s">
        <v>386</v>
      </c>
      <c r="AW201" s="15" t="s">
        <v>33</v>
      </c>
      <c r="AX201" s="15" t="s">
        <v>79</v>
      </c>
      <c r="AY201" s="226" t="s">
        <v>380</v>
      </c>
    </row>
    <row r="202" spans="1:65" s="2" customFormat="1" ht="16.5" customHeight="1">
      <c r="A202" s="36"/>
      <c r="B202" s="37"/>
      <c r="C202" s="181" t="s">
        <v>744</v>
      </c>
      <c r="D202" s="181" t="s">
        <v>382</v>
      </c>
      <c r="E202" s="182" t="s">
        <v>4361</v>
      </c>
      <c r="F202" s="183" t="s">
        <v>4362</v>
      </c>
      <c r="G202" s="184" t="s">
        <v>452</v>
      </c>
      <c r="H202" s="185">
        <v>34</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787</v>
      </c>
      <c r="AT202" s="192" t="s">
        <v>382</v>
      </c>
      <c r="AU202" s="192" t="s">
        <v>79</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787</v>
      </c>
      <c r="BM202" s="192" t="s">
        <v>1059</v>
      </c>
    </row>
    <row r="203" spans="1:65" s="2" customFormat="1" ht="16.5" customHeight="1">
      <c r="A203" s="36"/>
      <c r="B203" s="37"/>
      <c r="C203" s="227" t="s">
        <v>753</v>
      </c>
      <c r="D203" s="227" t="s">
        <v>465</v>
      </c>
      <c r="E203" s="228" t="s">
        <v>4363</v>
      </c>
      <c r="F203" s="229" t="s">
        <v>4364</v>
      </c>
      <c r="G203" s="230" t="s">
        <v>452</v>
      </c>
      <c r="H203" s="231">
        <v>37.4</v>
      </c>
      <c r="I203" s="232"/>
      <c r="J203" s="233">
        <f>ROUND(I203*H203,2)</f>
        <v>0</v>
      </c>
      <c r="K203" s="229" t="s">
        <v>19</v>
      </c>
      <c r="L203" s="234"/>
      <c r="M203" s="235" t="s">
        <v>19</v>
      </c>
      <c r="N203" s="236" t="s">
        <v>43</v>
      </c>
      <c r="O203" s="66"/>
      <c r="P203" s="190">
        <f>O203*H203</f>
        <v>0</v>
      </c>
      <c r="Q203" s="190">
        <v>6.8999999999999997E-4</v>
      </c>
      <c r="R203" s="190">
        <f>Q203*H203</f>
        <v>2.5805999999999999E-2</v>
      </c>
      <c r="S203" s="190">
        <v>0</v>
      </c>
      <c r="T203" s="191">
        <f>S203*H203</f>
        <v>0</v>
      </c>
      <c r="U203" s="36"/>
      <c r="V203" s="36"/>
      <c r="W203" s="36"/>
      <c r="X203" s="36"/>
      <c r="Y203" s="36"/>
      <c r="Z203" s="36"/>
      <c r="AA203" s="36"/>
      <c r="AB203" s="36"/>
      <c r="AC203" s="36"/>
      <c r="AD203" s="36"/>
      <c r="AE203" s="36"/>
      <c r="AR203" s="192" t="s">
        <v>1923</v>
      </c>
      <c r="AT203" s="192" t="s">
        <v>465</v>
      </c>
      <c r="AU203" s="192" t="s">
        <v>79</v>
      </c>
      <c r="AY203" s="19" t="s">
        <v>380</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787</v>
      </c>
      <c r="BM203" s="192" t="s">
        <v>1068</v>
      </c>
    </row>
    <row r="204" spans="1:65" s="14" customFormat="1" ht="11.25">
      <c r="B204" s="205"/>
      <c r="C204" s="206"/>
      <c r="D204" s="196" t="s">
        <v>388</v>
      </c>
      <c r="E204" s="207" t="s">
        <v>19</v>
      </c>
      <c r="F204" s="208" t="s">
        <v>4365</v>
      </c>
      <c r="G204" s="206"/>
      <c r="H204" s="209">
        <v>37.4</v>
      </c>
      <c r="I204" s="210"/>
      <c r="J204" s="206"/>
      <c r="K204" s="206"/>
      <c r="L204" s="211"/>
      <c r="M204" s="212"/>
      <c r="N204" s="213"/>
      <c r="O204" s="213"/>
      <c r="P204" s="213"/>
      <c r="Q204" s="213"/>
      <c r="R204" s="213"/>
      <c r="S204" s="213"/>
      <c r="T204" s="214"/>
      <c r="AT204" s="215" t="s">
        <v>388</v>
      </c>
      <c r="AU204" s="215" t="s">
        <v>79</v>
      </c>
      <c r="AV204" s="14" t="s">
        <v>82</v>
      </c>
      <c r="AW204" s="14" t="s">
        <v>33</v>
      </c>
      <c r="AX204" s="14" t="s">
        <v>72</v>
      </c>
      <c r="AY204" s="215" t="s">
        <v>380</v>
      </c>
    </row>
    <row r="205" spans="1:65" s="15" customFormat="1" ht="11.25">
      <c r="B205" s="216"/>
      <c r="C205" s="217"/>
      <c r="D205" s="196" t="s">
        <v>388</v>
      </c>
      <c r="E205" s="218" t="s">
        <v>19</v>
      </c>
      <c r="F205" s="219" t="s">
        <v>419</v>
      </c>
      <c r="G205" s="217"/>
      <c r="H205" s="220">
        <v>37.4</v>
      </c>
      <c r="I205" s="221"/>
      <c r="J205" s="217"/>
      <c r="K205" s="217"/>
      <c r="L205" s="222"/>
      <c r="M205" s="223"/>
      <c r="N205" s="224"/>
      <c r="O205" s="224"/>
      <c r="P205" s="224"/>
      <c r="Q205" s="224"/>
      <c r="R205" s="224"/>
      <c r="S205" s="224"/>
      <c r="T205" s="225"/>
      <c r="AT205" s="226" t="s">
        <v>388</v>
      </c>
      <c r="AU205" s="226" t="s">
        <v>79</v>
      </c>
      <c r="AV205" s="15" t="s">
        <v>386</v>
      </c>
      <c r="AW205" s="15" t="s">
        <v>33</v>
      </c>
      <c r="AX205" s="15" t="s">
        <v>79</v>
      </c>
      <c r="AY205" s="226" t="s">
        <v>380</v>
      </c>
    </row>
    <row r="206" spans="1:65" s="2" customFormat="1" ht="16.5" customHeight="1">
      <c r="A206" s="36"/>
      <c r="B206" s="37"/>
      <c r="C206" s="181" t="s">
        <v>760</v>
      </c>
      <c r="D206" s="181" t="s">
        <v>382</v>
      </c>
      <c r="E206" s="182" t="s">
        <v>4366</v>
      </c>
      <c r="F206" s="183" t="s">
        <v>4367</v>
      </c>
      <c r="G206" s="184" t="s">
        <v>641</v>
      </c>
      <c r="H206" s="185">
        <v>2</v>
      </c>
      <c r="I206" s="186"/>
      <c r="J206" s="187">
        <f t="shared" ref="J206:J237" si="10">ROUND(I206*H206,2)</f>
        <v>0</v>
      </c>
      <c r="K206" s="183" t="s">
        <v>19</v>
      </c>
      <c r="L206" s="41"/>
      <c r="M206" s="188" t="s">
        <v>19</v>
      </c>
      <c r="N206" s="189" t="s">
        <v>43</v>
      </c>
      <c r="O206" s="66"/>
      <c r="P206" s="190">
        <f t="shared" ref="P206:P237" si="11">O206*H206</f>
        <v>0</v>
      </c>
      <c r="Q206" s="190">
        <v>0</v>
      </c>
      <c r="R206" s="190">
        <f t="shared" ref="R206:R237" si="12">Q206*H206</f>
        <v>0</v>
      </c>
      <c r="S206" s="190">
        <v>0</v>
      </c>
      <c r="T206" s="191">
        <f t="shared" ref="T206:T237" si="13">S206*H206</f>
        <v>0</v>
      </c>
      <c r="U206" s="36"/>
      <c r="V206" s="36"/>
      <c r="W206" s="36"/>
      <c r="X206" s="36"/>
      <c r="Y206" s="36"/>
      <c r="Z206" s="36"/>
      <c r="AA206" s="36"/>
      <c r="AB206" s="36"/>
      <c r="AC206" s="36"/>
      <c r="AD206" s="36"/>
      <c r="AE206" s="36"/>
      <c r="AR206" s="192" t="s">
        <v>787</v>
      </c>
      <c r="AT206" s="192" t="s">
        <v>382</v>
      </c>
      <c r="AU206" s="192" t="s">
        <v>79</v>
      </c>
      <c r="AY206" s="19" t="s">
        <v>380</v>
      </c>
      <c r="BE206" s="193">
        <f t="shared" ref="BE206:BE237" si="14">IF(N206="základní",J206,0)</f>
        <v>0</v>
      </c>
      <c r="BF206" s="193">
        <f t="shared" ref="BF206:BF237" si="15">IF(N206="snížená",J206,0)</f>
        <v>0</v>
      </c>
      <c r="BG206" s="193">
        <f t="shared" ref="BG206:BG237" si="16">IF(N206="zákl. přenesená",J206,0)</f>
        <v>0</v>
      </c>
      <c r="BH206" s="193">
        <f t="shared" ref="BH206:BH237" si="17">IF(N206="sníž. přenesená",J206,0)</f>
        <v>0</v>
      </c>
      <c r="BI206" s="193">
        <f t="shared" ref="BI206:BI237" si="18">IF(N206="nulová",J206,0)</f>
        <v>0</v>
      </c>
      <c r="BJ206" s="19" t="s">
        <v>79</v>
      </c>
      <c r="BK206" s="193">
        <f t="shared" ref="BK206:BK237" si="19">ROUND(I206*H206,2)</f>
        <v>0</v>
      </c>
      <c r="BL206" s="19" t="s">
        <v>787</v>
      </c>
      <c r="BM206" s="192" t="s">
        <v>1079</v>
      </c>
    </row>
    <row r="207" spans="1:65" s="2" customFormat="1" ht="16.5" customHeight="1">
      <c r="A207" s="36"/>
      <c r="B207" s="37"/>
      <c r="C207" s="181" t="s">
        <v>767</v>
      </c>
      <c r="D207" s="181" t="s">
        <v>382</v>
      </c>
      <c r="E207" s="182" t="s">
        <v>4368</v>
      </c>
      <c r="F207" s="183" t="s">
        <v>4369</v>
      </c>
      <c r="G207" s="184" t="s">
        <v>641</v>
      </c>
      <c r="H207" s="185">
        <v>3</v>
      </c>
      <c r="I207" s="186"/>
      <c r="J207" s="187">
        <f t="shared" si="10"/>
        <v>0</v>
      </c>
      <c r="K207" s="183" t="s">
        <v>19</v>
      </c>
      <c r="L207" s="41"/>
      <c r="M207" s="188" t="s">
        <v>19</v>
      </c>
      <c r="N207" s="189" t="s">
        <v>43</v>
      </c>
      <c r="O207" s="66"/>
      <c r="P207" s="190">
        <f t="shared" si="11"/>
        <v>0</v>
      </c>
      <c r="Q207" s="190">
        <v>0</v>
      </c>
      <c r="R207" s="190">
        <f t="shared" si="12"/>
        <v>0</v>
      </c>
      <c r="S207" s="190">
        <v>0</v>
      </c>
      <c r="T207" s="191">
        <f t="shared" si="13"/>
        <v>0</v>
      </c>
      <c r="U207" s="36"/>
      <c r="V207" s="36"/>
      <c r="W207" s="36"/>
      <c r="X207" s="36"/>
      <c r="Y207" s="36"/>
      <c r="Z207" s="36"/>
      <c r="AA207" s="36"/>
      <c r="AB207" s="36"/>
      <c r="AC207" s="36"/>
      <c r="AD207" s="36"/>
      <c r="AE207" s="36"/>
      <c r="AR207" s="192" t="s">
        <v>787</v>
      </c>
      <c r="AT207" s="192" t="s">
        <v>382</v>
      </c>
      <c r="AU207" s="192" t="s">
        <v>79</v>
      </c>
      <c r="AY207" s="19" t="s">
        <v>380</v>
      </c>
      <c r="BE207" s="193">
        <f t="shared" si="14"/>
        <v>0</v>
      </c>
      <c r="BF207" s="193">
        <f t="shared" si="15"/>
        <v>0</v>
      </c>
      <c r="BG207" s="193">
        <f t="shared" si="16"/>
        <v>0</v>
      </c>
      <c r="BH207" s="193">
        <f t="shared" si="17"/>
        <v>0</v>
      </c>
      <c r="BI207" s="193">
        <f t="shared" si="18"/>
        <v>0</v>
      </c>
      <c r="BJ207" s="19" t="s">
        <v>79</v>
      </c>
      <c r="BK207" s="193">
        <f t="shared" si="19"/>
        <v>0</v>
      </c>
      <c r="BL207" s="19" t="s">
        <v>787</v>
      </c>
      <c r="BM207" s="192" t="s">
        <v>1095</v>
      </c>
    </row>
    <row r="208" spans="1:65" s="2" customFormat="1" ht="16.5" customHeight="1">
      <c r="A208" s="36"/>
      <c r="B208" s="37"/>
      <c r="C208" s="181" t="s">
        <v>771</v>
      </c>
      <c r="D208" s="181" t="s">
        <v>382</v>
      </c>
      <c r="E208" s="182" t="s">
        <v>4370</v>
      </c>
      <c r="F208" s="183" t="s">
        <v>4371</v>
      </c>
      <c r="G208" s="184" t="s">
        <v>641</v>
      </c>
      <c r="H208" s="185">
        <v>585</v>
      </c>
      <c r="I208" s="186"/>
      <c r="J208" s="187">
        <f t="shared" si="10"/>
        <v>0</v>
      </c>
      <c r="K208" s="183" t="s">
        <v>19</v>
      </c>
      <c r="L208" s="41"/>
      <c r="M208" s="188" t="s">
        <v>19</v>
      </c>
      <c r="N208" s="189" t="s">
        <v>43</v>
      </c>
      <c r="O208" s="66"/>
      <c r="P208" s="190">
        <f t="shared" si="11"/>
        <v>0</v>
      </c>
      <c r="Q208" s="190">
        <v>0</v>
      </c>
      <c r="R208" s="190">
        <f t="shared" si="12"/>
        <v>0</v>
      </c>
      <c r="S208" s="190">
        <v>0</v>
      </c>
      <c r="T208" s="191">
        <f t="shared" si="13"/>
        <v>0</v>
      </c>
      <c r="U208" s="36"/>
      <c r="V208" s="36"/>
      <c r="W208" s="36"/>
      <c r="X208" s="36"/>
      <c r="Y208" s="36"/>
      <c r="Z208" s="36"/>
      <c r="AA208" s="36"/>
      <c r="AB208" s="36"/>
      <c r="AC208" s="36"/>
      <c r="AD208" s="36"/>
      <c r="AE208" s="36"/>
      <c r="AR208" s="192" t="s">
        <v>787</v>
      </c>
      <c r="AT208" s="192" t="s">
        <v>382</v>
      </c>
      <c r="AU208" s="192" t="s">
        <v>79</v>
      </c>
      <c r="AY208" s="19" t="s">
        <v>380</v>
      </c>
      <c r="BE208" s="193">
        <f t="shared" si="14"/>
        <v>0</v>
      </c>
      <c r="BF208" s="193">
        <f t="shared" si="15"/>
        <v>0</v>
      </c>
      <c r="BG208" s="193">
        <f t="shared" si="16"/>
        <v>0</v>
      </c>
      <c r="BH208" s="193">
        <f t="shared" si="17"/>
        <v>0</v>
      </c>
      <c r="BI208" s="193">
        <f t="shared" si="18"/>
        <v>0</v>
      </c>
      <c r="BJ208" s="19" t="s">
        <v>79</v>
      </c>
      <c r="BK208" s="193">
        <f t="shared" si="19"/>
        <v>0</v>
      </c>
      <c r="BL208" s="19" t="s">
        <v>787</v>
      </c>
      <c r="BM208" s="192" t="s">
        <v>1112</v>
      </c>
    </row>
    <row r="209" spans="1:65" s="2" customFormat="1" ht="16.5" customHeight="1">
      <c r="A209" s="36"/>
      <c r="B209" s="37"/>
      <c r="C209" s="181" t="s">
        <v>776</v>
      </c>
      <c r="D209" s="181" t="s">
        <v>382</v>
      </c>
      <c r="E209" s="182" t="s">
        <v>4372</v>
      </c>
      <c r="F209" s="183" t="s">
        <v>4373</v>
      </c>
      <c r="G209" s="184" t="s">
        <v>641</v>
      </c>
      <c r="H209" s="185">
        <v>51</v>
      </c>
      <c r="I209" s="186"/>
      <c r="J209" s="187">
        <f t="shared" si="10"/>
        <v>0</v>
      </c>
      <c r="K209" s="183" t="s">
        <v>19</v>
      </c>
      <c r="L209" s="41"/>
      <c r="M209" s="188" t="s">
        <v>19</v>
      </c>
      <c r="N209" s="189" t="s">
        <v>43</v>
      </c>
      <c r="O209" s="66"/>
      <c r="P209" s="190">
        <f t="shared" si="11"/>
        <v>0</v>
      </c>
      <c r="Q209" s="190">
        <v>0</v>
      </c>
      <c r="R209" s="190">
        <f t="shared" si="12"/>
        <v>0</v>
      </c>
      <c r="S209" s="190">
        <v>0</v>
      </c>
      <c r="T209" s="191">
        <f t="shared" si="13"/>
        <v>0</v>
      </c>
      <c r="U209" s="36"/>
      <c r="V209" s="36"/>
      <c r="W209" s="36"/>
      <c r="X209" s="36"/>
      <c r="Y209" s="36"/>
      <c r="Z209" s="36"/>
      <c r="AA209" s="36"/>
      <c r="AB209" s="36"/>
      <c r="AC209" s="36"/>
      <c r="AD209" s="36"/>
      <c r="AE209" s="36"/>
      <c r="AR209" s="192" t="s">
        <v>787</v>
      </c>
      <c r="AT209" s="192" t="s">
        <v>382</v>
      </c>
      <c r="AU209" s="192" t="s">
        <v>79</v>
      </c>
      <c r="AY209" s="19" t="s">
        <v>380</v>
      </c>
      <c r="BE209" s="193">
        <f t="shared" si="14"/>
        <v>0</v>
      </c>
      <c r="BF209" s="193">
        <f t="shared" si="15"/>
        <v>0</v>
      </c>
      <c r="BG209" s="193">
        <f t="shared" si="16"/>
        <v>0</v>
      </c>
      <c r="BH209" s="193">
        <f t="shared" si="17"/>
        <v>0</v>
      </c>
      <c r="BI209" s="193">
        <f t="shared" si="18"/>
        <v>0</v>
      </c>
      <c r="BJ209" s="19" t="s">
        <v>79</v>
      </c>
      <c r="BK209" s="193">
        <f t="shared" si="19"/>
        <v>0</v>
      </c>
      <c r="BL209" s="19" t="s">
        <v>787</v>
      </c>
      <c r="BM209" s="192" t="s">
        <v>1122</v>
      </c>
    </row>
    <row r="210" spans="1:65" s="2" customFormat="1" ht="16.5" customHeight="1">
      <c r="A210" s="36"/>
      <c r="B210" s="37"/>
      <c r="C210" s="181" t="s">
        <v>782</v>
      </c>
      <c r="D210" s="181" t="s">
        <v>382</v>
      </c>
      <c r="E210" s="182" t="s">
        <v>4374</v>
      </c>
      <c r="F210" s="183" t="s">
        <v>4375</v>
      </c>
      <c r="G210" s="184" t="s">
        <v>641</v>
      </c>
      <c r="H210" s="185">
        <v>13</v>
      </c>
      <c r="I210" s="186"/>
      <c r="J210" s="187">
        <f t="shared" si="10"/>
        <v>0</v>
      </c>
      <c r="K210" s="183" t="s">
        <v>19</v>
      </c>
      <c r="L210" s="41"/>
      <c r="M210" s="188" t="s">
        <v>19</v>
      </c>
      <c r="N210" s="189" t="s">
        <v>43</v>
      </c>
      <c r="O210" s="66"/>
      <c r="P210" s="190">
        <f t="shared" si="11"/>
        <v>0</v>
      </c>
      <c r="Q210" s="190">
        <v>0</v>
      </c>
      <c r="R210" s="190">
        <f t="shared" si="12"/>
        <v>0</v>
      </c>
      <c r="S210" s="190">
        <v>0</v>
      </c>
      <c r="T210" s="191">
        <f t="shared" si="13"/>
        <v>0</v>
      </c>
      <c r="U210" s="36"/>
      <c r="V210" s="36"/>
      <c r="W210" s="36"/>
      <c r="X210" s="36"/>
      <c r="Y210" s="36"/>
      <c r="Z210" s="36"/>
      <c r="AA210" s="36"/>
      <c r="AB210" s="36"/>
      <c r="AC210" s="36"/>
      <c r="AD210" s="36"/>
      <c r="AE210" s="36"/>
      <c r="AR210" s="192" t="s">
        <v>787</v>
      </c>
      <c r="AT210" s="192" t="s">
        <v>382</v>
      </c>
      <c r="AU210" s="192" t="s">
        <v>79</v>
      </c>
      <c r="AY210" s="19" t="s">
        <v>380</v>
      </c>
      <c r="BE210" s="193">
        <f t="shared" si="14"/>
        <v>0</v>
      </c>
      <c r="BF210" s="193">
        <f t="shared" si="15"/>
        <v>0</v>
      </c>
      <c r="BG210" s="193">
        <f t="shared" si="16"/>
        <v>0</v>
      </c>
      <c r="BH210" s="193">
        <f t="shared" si="17"/>
        <v>0</v>
      </c>
      <c r="BI210" s="193">
        <f t="shared" si="18"/>
        <v>0</v>
      </c>
      <c r="BJ210" s="19" t="s">
        <v>79</v>
      </c>
      <c r="BK210" s="193">
        <f t="shared" si="19"/>
        <v>0</v>
      </c>
      <c r="BL210" s="19" t="s">
        <v>787</v>
      </c>
      <c r="BM210" s="192" t="s">
        <v>1131</v>
      </c>
    </row>
    <row r="211" spans="1:65" s="2" customFormat="1" ht="16.5" customHeight="1">
      <c r="A211" s="36"/>
      <c r="B211" s="37"/>
      <c r="C211" s="181" t="s">
        <v>787</v>
      </c>
      <c r="D211" s="181" t="s">
        <v>382</v>
      </c>
      <c r="E211" s="182" t="s">
        <v>4376</v>
      </c>
      <c r="F211" s="183" t="s">
        <v>4377</v>
      </c>
      <c r="G211" s="184" t="s">
        <v>641</v>
      </c>
      <c r="H211" s="185">
        <v>46</v>
      </c>
      <c r="I211" s="186"/>
      <c r="J211" s="187">
        <f t="shared" si="10"/>
        <v>0</v>
      </c>
      <c r="K211" s="183" t="s">
        <v>19</v>
      </c>
      <c r="L211" s="41"/>
      <c r="M211" s="188" t="s">
        <v>19</v>
      </c>
      <c r="N211" s="189" t="s">
        <v>43</v>
      </c>
      <c r="O211" s="66"/>
      <c r="P211" s="190">
        <f t="shared" si="11"/>
        <v>0</v>
      </c>
      <c r="Q211" s="190">
        <v>0</v>
      </c>
      <c r="R211" s="190">
        <f t="shared" si="12"/>
        <v>0</v>
      </c>
      <c r="S211" s="190">
        <v>0</v>
      </c>
      <c r="T211" s="191">
        <f t="shared" si="13"/>
        <v>0</v>
      </c>
      <c r="U211" s="36"/>
      <c r="V211" s="36"/>
      <c r="W211" s="36"/>
      <c r="X211" s="36"/>
      <c r="Y211" s="36"/>
      <c r="Z211" s="36"/>
      <c r="AA211" s="36"/>
      <c r="AB211" s="36"/>
      <c r="AC211" s="36"/>
      <c r="AD211" s="36"/>
      <c r="AE211" s="36"/>
      <c r="AR211" s="192" t="s">
        <v>787</v>
      </c>
      <c r="AT211" s="192" t="s">
        <v>382</v>
      </c>
      <c r="AU211" s="192" t="s">
        <v>79</v>
      </c>
      <c r="AY211" s="19" t="s">
        <v>380</v>
      </c>
      <c r="BE211" s="193">
        <f t="shared" si="14"/>
        <v>0</v>
      </c>
      <c r="BF211" s="193">
        <f t="shared" si="15"/>
        <v>0</v>
      </c>
      <c r="BG211" s="193">
        <f t="shared" si="16"/>
        <v>0</v>
      </c>
      <c r="BH211" s="193">
        <f t="shared" si="17"/>
        <v>0</v>
      </c>
      <c r="BI211" s="193">
        <f t="shared" si="18"/>
        <v>0</v>
      </c>
      <c r="BJ211" s="19" t="s">
        <v>79</v>
      </c>
      <c r="BK211" s="193">
        <f t="shared" si="19"/>
        <v>0</v>
      </c>
      <c r="BL211" s="19" t="s">
        <v>787</v>
      </c>
      <c r="BM211" s="192" t="s">
        <v>1140</v>
      </c>
    </row>
    <row r="212" spans="1:65" s="2" customFormat="1" ht="16.5" customHeight="1">
      <c r="A212" s="36"/>
      <c r="B212" s="37"/>
      <c r="C212" s="181" t="s">
        <v>791</v>
      </c>
      <c r="D212" s="181" t="s">
        <v>382</v>
      </c>
      <c r="E212" s="182" t="s">
        <v>4378</v>
      </c>
      <c r="F212" s="183" t="s">
        <v>4379</v>
      </c>
      <c r="G212" s="184" t="s">
        <v>641</v>
      </c>
      <c r="H212" s="185">
        <v>11</v>
      </c>
      <c r="I212" s="186"/>
      <c r="J212" s="187">
        <f t="shared" si="10"/>
        <v>0</v>
      </c>
      <c r="K212" s="183" t="s">
        <v>19</v>
      </c>
      <c r="L212" s="41"/>
      <c r="M212" s="188" t="s">
        <v>19</v>
      </c>
      <c r="N212" s="189" t="s">
        <v>43</v>
      </c>
      <c r="O212" s="66"/>
      <c r="P212" s="190">
        <f t="shared" si="11"/>
        <v>0</v>
      </c>
      <c r="Q212" s="190">
        <v>0</v>
      </c>
      <c r="R212" s="190">
        <f t="shared" si="12"/>
        <v>0</v>
      </c>
      <c r="S212" s="190">
        <v>0</v>
      </c>
      <c r="T212" s="191">
        <f t="shared" si="13"/>
        <v>0</v>
      </c>
      <c r="U212" s="36"/>
      <c r="V212" s="36"/>
      <c r="W212" s="36"/>
      <c r="X212" s="36"/>
      <c r="Y212" s="36"/>
      <c r="Z212" s="36"/>
      <c r="AA212" s="36"/>
      <c r="AB212" s="36"/>
      <c r="AC212" s="36"/>
      <c r="AD212" s="36"/>
      <c r="AE212" s="36"/>
      <c r="AR212" s="192" t="s">
        <v>787</v>
      </c>
      <c r="AT212" s="192" t="s">
        <v>382</v>
      </c>
      <c r="AU212" s="192" t="s">
        <v>79</v>
      </c>
      <c r="AY212" s="19" t="s">
        <v>380</v>
      </c>
      <c r="BE212" s="193">
        <f t="shared" si="14"/>
        <v>0</v>
      </c>
      <c r="BF212" s="193">
        <f t="shared" si="15"/>
        <v>0</v>
      </c>
      <c r="BG212" s="193">
        <f t="shared" si="16"/>
        <v>0</v>
      </c>
      <c r="BH212" s="193">
        <f t="shared" si="17"/>
        <v>0</v>
      </c>
      <c r="BI212" s="193">
        <f t="shared" si="18"/>
        <v>0</v>
      </c>
      <c r="BJ212" s="19" t="s">
        <v>79</v>
      </c>
      <c r="BK212" s="193">
        <f t="shared" si="19"/>
        <v>0</v>
      </c>
      <c r="BL212" s="19" t="s">
        <v>787</v>
      </c>
      <c r="BM212" s="192" t="s">
        <v>1156</v>
      </c>
    </row>
    <row r="213" spans="1:65" s="2" customFormat="1" ht="16.5" customHeight="1">
      <c r="A213" s="36"/>
      <c r="B213" s="37"/>
      <c r="C213" s="181" t="s">
        <v>795</v>
      </c>
      <c r="D213" s="181" t="s">
        <v>382</v>
      </c>
      <c r="E213" s="182" t="s">
        <v>4380</v>
      </c>
      <c r="F213" s="183" t="s">
        <v>4381</v>
      </c>
      <c r="G213" s="184" t="s">
        <v>641</v>
      </c>
      <c r="H213" s="185">
        <v>9</v>
      </c>
      <c r="I213" s="186"/>
      <c r="J213" s="187">
        <f t="shared" si="10"/>
        <v>0</v>
      </c>
      <c r="K213" s="183" t="s">
        <v>19</v>
      </c>
      <c r="L213" s="41"/>
      <c r="M213" s="188" t="s">
        <v>19</v>
      </c>
      <c r="N213" s="189" t="s">
        <v>43</v>
      </c>
      <c r="O213" s="66"/>
      <c r="P213" s="190">
        <f t="shared" si="11"/>
        <v>0</v>
      </c>
      <c r="Q213" s="190">
        <v>0</v>
      </c>
      <c r="R213" s="190">
        <f t="shared" si="12"/>
        <v>0</v>
      </c>
      <c r="S213" s="190">
        <v>0</v>
      </c>
      <c r="T213" s="191">
        <f t="shared" si="13"/>
        <v>0</v>
      </c>
      <c r="U213" s="36"/>
      <c r="V213" s="36"/>
      <c r="W213" s="36"/>
      <c r="X213" s="36"/>
      <c r="Y213" s="36"/>
      <c r="Z213" s="36"/>
      <c r="AA213" s="36"/>
      <c r="AB213" s="36"/>
      <c r="AC213" s="36"/>
      <c r="AD213" s="36"/>
      <c r="AE213" s="36"/>
      <c r="AR213" s="192" t="s">
        <v>787</v>
      </c>
      <c r="AT213" s="192" t="s">
        <v>382</v>
      </c>
      <c r="AU213" s="192" t="s">
        <v>79</v>
      </c>
      <c r="AY213" s="19" t="s">
        <v>380</v>
      </c>
      <c r="BE213" s="193">
        <f t="shared" si="14"/>
        <v>0</v>
      </c>
      <c r="BF213" s="193">
        <f t="shared" si="15"/>
        <v>0</v>
      </c>
      <c r="BG213" s="193">
        <f t="shared" si="16"/>
        <v>0</v>
      </c>
      <c r="BH213" s="193">
        <f t="shared" si="17"/>
        <v>0</v>
      </c>
      <c r="BI213" s="193">
        <f t="shared" si="18"/>
        <v>0</v>
      </c>
      <c r="BJ213" s="19" t="s">
        <v>79</v>
      </c>
      <c r="BK213" s="193">
        <f t="shared" si="19"/>
        <v>0</v>
      </c>
      <c r="BL213" s="19" t="s">
        <v>787</v>
      </c>
      <c r="BM213" s="192" t="s">
        <v>1165</v>
      </c>
    </row>
    <row r="214" spans="1:65" s="2" customFormat="1" ht="16.5" customHeight="1">
      <c r="A214" s="36"/>
      <c r="B214" s="37"/>
      <c r="C214" s="181" t="s">
        <v>799</v>
      </c>
      <c r="D214" s="181" t="s">
        <v>382</v>
      </c>
      <c r="E214" s="182" t="s">
        <v>4382</v>
      </c>
      <c r="F214" s="183" t="s">
        <v>4383</v>
      </c>
      <c r="G214" s="184" t="s">
        <v>641</v>
      </c>
      <c r="H214" s="185">
        <v>8</v>
      </c>
      <c r="I214" s="186"/>
      <c r="J214" s="187">
        <f t="shared" si="10"/>
        <v>0</v>
      </c>
      <c r="K214" s="183" t="s">
        <v>19</v>
      </c>
      <c r="L214" s="41"/>
      <c r="M214" s="188" t="s">
        <v>19</v>
      </c>
      <c r="N214" s="189" t="s">
        <v>43</v>
      </c>
      <c r="O214" s="66"/>
      <c r="P214" s="190">
        <f t="shared" si="11"/>
        <v>0</v>
      </c>
      <c r="Q214" s="190">
        <v>0</v>
      </c>
      <c r="R214" s="190">
        <f t="shared" si="12"/>
        <v>0</v>
      </c>
      <c r="S214" s="190">
        <v>0</v>
      </c>
      <c r="T214" s="191">
        <f t="shared" si="13"/>
        <v>0</v>
      </c>
      <c r="U214" s="36"/>
      <c r="V214" s="36"/>
      <c r="W214" s="36"/>
      <c r="X214" s="36"/>
      <c r="Y214" s="36"/>
      <c r="Z214" s="36"/>
      <c r="AA214" s="36"/>
      <c r="AB214" s="36"/>
      <c r="AC214" s="36"/>
      <c r="AD214" s="36"/>
      <c r="AE214" s="36"/>
      <c r="AR214" s="192" t="s">
        <v>787</v>
      </c>
      <c r="AT214" s="192" t="s">
        <v>382</v>
      </c>
      <c r="AU214" s="192" t="s">
        <v>79</v>
      </c>
      <c r="AY214" s="19" t="s">
        <v>380</v>
      </c>
      <c r="BE214" s="193">
        <f t="shared" si="14"/>
        <v>0</v>
      </c>
      <c r="BF214" s="193">
        <f t="shared" si="15"/>
        <v>0</v>
      </c>
      <c r="BG214" s="193">
        <f t="shared" si="16"/>
        <v>0</v>
      </c>
      <c r="BH214" s="193">
        <f t="shared" si="17"/>
        <v>0</v>
      </c>
      <c r="BI214" s="193">
        <f t="shared" si="18"/>
        <v>0</v>
      </c>
      <c r="BJ214" s="19" t="s">
        <v>79</v>
      </c>
      <c r="BK214" s="193">
        <f t="shared" si="19"/>
        <v>0</v>
      </c>
      <c r="BL214" s="19" t="s">
        <v>787</v>
      </c>
      <c r="BM214" s="192" t="s">
        <v>1183</v>
      </c>
    </row>
    <row r="215" spans="1:65" s="2" customFormat="1" ht="16.5" customHeight="1">
      <c r="A215" s="36"/>
      <c r="B215" s="37"/>
      <c r="C215" s="181" t="s">
        <v>804</v>
      </c>
      <c r="D215" s="181" t="s">
        <v>382</v>
      </c>
      <c r="E215" s="182" t="s">
        <v>4384</v>
      </c>
      <c r="F215" s="183" t="s">
        <v>4385</v>
      </c>
      <c r="G215" s="184" t="s">
        <v>641</v>
      </c>
      <c r="H215" s="185">
        <v>2</v>
      </c>
      <c r="I215" s="186"/>
      <c r="J215" s="187">
        <f t="shared" si="10"/>
        <v>0</v>
      </c>
      <c r="K215" s="183" t="s">
        <v>19</v>
      </c>
      <c r="L215" s="41"/>
      <c r="M215" s="188" t="s">
        <v>19</v>
      </c>
      <c r="N215" s="189" t="s">
        <v>43</v>
      </c>
      <c r="O215" s="66"/>
      <c r="P215" s="190">
        <f t="shared" si="11"/>
        <v>0</v>
      </c>
      <c r="Q215" s="190">
        <v>0</v>
      </c>
      <c r="R215" s="190">
        <f t="shared" si="12"/>
        <v>0</v>
      </c>
      <c r="S215" s="190">
        <v>0</v>
      </c>
      <c r="T215" s="191">
        <f t="shared" si="13"/>
        <v>0</v>
      </c>
      <c r="U215" s="36"/>
      <c r="V215" s="36"/>
      <c r="W215" s="36"/>
      <c r="X215" s="36"/>
      <c r="Y215" s="36"/>
      <c r="Z215" s="36"/>
      <c r="AA215" s="36"/>
      <c r="AB215" s="36"/>
      <c r="AC215" s="36"/>
      <c r="AD215" s="36"/>
      <c r="AE215" s="36"/>
      <c r="AR215" s="192" t="s">
        <v>787</v>
      </c>
      <c r="AT215" s="192" t="s">
        <v>382</v>
      </c>
      <c r="AU215" s="192" t="s">
        <v>79</v>
      </c>
      <c r="AY215" s="19" t="s">
        <v>380</v>
      </c>
      <c r="BE215" s="193">
        <f t="shared" si="14"/>
        <v>0</v>
      </c>
      <c r="BF215" s="193">
        <f t="shared" si="15"/>
        <v>0</v>
      </c>
      <c r="BG215" s="193">
        <f t="shared" si="16"/>
        <v>0</v>
      </c>
      <c r="BH215" s="193">
        <f t="shared" si="17"/>
        <v>0</v>
      </c>
      <c r="BI215" s="193">
        <f t="shared" si="18"/>
        <v>0</v>
      </c>
      <c r="BJ215" s="19" t="s">
        <v>79</v>
      </c>
      <c r="BK215" s="193">
        <f t="shared" si="19"/>
        <v>0</v>
      </c>
      <c r="BL215" s="19" t="s">
        <v>787</v>
      </c>
      <c r="BM215" s="192" t="s">
        <v>1193</v>
      </c>
    </row>
    <row r="216" spans="1:65" s="2" customFormat="1" ht="16.5" customHeight="1">
      <c r="A216" s="36"/>
      <c r="B216" s="37"/>
      <c r="C216" s="181" t="s">
        <v>815</v>
      </c>
      <c r="D216" s="181" t="s">
        <v>382</v>
      </c>
      <c r="E216" s="182" t="s">
        <v>4386</v>
      </c>
      <c r="F216" s="183" t="s">
        <v>4387</v>
      </c>
      <c r="G216" s="184" t="s">
        <v>641</v>
      </c>
      <c r="H216" s="185">
        <v>159</v>
      </c>
      <c r="I216" s="186"/>
      <c r="J216" s="187">
        <f t="shared" si="10"/>
        <v>0</v>
      </c>
      <c r="K216" s="183" t="s">
        <v>19</v>
      </c>
      <c r="L216" s="41"/>
      <c r="M216" s="188" t="s">
        <v>19</v>
      </c>
      <c r="N216" s="189" t="s">
        <v>43</v>
      </c>
      <c r="O216" s="66"/>
      <c r="P216" s="190">
        <f t="shared" si="11"/>
        <v>0</v>
      </c>
      <c r="Q216" s="190">
        <v>0</v>
      </c>
      <c r="R216" s="190">
        <f t="shared" si="12"/>
        <v>0</v>
      </c>
      <c r="S216" s="190">
        <v>0</v>
      </c>
      <c r="T216" s="191">
        <f t="shared" si="13"/>
        <v>0</v>
      </c>
      <c r="U216" s="36"/>
      <c r="V216" s="36"/>
      <c r="W216" s="36"/>
      <c r="X216" s="36"/>
      <c r="Y216" s="36"/>
      <c r="Z216" s="36"/>
      <c r="AA216" s="36"/>
      <c r="AB216" s="36"/>
      <c r="AC216" s="36"/>
      <c r="AD216" s="36"/>
      <c r="AE216" s="36"/>
      <c r="AR216" s="192" t="s">
        <v>787</v>
      </c>
      <c r="AT216" s="192" t="s">
        <v>382</v>
      </c>
      <c r="AU216" s="192" t="s">
        <v>79</v>
      </c>
      <c r="AY216" s="19" t="s">
        <v>380</v>
      </c>
      <c r="BE216" s="193">
        <f t="shared" si="14"/>
        <v>0</v>
      </c>
      <c r="BF216" s="193">
        <f t="shared" si="15"/>
        <v>0</v>
      </c>
      <c r="BG216" s="193">
        <f t="shared" si="16"/>
        <v>0</v>
      </c>
      <c r="BH216" s="193">
        <f t="shared" si="17"/>
        <v>0</v>
      </c>
      <c r="BI216" s="193">
        <f t="shared" si="18"/>
        <v>0</v>
      </c>
      <c r="BJ216" s="19" t="s">
        <v>79</v>
      </c>
      <c r="BK216" s="193">
        <f t="shared" si="19"/>
        <v>0</v>
      </c>
      <c r="BL216" s="19" t="s">
        <v>787</v>
      </c>
      <c r="BM216" s="192" t="s">
        <v>1209</v>
      </c>
    </row>
    <row r="217" spans="1:65" s="2" customFormat="1" ht="16.5" customHeight="1">
      <c r="A217" s="36"/>
      <c r="B217" s="37"/>
      <c r="C217" s="227" t="s">
        <v>831</v>
      </c>
      <c r="D217" s="227" t="s">
        <v>465</v>
      </c>
      <c r="E217" s="228" t="s">
        <v>4388</v>
      </c>
      <c r="F217" s="229" t="s">
        <v>4389</v>
      </c>
      <c r="G217" s="230" t="s">
        <v>641</v>
      </c>
      <c r="H217" s="231">
        <v>159</v>
      </c>
      <c r="I217" s="232"/>
      <c r="J217" s="233">
        <f t="shared" si="10"/>
        <v>0</v>
      </c>
      <c r="K217" s="229" t="s">
        <v>19</v>
      </c>
      <c r="L217" s="234"/>
      <c r="M217" s="235" t="s">
        <v>19</v>
      </c>
      <c r="N217" s="236" t="s">
        <v>43</v>
      </c>
      <c r="O217" s="66"/>
      <c r="P217" s="190">
        <f t="shared" si="11"/>
        <v>0</v>
      </c>
      <c r="Q217" s="190">
        <v>9.0000000000000006E-5</v>
      </c>
      <c r="R217" s="190">
        <f t="shared" si="12"/>
        <v>1.4310000000000002E-2</v>
      </c>
      <c r="S217" s="190">
        <v>0</v>
      </c>
      <c r="T217" s="191">
        <f t="shared" si="13"/>
        <v>0</v>
      </c>
      <c r="U217" s="36"/>
      <c r="V217" s="36"/>
      <c r="W217" s="36"/>
      <c r="X217" s="36"/>
      <c r="Y217" s="36"/>
      <c r="Z217" s="36"/>
      <c r="AA217" s="36"/>
      <c r="AB217" s="36"/>
      <c r="AC217" s="36"/>
      <c r="AD217" s="36"/>
      <c r="AE217" s="36"/>
      <c r="AR217" s="192" t="s">
        <v>1923</v>
      </c>
      <c r="AT217" s="192" t="s">
        <v>465</v>
      </c>
      <c r="AU217" s="192" t="s">
        <v>79</v>
      </c>
      <c r="AY217" s="19" t="s">
        <v>380</v>
      </c>
      <c r="BE217" s="193">
        <f t="shared" si="14"/>
        <v>0</v>
      </c>
      <c r="BF217" s="193">
        <f t="shared" si="15"/>
        <v>0</v>
      </c>
      <c r="BG217" s="193">
        <f t="shared" si="16"/>
        <v>0</v>
      </c>
      <c r="BH217" s="193">
        <f t="shared" si="17"/>
        <v>0</v>
      </c>
      <c r="BI217" s="193">
        <f t="shared" si="18"/>
        <v>0</v>
      </c>
      <c r="BJ217" s="19" t="s">
        <v>79</v>
      </c>
      <c r="BK217" s="193">
        <f t="shared" si="19"/>
        <v>0</v>
      </c>
      <c r="BL217" s="19" t="s">
        <v>787</v>
      </c>
      <c r="BM217" s="192" t="s">
        <v>1222</v>
      </c>
    </row>
    <row r="218" spans="1:65" s="2" customFormat="1" ht="16.5" customHeight="1">
      <c r="A218" s="36"/>
      <c r="B218" s="37"/>
      <c r="C218" s="181" t="s">
        <v>835</v>
      </c>
      <c r="D218" s="181" t="s">
        <v>382</v>
      </c>
      <c r="E218" s="182" t="s">
        <v>4390</v>
      </c>
      <c r="F218" s="183" t="s">
        <v>4391</v>
      </c>
      <c r="G218" s="184" t="s">
        <v>641</v>
      </c>
      <c r="H218" s="185">
        <v>345</v>
      </c>
      <c r="I218" s="186"/>
      <c r="J218" s="187">
        <f t="shared" si="10"/>
        <v>0</v>
      </c>
      <c r="K218" s="183" t="s">
        <v>19</v>
      </c>
      <c r="L218" s="41"/>
      <c r="M218" s="188" t="s">
        <v>19</v>
      </c>
      <c r="N218" s="189" t="s">
        <v>43</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787</v>
      </c>
      <c r="AT218" s="192" t="s">
        <v>382</v>
      </c>
      <c r="AU218" s="192" t="s">
        <v>79</v>
      </c>
      <c r="AY218" s="19" t="s">
        <v>380</v>
      </c>
      <c r="BE218" s="193">
        <f t="shared" si="14"/>
        <v>0</v>
      </c>
      <c r="BF218" s="193">
        <f t="shared" si="15"/>
        <v>0</v>
      </c>
      <c r="BG218" s="193">
        <f t="shared" si="16"/>
        <v>0</v>
      </c>
      <c r="BH218" s="193">
        <f t="shared" si="17"/>
        <v>0</v>
      </c>
      <c r="BI218" s="193">
        <f t="shared" si="18"/>
        <v>0</v>
      </c>
      <c r="BJ218" s="19" t="s">
        <v>79</v>
      </c>
      <c r="BK218" s="193">
        <f t="shared" si="19"/>
        <v>0</v>
      </c>
      <c r="BL218" s="19" t="s">
        <v>787</v>
      </c>
      <c r="BM218" s="192" t="s">
        <v>1239</v>
      </c>
    </row>
    <row r="219" spans="1:65" s="2" customFormat="1" ht="16.5" customHeight="1">
      <c r="A219" s="36"/>
      <c r="B219" s="37"/>
      <c r="C219" s="227" t="s">
        <v>841</v>
      </c>
      <c r="D219" s="227" t="s">
        <v>465</v>
      </c>
      <c r="E219" s="228" t="s">
        <v>4392</v>
      </c>
      <c r="F219" s="229" t="s">
        <v>4393</v>
      </c>
      <c r="G219" s="230" t="s">
        <v>641</v>
      </c>
      <c r="H219" s="231">
        <v>345</v>
      </c>
      <c r="I219" s="232"/>
      <c r="J219" s="233">
        <f t="shared" si="10"/>
        <v>0</v>
      </c>
      <c r="K219" s="229" t="s">
        <v>19</v>
      </c>
      <c r="L219" s="234"/>
      <c r="M219" s="235" t="s">
        <v>19</v>
      </c>
      <c r="N219" s="236" t="s">
        <v>43</v>
      </c>
      <c r="O219" s="66"/>
      <c r="P219" s="190">
        <f t="shared" si="11"/>
        <v>0</v>
      </c>
      <c r="Q219" s="190">
        <v>3.0000000000000001E-5</v>
      </c>
      <c r="R219" s="190">
        <f t="shared" si="12"/>
        <v>1.035E-2</v>
      </c>
      <c r="S219" s="190">
        <v>0</v>
      </c>
      <c r="T219" s="191">
        <f t="shared" si="13"/>
        <v>0</v>
      </c>
      <c r="U219" s="36"/>
      <c r="V219" s="36"/>
      <c r="W219" s="36"/>
      <c r="X219" s="36"/>
      <c r="Y219" s="36"/>
      <c r="Z219" s="36"/>
      <c r="AA219" s="36"/>
      <c r="AB219" s="36"/>
      <c r="AC219" s="36"/>
      <c r="AD219" s="36"/>
      <c r="AE219" s="36"/>
      <c r="AR219" s="192" t="s">
        <v>1923</v>
      </c>
      <c r="AT219" s="192" t="s">
        <v>465</v>
      </c>
      <c r="AU219" s="192" t="s">
        <v>79</v>
      </c>
      <c r="AY219" s="19" t="s">
        <v>380</v>
      </c>
      <c r="BE219" s="193">
        <f t="shared" si="14"/>
        <v>0</v>
      </c>
      <c r="BF219" s="193">
        <f t="shared" si="15"/>
        <v>0</v>
      </c>
      <c r="BG219" s="193">
        <f t="shared" si="16"/>
        <v>0</v>
      </c>
      <c r="BH219" s="193">
        <f t="shared" si="17"/>
        <v>0</v>
      </c>
      <c r="BI219" s="193">
        <f t="shared" si="18"/>
        <v>0</v>
      </c>
      <c r="BJ219" s="19" t="s">
        <v>79</v>
      </c>
      <c r="BK219" s="193">
        <f t="shared" si="19"/>
        <v>0</v>
      </c>
      <c r="BL219" s="19" t="s">
        <v>787</v>
      </c>
      <c r="BM219" s="192" t="s">
        <v>1251</v>
      </c>
    </row>
    <row r="220" spans="1:65" s="2" customFormat="1" ht="16.5" customHeight="1">
      <c r="A220" s="36"/>
      <c r="B220" s="37"/>
      <c r="C220" s="181" t="s">
        <v>845</v>
      </c>
      <c r="D220" s="181" t="s">
        <v>382</v>
      </c>
      <c r="E220" s="182" t="s">
        <v>4394</v>
      </c>
      <c r="F220" s="183" t="s">
        <v>4395</v>
      </c>
      <c r="G220" s="184" t="s">
        <v>641</v>
      </c>
      <c r="H220" s="185">
        <v>59</v>
      </c>
      <c r="I220" s="186"/>
      <c r="J220" s="187">
        <f t="shared" si="10"/>
        <v>0</v>
      </c>
      <c r="K220" s="183" t="s">
        <v>19</v>
      </c>
      <c r="L220" s="41"/>
      <c r="M220" s="188" t="s">
        <v>19</v>
      </c>
      <c r="N220" s="189" t="s">
        <v>43</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787</v>
      </c>
      <c r="AT220" s="192" t="s">
        <v>382</v>
      </c>
      <c r="AU220" s="192" t="s">
        <v>79</v>
      </c>
      <c r="AY220" s="19" t="s">
        <v>380</v>
      </c>
      <c r="BE220" s="193">
        <f t="shared" si="14"/>
        <v>0</v>
      </c>
      <c r="BF220" s="193">
        <f t="shared" si="15"/>
        <v>0</v>
      </c>
      <c r="BG220" s="193">
        <f t="shared" si="16"/>
        <v>0</v>
      </c>
      <c r="BH220" s="193">
        <f t="shared" si="17"/>
        <v>0</v>
      </c>
      <c r="BI220" s="193">
        <f t="shared" si="18"/>
        <v>0</v>
      </c>
      <c r="BJ220" s="19" t="s">
        <v>79</v>
      </c>
      <c r="BK220" s="193">
        <f t="shared" si="19"/>
        <v>0</v>
      </c>
      <c r="BL220" s="19" t="s">
        <v>787</v>
      </c>
      <c r="BM220" s="192" t="s">
        <v>1261</v>
      </c>
    </row>
    <row r="221" spans="1:65" s="2" customFormat="1" ht="16.5" customHeight="1">
      <c r="A221" s="36"/>
      <c r="B221" s="37"/>
      <c r="C221" s="227" t="s">
        <v>851</v>
      </c>
      <c r="D221" s="227" t="s">
        <v>465</v>
      </c>
      <c r="E221" s="228" t="s">
        <v>4396</v>
      </c>
      <c r="F221" s="229" t="s">
        <v>4397</v>
      </c>
      <c r="G221" s="230" t="s">
        <v>641</v>
      </c>
      <c r="H221" s="231">
        <v>59</v>
      </c>
      <c r="I221" s="232"/>
      <c r="J221" s="233">
        <f t="shared" si="10"/>
        <v>0</v>
      </c>
      <c r="K221" s="229" t="s">
        <v>19</v>
      </c>
      <c r="L221" s="234"/>
      <c r="M221" s="235" t="s">
        <v>19</v>
      </c>
      <c r="N221" s="236" t="s">
        <v>43</v>
      </c>
      <c r="O221" s="66"/>
      <c r="P221" s="190">
        <f t="shared" si="11"/>
        <v>0</v>
      </c>
      <c r="Q221" s="190">
        <v>4.2999999999999999E-4</v>
      </c>
      <c r="R221" s="190">
        <f t="shared" si="12"/>
        <v>2.537E-2</v>
      </c>
      <c r="S221" s="190">
        <v>0</v>
      </c>
      <c r="T221" s="191">
        <f t="shared" si="13"/>
        <v>0</v>
      </c>
      <c r="U221" s="36"/>
      <c r="V221" s="36"/>
      <c r="W221" s="36"/>
      <c r="X221" s="36"/>
      <c r="Y221" s="36"/>
      <c r="Z221" s="36"/>
      <c r="AA221" s="36"/>
      <c r="AB221" s="36"/>
      <c r="AC221" s="36"/>
      <c r="AD221" s="36"/>
      <c r="AE221" s="36"/>
      <c r="AR221" s="192" t="s">
        <v>1923</v>
      </c>
      <c r="AT221" s="192" t="s">
        <v>465</v>
      </c>
      <c r="AU221" s="192" t="s">
        <v>79</v>
      </c>
      <c r="AY221" s="19" t="s">
        <v>380</v>
      </c>
      <c r="BE221" s="193">
        <f t="shared" si="14"/>
        <v>0</v>
      </c>
      <c r="BF221" s="193">
        <f t="shared" si="15"/>
        <v>0</v>
      </c>
      <c r="BG221" s="193">
        <f t="shared" si="16"/>
        <v>0</v>
      </c>
      <c r="BH221" s="193">
        <f t="shared" si="17"/>
        <v>0</v>
      </c>
      <c r="BI221" s="193">
        <f t="shared" si="18"/>
        <v>0</v>
      </c>
      <c r="BJ221" s="19" t="s">
        <v>79</v>
      </c>
      <c r="BK221" s="193">
        <f t="shared" si="19"/>
        <v>0</v>
      </c>
      <c r="BL221" s="19" t="s">
        <v>787</v>
      </c>
      <c r="BM221" s="192" t="s">
        <v>1271</v>
      </c>
    </row>
    <row r="222" spans="1:65" s="2" customFormat="1" ht="16.5" customHeight="1">
      <c r="A222" s="36"/>
      <c r="B222" s="37"/>
      <c r="C222" s="181" t="s">
        <v>855</v>
      </c>
      <c r="D222" s="181" t="s">
        <v>382</v>
      </c>
      <c r="E222" s="182" t="s">
        <v>4398</v>
      </c>
      <c r="F222" s="183" t="s">
        <v>4399</v>
      </c>
      <c r="G222" s="184" t="s">
        <v>641</v>
      </c>
      <c r="H222" s="185">
        <v>7</v>
      </c>
      <c r="I222" s="186"/>
      <c r="J222" s="187">
        <f t="shared" si="10"/>
        <v>0</v>
      </c>
      <c r="K222" s="183" t="s">
        <v>19</v>
      </c>
      <c r="L222" s="41"/>
      <c r="M222" s="188" t="s">
        <v>19</v>
      </c>
      <c r="N222" s="189" t="s">
        <v>43</v>
      </c>
      <c r="O222" s="66"/>
      <c r="P222" s="190">
        <f t="shared" si="11"/>
        <v>0</v>
      </c>
      <c r="Q222" s="190">
        <v>0</v>
      </c>
      <c r="R222" s="190">
        <f t="shared" si="12"/>
        <v>0</v>
      </c>
      <c r="S222" s="190">
        <v>0</v>
      </c>
      <c r="T222" s="191">
        <f t="shared" si="13"/>
        <v>0</v>
      </c>
      <c r="U222" s="36"/>
      <c r="V222" s="36"/>
      <c r="W222" s="36"/>
      <c r="X222" s="36"/>
      <c r="Y222" s="36"/>
      <c r="Z222" s="36"/>
      <c r="AA222" s="36"/>
      <c r="AB222" s="36"/>
      <c r="AC222" s="36"/>
      <c r="AD222" s="36"/>
      <c r="AE222" s="36"/>
      <c r="AR222" s="192" t="s">
        <v>787</v>
      </c>
      <c r="AT222" s="192" t="s">
        <v>382</v>
      </c>
      <c r="AU222" s="192" t="s">
        <v>79</v>
      </c>
      <c r="AY222" s="19" t="s">
        <v>380</v>
      </c>
      <c r="BE222" s="193">
        <f t="shared" si="14"/>
        <v>0</v>
      </c>
      <c r="BF222" s="193">
        <f t="shared" si="15"/>
        <v>0</v>
      </c>
      <c r="BG222" s="193">
        <f t="shared" si="16"/>
        <v>0</v>
      </c>
      <c r="BH222" s="193">
        <f t="shared" si="17"/>
        <v>0</v>
      </c>
      <c r="BI222" s="193">
        <f t="shared" si="18"/>
        <v>0</v>
      </c>
      <c r="BJ222" s="19" t="s">
        <v>79</v>
      </c>
      <c r="BK222" s="193">
        <f t="shared" si="19"/>
        <v>0</v>
      </c>
      <c r="BL222" s="19" t="s">
        <v>787</v>
      </c>
      <c r="BM222" s="192" t="s">
        <v>1280</v>
      </c>
    </row>
    <row r="223" spans="1:65" s="2" customFormat="1" ht="16.5" customHeight="1">
      <c r="A223" s="36"/>
      <c r="B223" s="37"/>
      <c r="C223" s="227" t="s">
        <v>859</v>
      </c>
      <c r="D223" s="227" t="s">
        <v>465</v>
      </c>
      <c r="E223" s="228" t="s">
        <v>4400</v>
      </c>
      <c r="F223" s="229" t="s">
        <v>4401</v>
      </c>
      <c r="G223" s="230" t="s">
        <v>2393</v>
      </c>
      <c r="H223" s="231">
        <v>7</v>
      </c>
      <c r="I223" s="232"/>
      <c r="J223" s="233">
        <f t="shared" si="10"/>
        <v>0</v>
      </c>
      <c r="K223" s="229" t="s">
        <v>19</v>
      </c>
      <c r="L223" s="234"/>
      <c r="M223" s="235" t="s">
        <v>19</v>
      </c>
      <c r="N223" s="236" t="s">
        <v>43</v>
      </c>
      <c r="O223" s="66"/>
      <c r="P223" s="190">
        <f t="shared" si="11"/>
        <v>0</v>
      </c>
      <c r="Q223" s="190">
        <v>0</v>
      </c>
      <c r="R223" s="190">
        <f t="shared" si="12"/>
        <v>0</v>
      </c>
      <c r="S223" s="190">
        <v>0</v>
      </c>
      <c r="T223" s="191">
        <f t="shared" si="13"/>
        <v>0</v>
      </c>
      <c r="U223" s="36"/>
      <c r="V223" s="36"/>
      <c r="W223" s="36"/>
      <c r="X223" s="36"/>
      <c r="Y223" s="36"/>
      <c r="Z223" s="36"/>
      <c r="AA223" s="36"/>
      <c r="AB223" s="36"/>
      <c r="AC223" s="36"/>
      <c r="AD223" s="36"/>
      <c r="AE223" s="36"/>
      <c r="AR223" s="192" t="s">
        <v>1923</v>
      </c>
      <c r="AT223" s="192" t="s">
        <v>465</v>
      </c>
      <c r="AU223" s="192" t="s">
        <v>79</v>
      </c>
      <c r="AY223" s="19" t="s">
        <v>380</v>
      </c>
      <c r="BE223" s="193">
        <f t="shared" si="14"/>
        <v>0</v>
      </c>
      <c r="BF223" s="193">
        <f t="shared" si="15"/>
        <v>0</v>
      </c>
      <c r="BG223" s="193">
        <f t="shared" si="16"/>
        <v>0</v>
      </c>
      <c r="BH223" s="193">
        <f t="shared" si="17"/>
        <v>0</v>
      </c>
      <c r="BI223" s="193">
        <f t="shared" si="18"/>
        <v>0</v>
      </c>
      <c r="BJ223" s="19" t="s">
        <v>79</v>
      </c>
      <c r="BK223" s="193">
        <f t="shared" si="19"/>
        <v>0</v>
      </c>
      <c r="BL223" s="19" t="s">
        <v>787</v>
      </c>
      <c r="BM223" s="192" t="s">
        <v>1293</v>
      </c>
    </row>
    <row r="224" spans="1:65" s="2" customFormat="1" ht="16.5" customHeight="1">
      <c r="A224" s="36"/>
      <c r="B224" s="37"/>
      <c r="C224" s="181" t="s">
        <v>863</v>
      </c>
      <c r="D224" s="181" t="s">
        <v>382</v>
      </c>
      <c r="E224" s="182" t="s">
        <v>4402</v>
      </c>
      <c r="F224" s="183" t="s">
        <v>4403</v>
      </c>
      <c r="G224" s="184" t="s">
        <v>641</v>
      </c>
      <c r="H224" s="185">
        <v>27</v>
      </c>
      <c r="I224" s="186"/>
      <c r="J224" s="187">
        <f t="shared" si="10"/>
        <v>0</v>
      </c>
      <c r="K224" s="183" t="s">
        <v>19</v>
      </c>
      <c r="L224" s="41"/>
      <c r="M224" s="188" t="s">
        <v>19</v>
      </c>
      <c r="N224" s="189" t="s">
        <v>43</v>
      </c>
      <c r="O224" s="66"/>
      <c r="P224" s="190">
        <f t="shared" si="11"/>
        <v>0</v>
      </c>
      <c r="Q224" s="190">
        <v>0</v>
      </c>
      <c r="R224" s="190">
        <f t="shared" si="12"/>
        <v>0</v>
      </c>
      <c r="S224" s="190">
        <v>0</v>
      </c>
      <c r="T224" s="191">
        <f t="shared" si="13"/>
        <v>0</v>
      </c>
      <c r="U224" s="36"/>
      <c r="V224" s="36"/>
      <c r="W224" s="36"/>
      <c r="X224" s="36"/>
      <c r="Y224" s="36"/>
      <c r="Z224" s="36"/>
      <c r="AA224" s="36"/>
      <c r="AB224" s="36"/>
      <c r="AC224" s="36"/>
      <c r="AD224" s="36"/>
      <c r="AE224" s="36"/>
      <c r="AR224" s="192" t="s">
        <v>787</v>
      </c>
      <c r="AT224" s="192" t="s">
        <v>382</v>
      </c>
      <c r="AU224" s="192" t="s">
        <v>79</v>
      </c>
      <c r="AY224" s="19" t="s">
        <v>380</v>
      </c>
      <c r="BE224" s="193">
        <f t="shared" si="14"/>
        <v>0</v>
      </c>
      <c r="BF224" s="193">
        <f t="shared" si="15"/>
        <v>0</v>
      </c>
      <c r="BG224" s="193">
        <f t="shared" si="16"/>
        <v>0</v>
      </c>
      <c r="BH224" s="193">
        <f t="shared" si="17"/>
        <v>0</v>
      </c>
      <c r="BI224" s="193">
        <f t="shared" si="18"/>
        <v>0</v>
      </c>
      <c r="BJ224" s="19" t="s">
        <v>79</v>
      </c>
      <c r="BK224" s="193">
        <f t="shared" si="19"/>
        <v>0</v>
      </c>
      <c r="BL224" s="19" t="s">
        <v>787</v>
      </c>
      <c r="BM224" s="192" t="s">
        <v>1301</v>
      </c>
    </row>
    <row r="225" spans="1:65" s="2" customFormat="1" ht="16.5" customHeight="1">
      <c r="A225" s="36"/>
      <c r="B225" s="37"/>
      <c r="C225" s="227" t="s">
        <v>867</v>
      </c>
      <c r="D225" s="227" t="s">
        <v>465</v>
      </c>
      <c r="E225" s="228" t="s">
        <v>4404</v>
      </c>
      <c r="F225" s="229" t="s">
        <v>4405</v>
      </c>
      <c r="G225" s="230" t="s">
        <v>641</v>
      </c>
      <c r="H225" s="231">
        <v>27</v>
      </c>
      <c r="I225" s="232"/>
      <c r="J225" s="233">
        <f t="shared" si="10"/>
        <v>0</v>
      </c>
      <c r="K225" s="229" t="s">
        <v>19</v>
      </c>
      <c r="L225" s="234"/>
      <c r="M225" s="235" t="s">
        <v>19</v>
      </c>
      <c r="N225" s="236" t="s">
        <v>43</v>
      </c>
      <c r="O225" s="66"/>
      <c r="P225" s="190">
        <f t="shared" si="11"/>
        <v>0</v>
      </c>
      <c r="Q225" s="190">
        <v>2.0000000000000002E-5</v>
      </c>
      <c r="R225" s="190">
        <f t="shared" si="12"/>
        <v>5.4000000000000001E-4</v>
      </c>
      <c r="S225" s="190">
        <v>0</v>
      </c>
      <c r="T225" s="191">
        <f t="shared" si="13"/>
        <v>0</v>
      </c>
      <c r="U225" s="36"/>
      <c r="V225" s="36"/>
      <c r="W225" s="36"/>
      <c r="X225" s="36"/>
      <c r="Y225" s="36"/>
      <c r="Z225" s="36"/>
      <c r="AA225" s="36"/>
      <c r="AB225" s="36"/>
      <c r="AC225" s="36"/>
      <c r="AD225" s="36"/>
      <c r="AE225" s="36"/>
      <c r="AR225" s="192" t="s">
        <v>1923</v>
      </c>
      <c r="AT225" s="192" t="s">
        <v>465</v>
      </c>
      <c r="AU225" s="192" t="s">
        <v>79</v>
      </c>
      <c r="AY225" s="19" t="s">
        <v>380</v>
      </c>
      <c r="BE225" s="193">
        <f t="shared" si="14"/>
        <v>0</v>
      </c>
      <c r="BF225" s="193">
        <f t="shared" si="15"/>
        <v>0</v>
      </c>
      <c r="BG225" s="193">
        <f t="shared" si="16"/>
        <v>0</v>
      </c>
      <c r="BH225" s="193">
        <f t="shared" si="17"/>
        <v>0</v>
      </c>
      <c r="BI225" s="193">
        <f t="shared" si="18"/>
        <v>0</v>
      </c>
      <c r="BJ225" s="19" t="s">
        <v>79</v>
      </c>
      <c r="BK225" s="193">
        <f t="shared" si="19"/>
        <v>0</v>
      </c>
      <c r="BL225" s="19" t="s">
        <v>787</v>
      </c>
      <c r="BM225" s="192" t="s">
        <v>1309</v>
      </c>
    </row>
    <row r="226" spans="1:65" s="2" customFormat="1" ht="16.5" customHeight="1">
      <c r="A226" s="36"/>
      <c r="B226" s="37"/>
      <c r="C226" s="181" t="s">
        <v>873</v>
      </c>
      <c r="D226" s="181" t="s">
        <v>382</v>
      </c>
      <c r="E226" s="182" t="s">
        <v>4406</v>
      </c>
      <c r="F226" s="183" t="s">
        <v>4407</v>
      </c>
      <c r="G226" s="184" t="s">
        <v>641</v>
      </c>
      <c r="H226" s="185">
        <v>1</v>
      </c>
      <c r="I226" s="186"/>
      <c r="J226" s="187">
        <f t="shared" si="10"/>
        <v>0</v>
      </c>
      <c r="K226" s="183" t="s">
        <v>19</v>
      </c>
      <c r="L226" s="41"/>
      <c r="M226" s="188" t="s">
        <v>19</v>
      </c>
      <c r="N226" s="189" t="s">
        <v>43</v>
      </c>
      <c r="O226" s="66"/>
      <c r="P226" s="190">
        <f t="shared" si="11"/>
        <v>0</v>
      </c>
      <c r="Q226" s="190">
        <v>0</v>
      </c>
      <c r="R226" s="190">
        <f t="shared" si="12"/>
        <v>0</v>
      </c>
      <c r="S226" s="190">
        <v>0</v>
      </c>
      <c r="T226" s="191">
        <f t="shared" si="13"/>
        <v>0</v>
      </c>
      <c r="U226" s="36"/>
      <c r="V226" s="36"/>
      <c r="W226" s="36"/>
      <c r="X226" s="36"/>
      <c r="Y226" s="36"/>
      <c r="Z226" s="36"/>
      <c r="AA226" s="36"/>
      <c r="AB226" s="36"/>
      <c r="AC226" s="36"/>
      <c r="AD226" s="36"/>
      <c r="AE226" s="36"/>
      <c r="AR226" s="192" t="s">
        <v>787</v>
      </c>
      <c r="AT226" s="192" t="s">
        <v>382</v>
      </c>
      <c r="AU226" s="192" t="s">
        <v>79</v>
      </c>
      <c r="AY226" s="19" t="s">
        <v>380</v>
      </c>
      <c r="BE226" s="193">
        <f t="shared" si="14"/>
        <v>0</v>
      </c>
      <c r="BF226" s="193">
        <f t="shared" si="15"/>
        <v>0</v>
      </c>
      <c r="BG226" s="193">
        <f t="shared" si="16"/>
        <v>0</v>
      </c>
      <c r="BH226" s="193">
        <f t="shared" si="17"/>
        <v>0</v>
      </c>
      <c r="BI226" s="193">
        <f t="shared" si="18"/>
        <v>0</v>
      </c>
      <c r="BJ226" s="19" t="s">
        <v>79</v>
      </c>
      <c r="BK226" s="193">
        <f t="shared" si="19"/>
        <v>0</v>
      </c>
      <c r="BL226" s="19" t="s">
        <v>787</v>
      </c>
      <c r="BM226" s="192" t="s">
        <v>1322</v>
      </c>
    </row>
    <row r="227" spans="1:65" s="2" customFormat="1" ht="16.5" customHeight="1">
      <c r="A227" s="36"/>
      <c r="B227" s="37"/>
      <c r="C227" s="227" t="s">
        <v>884</v>
      </c>
      <c r="D227" s="227" t="s">
        <v>465</v>
      </c>
      <c r="E227" s="228" t="s">
        <v>4408</v>
      </c>
      <c r="F227" s="229" t="s">
        <v>4409</v>
      </c>
      <c r="G227" s="230" t="s">
        <v>641</v>
      </c>
      <c r="H227" s="231">
        <v>1</v>
      </c>
      <c r="I227" s="232"/>
      <c r="J227" s="233">
        <f t="shared" si="10"/>
        <v>0</v>
      </c>
      <c r="K227" s="229" t="s">
        <v>19</v>
      </c>
      <c r="L227" s="234"/>
      <c r="M227" s="235" t="s">
        <v>19</v>
      </c>
      <c r="N227" s="236" t="s">
        <v>43</v>
      </c>
      <c r="O227" s="66"/>
      <c r="P227" s="190">
        <f t="shared" si="11"/>
        <v>0</v>
      </c>
      <c r="Q227" s="190">
        <v>6.0000000000000002E-5</v>
      </c>
      <c r="R227" s="190">
        <f t="shared" si="12"/>
        <v>6.0000000000000002E-5</v>
      </c>
      <c r="S227" s="190">
        <v>0</v>
      </c>
      <c r="T227" s="191">
        <f t="shared" si="13"/>
        <v>0</v>
      </c>
      <c r="U227" s="36"/>
      <c r="V227" s="36"/>
      <c r="W227" s="36"/>
      <c r="X227" s="36"/>
      <c r="Y227" s="36"/>
      <c r="Z227" s="36"/>
      <c r="AA227" s="36"/>
      <c r="AB227" s="36"/>
      <c r="AC227" s="36"/>
      <c r="AD227" s="36"/>
      <c r="AE227" s="36"/>
      <c r="AR227" s="192" t="s">
        <v>1923</v>
      </c>
      <c r="AT227" s="192" t="s">
        <v>465</v>
      </c>
      <c r="AU227" s="192" t="s">
        <v>79</v>
      </c>
      <c r="AY227" s="19" t="s">
        <v>380</v>
      </c>
      <c r="BE227" s="193">
        <f t="shared" si="14"/>
        <v>0</v>
      </c>
      <c r="BF227" s="193">
        <f t="shared" si="15"/>
        <v>0</v>
      </c>
      <c r="BG227" s="193">
        <f t="shared" si="16"/>
        <v>0</v>
      </c>
      <c r="BH227" s="193">
        <f t="shared" si="17"/>
        <v>0</v>
      </c>
      <c r="BI227" s="193">
        <f t="shared" si="18"/>
        <v>0</v>
      </c>
      <c r="BJ227" s="19" t="s">
        <v>79</v>
      </c>
      <c r="BK227" s="193">
        <f t="shared" si="19"/>
        <v>0</v>
      </c>
      <c r="BL227" s="19" t="s">
        <v>787</v>
      </c>
      <c r="BM227" s="192" t="s">
        <v>1340</v>
      </c>
    </row>
    <row r="228" spans="1:65" s="2" customFormat="1" ht="16.5" customHeight="1">
      <c r="A228" s="36"/>
      <c r="B228" s="37"/>
      <c r="C228" s="181" t="s">
        <v>897</v>
      </c>
      <c r="D228" s="181" t="s">
        <v>382</v>
      </c>
      <c r="E228" s="182" t="s">
        <v>4410</v>
      </c>
      <c r="F228" s="183" t="s">
        <v>4411</v>
      </c>
      <c r="G228" s="184" t="s">
        <v>641</v>
      </c>
      <c r="H228" s="185">
        <v>36</v>
      </c>
      <c r="I228" s="186"/>
      <c r="J228" s="187">
        <f t="shared" si="10"/>
        <v>0</v>
      </c>
      <c r="K228" s="183" t="s">
        <v>19</v>
      </c>
      <c r="L228" s="41"/>
      <c r="M228" s="188" t="s">
        <v>19</v>
      </c>
      <c r="N228" s="189" t="s">
        <v>43</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787</v>
      </c>
      <c r="AT228" s="192" t="s">
        <v>382</v>
      </c>
      <c r="AU228" s="192" t="s">
        <v>79</v>
      </c>
      <c r="AY228" s="19" t="s">
        <v>380</v>
      </c>
      <c r="BE228" s="193">
        <f t="shared" si="14"/>
        <v>0</v>
      </c>
      <c r="BF228" s="193">
        <f t="shared" si="15"/>
        <v>0</v>
      </c>
      <c r="BG228" s="193">
        <f t="shared" si="16"/>
        <v>0</v>
      </c>
      <c r="BH228" s="193">
        <f t="shared" si="17"/>
        <v>0</v>
      </c>
      <c r="BI228" s="193">
        <f t="shared" si="18"/>
        <v>0</v>
      </c>
      <c r="BJ228" s="19" t="s">
        <v>79</v>
      </c>
      <c r="BK228" s="193">
        <f t="shared" si="19"/>
        <v>0</v>
      </c>
      <c r="BL228" s="19" t="s">
        <v>787</v>
      </c>
      <c r="BM228" s="192" t="s">
        <v>1353</v>
      </c>
    </row>
    <row r="229" spans="1:65" s="2" customFormat="1" ht="16.5" customHeight="1">
      <c r="A229" s="36"/>
      <c r="B229" s="37"/>
      <c r="C229" s="227" t="s">
        <v>910</v>
      </c>
      <c r="D229" s="227" t="s">
        <v>465</v>
      </c>
      <c r="E229" s="228" t="s">
        <v>4412</v>
      </c>
      <c r="F229" s="229" t="s">
        <v>4413</v>
      </c>
      <c r="G229" s="230" t="s">
        <v>641</v>
      </c>
      <c r="H229" s="231">
        <v>36</v>
      </c>
      <c r="I229" s="232"/>
      <c r="J229" s="233">
        <f t="shared" si="10"/>
        <v>0</v>
      </c>
      <c r="K229" s="229" t="s">
        <v>19</v>
      </c>
      <c r="L229" s="234"/>
      <c r="M229" s="235" t="s">
        <v>19</v>
      </c>
      <c r="N229" s="236" t="s">
        <v>43</v>
      </c>
      <c r="O229" s="66"/>
      <c r="P229" s="190">
        <f t="shared" si="11"/>
        <v>0</v>
      </c>
      <c r="Q229" s="190">
        <v>6.0000000000000002E-5</v>
      </c>
      <c r="R229" s="190">
        <f t="shared" si="12"/>
        <v>2.16E-3</v>
      </c>
      <c r="S229" s="190">
        <v>0</v>
      </c>
      <c r="T229" s="191">
        <f t="shared" si="13"/>
        <v>0</v>
      </c>
      <c r="U229" s="36"/>
      <c r="V229" s="36"/>
      <c r="W229" s="36"/>
      <c r="X229" s="36"/>
      <c r="Y229" s="36"/>
      <c r="Z229" s="36"/>
      <c r="AA229" s="36"/>
      <c r="AB229" s="36"/>
      <c r="AC229" s="36"/>
      <c r="AD229" s="36"/>
      <c r="AE229" s="36"/>
      <c r="AR229" s="192" t="s">
        <v>1923</v>
      </c>
      <c r="AT229" s="192" t="s">
        <v>465</v>
      </c>
      <c r="AU229" s="192" t="s">
        <v>79</v>
      </c>
      <c r="AY229" s="19" t="s">
        <v>380</v>
      </c>
      <c r="BE229" s="193">
        <f t="shared" si="14"/>
        <v>0</v>
      </c>
      <c r="BF229" s="193">
        <f t="shared" si="15"/>
        <v>0</v>
      </c>
      <c r="BG229" s="193">
        <f t="shared" si="16"/>
        <v>0</v>
      </c>
      <c r="BH229" s="193">
        <f t="shared" si="17"/>
        <v>0</v>
      </c>
      <c r="BI229" s="193">
        <f t="shared" si="18"/>
        <v>0</v>
      </c>
      <c r="BJ229" s="19" t="s">
        <v>79</v>
      </c>
      <c r="BK229" s="193">
        <f t="shared" si="19"/>
        <v>0</v>
      </c>
      <c r="BL229" s="19" t="s">
        <v>787</v>
      </c>
      <c r="BM229" s="192" t="s">
        <v>1363</v>
      </c>
    </row>
    <row r="230" spans="1:65" s="2" customFormat="1" ht="16.5" customHeight="1">
      <c r="A230" s="36"/>
      <c r="B230" s="37"/>
      <c r="C230" s="181" t="s">
        <v>914</v>
      </c>
      <c r="D230" s="181" t="s">
        <v>382</v>
      </c>
      <c r="E230" s="182" t="s">
        <v>4414</v>
      </c>
      <c r="F230" s="183" t="s">
        <v>4415</v>
      </c>
      <c r="G230" s="184" t="s">
        <v>641</v>
      </c>
      <c r="H230" s="185">
        <v>11</v>
      </c>
      <c r="I230" s="186"/>
      <c r="J230" s="187">
        <f t="shared" si="10"/>
        <v>0</v>
      </c>
      <c r="K230" s="183" t="s">
        <v>19</v>
      </c>
      <c r="L230" s="41"/>
      <c r="M230" s="188" t="s">
        <v>19</v>
      </c>
      <c r="N230" s="189" t="s">
        <v>43</v>
      </c>
      <c r="O230" s="66"/>
      <c r="P230" s="190">
        <f t="shared" si="11"/>
        <v>0</v>
      </c>
      <c r="Q230" s="190">
        <v>0</v>
      </c>
      <c r="R230" s="190">
        <f t="shared" si="12"/>
        <v>0</v>
      </c>
      <c r="S230" s="190">
        <v>0</v>
      </c>
      <c r="T230" s="191">
        <f t="shared" si="13"/>
        <v>0</v>
      </c>
      <c r="U230" s="36"/>
      <c r="V230" s="36"/>
      <c r="W230" s="36"/>
      <c r="X230" s="36"/>
      <c r="Y230" s="36"/>
      <c r="Z230" s="36"/>
      <c r="AA230" s="36"/>
      <c r="AB230" s="36"/>
      <c r="AC230" s="36"/>
      <c r="AD230" s="36"/>
      <c r="AE230" s="36"/>
      <c r="AR230" s="192" t="s">
        <v>787</v>
      </c>
      <c r="AT230" s="192" t="s">
        <v>382</v>
      </c>
      <c r="AU230" s="192" t="s">
        <v>79</v>
      </c>
      <c r="AY230" s="19" t="s">
        <v>380</v>
      </c>
      <c r="BE230" s="193">
        <f t="shared" si="14"/>
        <v>0</v>
      </c>
      <c r="BF230" s="193">
        <f t="shared" si="15"/>
        <v>0</v>
      </c>
      <c r="BG230" s="193">
        <f t="shared" si="16"/>
        <v>0</v>
      </c>
      <c r="BH230" s="193">
        <f t="shared" si="17"/>
        <v>0</v>
      </c>
      <c r="BI230" s="193">
        <f t="shared" si="18"/>
        <v>0</v>
      </c>
      <c r="BJ230" s="19" t="s">
        <v>79</v>
      </c>
      <c r="BK230" s="193">
        <f t="shared" si="19"/>
        <v>0</v>
      </c>
      <c r="BL230" s="19" t="s">
        <v>787</v>
      </c>
      <c r="BM230" s="192" t="s">
        <v>1373</v>
      </c>
    </row>
    <row r="231" spans="1:65" s="2" customFormat="1" ht="16.5" customHeight="1">
      <c r="A231" s="36"/>
      <c r="B231" s="37"/>
      <c r="C231" s="227" t="s">
        <v>927</v>
      </c>
      <c r="D231" s="227" t="s">
        <v>465</v>
      </c>
      <c r="E231" s="228" t="s">
        <v>4416</v>
      </c>
      <c r="F231" s="229" t="s">
        <v>4417</v>
      </c>
      <c r="G231" s="230" t="s">
        <v>641</v>
      </c>
      <c r="H231" s="231">
        <v>11</v>
      </c>
      <c r="I231" s="232"/>
      <c r="J231" s="233">
        <f t="shared" si="10"/>
        <v>0</v>
      </c>
      <c r="K231" s="229" t="s">
        <v>19</v>
      </c>
      <c r="L231" s="234"/>
      <c r="M231" s="235" t="s">
        <v>19</v>
      </c>
      <c r="N231" s="236" t="s">
        <v>43</v>
      </c>
      <c r="O231" s="66"/>
      <c r="P231" s="190">
        <f t="shared" si="11"/>
        <v>0</v>
      </c>
      <c r="Q231" s="190">
        <v>5.0000000000000002E-5</v>
      </c>
      <c r="R231" s="190">
        <f t="shared" si="12"/>
        <v>5.5000000000000003E-4</v>
      </c>
      <c r="S231" s="190">
        <v>0</v>
      </c>
      <c r="T231" s="191">
        <f t="shared" si="13"/>
        <v>0</v>
      </c>
      <c r="U231" s="36"/>
      <c r="V231" s="36"/>
      <c r="W231" s="36"/>
      <c r="X231" s="36"/>
      <c r="Y231" s="36"/>
      <c r="Z231" s="36"/>
      <c r="AA231" s="36"/>
      <c r="AB231" s="36"/>
      <c r="AC231" s="36"/>
      <c r="AD231" s="36"/>
      <c r="AE231" s="36"/>
      <c r="AR231" s="192" t="s">
        <v>1923</v>
      </c>
      <c r="AT231" s="192" t="s">
        <v>465</v>
      </c>
      <c r="AU231" s="192" t="s">
        <v>79</v>
      </c>
      <c r="AY231" s="19" t="s">
        <v>380</v>
      </c>
      <c r="BE231" s="193">
        <f t="shared" si="14"/>
        <v>0</v>
      </c>
      <c r="BF231" s="193">
        <f t="shared" si="15"/>
        <v>0</v>
      </c>
      <c r="BG231" s="193">
        <f t="shared" si="16"/>
        <v>0</v>
      </c>
      <c r="BH231" s="193">
        <f t="shared" si="17"/>
        <v>0</v>
      </c>
      <c r="BI231" s="193">
        <f t="shared" si="18"/>
        <v>0</v>
      </c>
      <c r="BJ231" s="19" t="s">
        <v>79</v>
      </c>
      <c r="BK231" s="193">
        <f t="shared" si="19"/>
        <v>0</v>
      </c>
      <c r="BL231" s="19" t="s">
        <v>787</v>
      </c>
      <c r="BM231" s="192" t="s">
        <v>1386</v>
      </c>
    </row>
    <row r="232" spans="1:65" s="2" customFormat="1" ht="16.5" customHeight="1">
      <c r="A232" s="36"/>
      <c r="B232" s="37"/>
      <c r="C232" s="181" t="s">
        <v>931</v>
      </c>
      <c r="D232" s="181" t="s">
        <v>382</v>
      </c>
      <c r="E232" s="182" t="s">
        <v>4418</v>
      </c>
      <c r="F232" s="183" t="s">
        <v>4419</v>
      </c>
      <c r="G232" s="184" t="s">
        <v>641</v>
      </c>
      <c r="H232" s="185">
        <v>2</v>
      </c>
      <c r="I232" s="186"/>
      <c r="J232" s="187">
        <f t="shared" si="10"/>
        <v>0</v>
      </c>
      <c r="K232" s="183" t="s">
        <v>19</v>
      </c>
      <c r="L232" s="41"/>
      <c r="M232" s="188" t="s">
        <v>19</v>
      </c>
      <c r="N232" s="189" t="s">
        <v>43</v>
      </c>
      <c r="O232" s="66"/>
      <c r="P232" s="190">
        <f t="shared" si="11"/>
        <v>0</v>
      </c>
      <c r="Q232" s="190">
        <v>0</v>
      </c>
      <c r="R232" s="190">
        <f t="shared" si="12"/>
        <v>0</v>
      </c>
      <c r="S232" s="190">
        <v>0</v>
      </c>
      <c r="T232" s="191">
        <f t="shared" si="13"/>
        <v>0</v>
      </c>
      <c r="U232" s="36"/>
      <c r="V232" s="36"/>
      <c r="W232" s="36"/>
      <c r="X232" s="36"/>
      <c r="Y232" s="36"/>
      <c r="Z232" s="36"/>
      <c r="AA232" s="36"/>
      <c r="AB232" s="36"/>
      <c r="AC232" s="36"/>
      <c r="AD232" s="36"/>
      <c r="AE232" s="36"/>
      <c r="AR232" s="192" t="s">
        <v>787</v>
      </c>
      <c r="AT232" s="192" t="s">
        <v>382</v>
      </c>
      <c r="AU232" s="192" t="s">
        <v>79</v>
      </c>
      <c r="AY232" s="19" t="s">
        <v>380</v>
      </c>
      <c r="BE232" s="193">
        <f t="shared" si="14"/>
        <v>0</v>
      </c>
      <c r="BF232" s="193">
        <f t="shared" si="15"/>
        <v>0</v>
      </c>
      <c r="BG232" s="193">
        <f t="shared" si="16"/>
        <v>0</v>
      </c>
      <c r="BH232" s="193">
        <f t="shared" si="17"/>
        <v>0</v>
      </c>
      <c r="BI232" s="193">
        <f t="shared" si="18"/>
        <v>0</v>
      </c>
      <c r="BJ232" s="19" t="s">
        <v>79</v>
      </c>
      <c r="BK232" s="193">
        <f t="shared" si="19"/>
        <v>0</v>
      </c>
      <c r="BL232" s="19" t="s">
        <v>787</v>
      </c>
      <c r="BM232" s="192" t="s">
        <v>1394</v>
      </c>
    </row>
    <row r="233" spans="1:65" s="2" customFormat="1" ht="16.5" customHeight="1">
      <c r="A233" s="36"/>
      <c r="B233" s="37"/>
      <c r="C233" s="227" t="s">
        <v>936</v>
      </c>
      <c r="D233" s="227" t="s">
        <v>465</v>
      </c>
      <c r="E233" s="228" t="s">
        <v>4420</v>
      </c>
      <c r="F233" s="229" t="s">
        <v>4421</v>
      </c>
      <c r="G233" s="230" t="s">
        <v>641</v>
      </c>
      <c r="H233" s="231">
        <v>2</v>
      </c>
      <c r="I233" s="232"/>
      <c r="J233" s="233">
        <f t="shared" si="10"/>
        <v>0</v>
      </c>
      <c r="K233" s="229" t="s">
        <v>19</v>
      </c>
      <c r="L233" s="234"/>
      <c r="M233" s="235" t="s">
        <v>19</v>
      </c>
      <c r="N233" s="236" t="s">
        <v>43</v>
      </c>
      <c r="O233" s="66"/>
      <c r="P233" s="190">
        <f t="shared" si="11"/>
        <v>0</v>
      </c>
      <c r="Q233" s="190">
        <v>5.0000000000000002E-5</v>
      </c>
      <c r="R233" s="190">
        <f t="shared" si="12"/>
        <v>1E-4</v>
      </c>
      <c r="S233" s="190">
        <v>0</v>
      </c>
      <c r="T233" s="191">
        <f t="shared" si="13"/>
        <v>0</v>
      </c>
      <c r="U233" s="36"/>
      <c r="V233" s="36"/>
      <c r="W233" s="36"/>
      <c r="X233" s="36"/>
      <c r="Y233" s="36"/>
      <c r="Z233" s="36"/>
      <c r="AA233" s="36"/>
      <c r="AB233" s="36"/>
      <c r="AC233" s="36"/>
      <c r="AD233" s="36"/>
      <c r="AE233" s="36"/>
      <c r="AR233" s="192" t="s">
        <v>1923</v>
      </c>
      <c r="AT233" s="192" t="s">
        <v>465</v>
      </c>
      <c r="AU233" s="192" t="s">
        <v>79</v>
      </c>
      <c r="AY233" s="19" t="s">
        <v>380</v>
      </c>
      <c r="BE233" s="193">
        <f t="shared" si="14"/>
        <v>0</v>
      </c>
      <c r="BF233" s="193">
        <f t="shared" si="15"/>
        <v>0</v>
      </c>
      <c r="BG233" s="193">
        <f t="shared" si="16"/>
        <v>0</v>
      </c>
      <c r="BH233" s="193">
        <f t="shared" si="17"/>
        <v>0</v>
      </c>
      <c r="BI233" s="193">
        <f t="shared" si="18"/>
        <v>0</v>
      </c>
      <c r="BJ233" s="19" t="s">
        <v>79</v>
      </c>
      <c r="BK233" s="193">
        <f t="shared" si="19"/>
        <v>0</v>
      </c>
      <c r="BL233" s="19" t="s">
        <v>787</v>
      </c>
      <c r="BM233" s="192" t="s">
        <v>1410</v>
      </c>
    </row>
    <row r="234" spans="1:65" s="2" customFormat="1" ht="16.5" customHeight="1">
      <c r="A234" s="36"/>
      <c r="B234" s="37"/>
      <c r="C234" s="181" t="s">
        <v>941</v>
      </c>
      <c r="D234" s="181" t="s">
        <v>382</v>
      </c>
      <c r="E234" s="182" t="s">
        <v>4422</v>
      </c>
      <c r="F234" s="183" t="s">
        <v>4423</v>
      </c>
      <c r="G234" s="184" t="s">
        <v>641</v>
      </c>
      <c r="H234" s="185">
        <v>1</v>
      </c>
      <c r="I234" s="186"/>
      <c r="J234" s="187">
        <f t="shared" si="10"/>
        <v>0</v>
      </c>
      <c r="K234" s="183" t="s">
        <v>19</v>
      </c>
      <c r="L234" s="41"/>
      <c r="M234" s="188" t="s">
        <v>19</v>
      </c>
      <c r="N234" s="189" t="s">
        <v>43</v>
      </c>
      <c r="O234" s="66"/>
      <c r="P234" s="190">
        <f t="shared" si="11"/>
        <v>0</v>
      </c>
      <c r="Q234" s="190">
        <v>0</v>
      </c>
      <c r="R234" s="190">
        <f t="shared" si="12"/>
        <v>0</v>
      </c>
      <c r="S234" s="190">
        <v>0</v>
      </c>
      <c r="T234" s="191">
        <f t="shared" si="13"/>
        <v>0</v>
      </c>
      <c r="U234" s="36"/>
      <c r="V234" s="36"/>
      <c r="W234" s="36"/>
      <c r="X234" s="36"/>
      <c r="Y234" s="36"/>
      <c r="Z234" s="36"/>
      <c r="AA234" s="36"/>
      <c r="AB234" s="36"/>
      <c r="AC234" s="36"/>
      <c r="AD234" s="36"/>
      <c r="AE234" s="36"/>
      <c r="AR234" s="192" t="s">
        <v>787</v>
      </c>
      <c r="AT234" s="192" t="s">
        <v>382</v>
      </c>
      <c r="AU234" s="192" t="s">
        <v>79</v>
      </c>
      <c r="AY234" s="19" t="s">
        <v>380</v>
      </c>
      <c r="BE234" s="193">
        <f t="shared" si="14"/>
        <v>0</v>
      </c>
      <c r="BF234" s="193">
        <f t="shared" si="15"/>
        <v>0</v>
      </c>
      <c r="BG234" s="193">
        <f t="shared" si="16"/>
        <v>0</v>
      </c>
      <c r="BH234" s="193">
        <f t="shared" si="17"/>
        <v>0</v>
      </c>
      <c r="BI234" s="193">
        <f t="shared" si="18"/>
        <v>0</v>
      </c>
      <c r="BJ234" s="19" t="s">
        <v>79</v>
      </c>
      <c r="BK234" s="193">
        <f t="shared" si="19"/>
        <v>0</v>
      </c>
      <c r="BL234" s="19" t="s">
        <v>787</v>
      </c>
      <c r="BM234" s="192" t="s">
        <v>1432</v>
      </c>
    </row>
    <row r="235" spans="1:65" s="2" customFormat="1" ht="16.5" customHeight="1">
      <c r="A235" s="36"/>
      <c r="B235" s="37"/>
      <c r="C235" s="227" t="s">
        <v>946</v>
      </c>
      <c r="D235" s="227" t="s">
        <v>465</v>
      </c>
      <c r="E235" s="228" t="s">
        <v>4424</v>
      </c>
      <c r="F235" s="229" t="s">
        <v>4425</v>
      </c>
      <c r="G235" s="230" t="s">
        <v>641</v>
      </c>
      <c r="H235" s="231">
        <v>1</v>
      </c>
      <c r="I235" s="232"/>
      <c r="J235" s="233">
        <f t="shared" si="10"/>
        <v>0</v>
      </c>
      <c r="K235" s="229" t="s">
        <v>19</v>
      </c>
      <c r="L235" s="234"/>
      <c r="M235" s="235" t="s">
        <v>19</v>
      </c>
      <c r="N235" s="236" t="s">
        <v>43</v>
      </c>
      <c r="O235" s="66"/>
      <c r="P235" s="190">
        <f t="shared" si="11"/>
        <v>0</v>
      </c>
      <c r="Q235" s="190">
        <v>6.0000000000000002E-5</v>
      </c>
      <c r="R235" s="190">
        <f t="shared" si="12"/>
        <v>6.0000000000000002E-5</v>
      </c>
      <c r="S235" s="190">
        <v>0</v>
      </c>
      <c r="T235" s="191">
        <f t="shared" si="13"/>
        <v>0</v>
      </c>
      <c r="U235" s="36"/>
      <c r="V235" s="36"/>
      <c r="W235" s="36"/>
      <c r="X235" s="36"/>
      <c r="Y235" s="36"/>
      <c r="Z235" s="36"/>
      <c r="AA235" s="36"/>
      <c r="AB235" s="36"/>
      <c r="AC235" s="36"/>
      <c r="AD235" s="36"/>
      <c r="AE235" s="36"/>
      <c r="AR235" s="192" t="s">
        <v>1923</v>
      </c>
      <c r="AT235" s="192" t="s">
        <v>465</v>
      </c>
      <c r="AU235" s="192" t="s">
        <v>79</v>
      </c>
      <c r="AY235" s="19" t="s">
        <v>380</v>
      </c>
      <c r="BE235" s="193">
        <f t="shared" si="14"/>
        <v>0</v>
      </c>
      <c r="BF235" s="193">
        <f t="shared" si="15"/>
        <v>0</v>
      </c>
      <c r="BG235" s="193">
        <f t="shared" si="16"/>
        <v>0</v>
      </c>
      <c r="BH235" s="193">
        <f t="shared" si="17"/>
        <v>0</v>
      </c>
      <c r="BI235" s="193">
        <f t="shared" si="18"/>
        <v>0</v>
      </c>
      <c r="BJ235" s="19" t="s">
        <v>79</v>
      </c>
      <c r="BK235" s="193">
        <f t="shared" si="19"/>
        <v>0</v>
      </c>
      <c r="BL235" s="19" t="s">
        <v>787</v>
      </c>
      <c r="BM235" s="192" t="s">
        <v>1459</v>
      </c>
    </row>
    <row r="236" spans="1:65" s="2" customFormat="1" ht="16.5" customHeight="1">
      <c r="A236" s="36"/>
      <c r="B236" s="37"/>
      <c r="C236" s="181" t="s">
        <v>950</v>
      </c>
      <c r="D236" s="181" t="s">
        <v>382</v>
      </c>
      <c r="E236" s="182" t="s">
        <v>4426</v>
      </c>
      <c r="F236" s="183" t="s">
        <v>4427</v>
      </c>
      <c r="G236" s="184" t="s">
        <v>641</v>
      </c>
      <c r="H236" s="185">
        <v>40</v>
      </c>
      <c r="I236" s="186"/>
      <c r="J236" s="187">
        <f t="shared" si="10"/>
        <v>0</v>
      </c>
      <c r="K236" s="183" t="s">
        <v>19</v>
      </c>
      <c r="L236" s="41"/>
      <c r="M236" s="188" t="s">
        <v>19</v>
      </c>
      <c r="N236" s="189" t="s">
        <v>43</v>
      </c>
      <c r="O236" s="66"/>
      <c r="P236" s="190">
        <f t="shared" si="11"/>
        <v>0</v>
      </c>
      <c r="Q236" s="190">
        <v>0</v>
      </c>
      <c r="R236" s="190">
        <f t="shared" si="12"/>
        <v>0</v>
      </c>
      <c r="S236" s="190">
        <v>0</v>
      </c>
      <c r="T236" s="191">
        <f t="shared" si="13"/>
        <v>0</v>
      </c>
      <c r="U236" s="36"/>
      <c r="V236" s="36"/>
      <c r="W236" s="36"/>
      <c r="X236" s="36"/>
      <c r="Y236" s="36"/>
      <c r="Z236" s="36"/>
      <c r="AA236" s="36"/>
      <c r="AB236" s="36"/>
      <c r="AC236" s="36"/>
      <c r="AD236" s="36"/>
      <c r="AE236" s="36"/>
      <c r="AR236" s="192" t="s">
        <v>787</v>
      </c>
      <c r="AT236" s="192" t="s">
        <v>382</v>
      </c>
      <c r="AU236" s="192" t="s">
        <v>79</v>
      </c>
      <c r="AY236" s="19" t="s">
        <v>380</v>
      </c>
      <c r="BE236" s="193">
        <f t="shared" si="14"/>
        <v>0</v>
      </c>
      <c r="BF236" s="193">
        <f t="shared" si="15"/>
        <v>0</v>
      </c>
      <c r="BG236" s="193">
        <f t="shared" si="16"/>
        <v>0</v>
      </c>
      <c r="BH236" s="193">
        <f t="shared" si="17"/>
        <v>0</v>
      </c>
      <c r="BI236" s="193">
        <f t="shared" si="18"/>
        <v>0</v>
      </c>
      <c r="BJ236" s="19" t="s">
        <v>79</v>
      </c>
      <c r="BK236" s="193">
        <f t="shared" si="19"/>
        <v>0</v>
      </c>
      <c r="BL236" s="19" t="s">
        <v>787</v>
      </c>
      <c r="BM236" s="192" t="s">
        <v>1472</v>
      </c>
    </row>
    <row r="237" spans="1:65" s="2" customFormat="1" ht="16.5" customHeight="1">
      <c r="A237" s="36"/>
      <c r="B237" s="37"/>
      <c r="C237" s="227" t="s">
        <v>955</v>
      </c>
      <c r="D237" s="227" t="s">
        <v>465</v>
      </c>
      <c r="E237" s="228" t="s">
        <v>4428</v>
      </c>
      <c r="F237" s="229" t="s">
        <v>4429</v>
      </c>
      <c r="G237" s="230" t="s">
        <v>641</v>
      </c>
      <c r="H237" s="231">
        <v>40</v>
      </c>
      <c r="I237" s="232"/>
      <c r="J237" s="233">
        <f t="shared" si="10"/>
        <v>0</v>
      </c>
      <c r="K237" s="229" t="s">
        <v>19</v>
      </c>
      <c r="L237" s="234"/>
      <c r="M237" s="235" t="s">
        <v>19</v>
      </c>
      <c r="N237" s="236" t="s">
        <v>43</v>
      </c>
      <c r="O237" s="66"/>
      <c r="P237" s="190">
        <f t="shared" si="11"/>
        <v>0</v>
      </c>
      <c r="Q237" s="190">
        <v>1E-4</v>
      </c>
      <c r="R237" s="190">
        <f t="shared" si="12"/>
        <v>4.0000000000000001E-3</v>
      </c>
      <c r="S237" s="190">
        <v>0</v>
      </c>
      <c r="T237" s="191">
        <f t="shared" si="13"/>
        <v>0</v>
      </c>
      <c r="U237" s="36"/>
      <c r="V237" s="36"/>
      <c r="W237" s="36"/>
      <c r="X237" s="36"/>
      <c r="Y237" s="36"/>
      <c r="Z237" s="36"/>
      <c r="AA237" s="36"/>
      <c r="AB237" s="36"/>
      <c r="AC237" s="36"/>
      <c r="AD237" s="36"/>
      <c r="AE237" s="36"/>
      <c r="AR237" s="192" t="s">
        <v>1923</v>
      </c>
      <c r="AT237" s="192" t="s">
        <v>465</v>
      </c>
      <c r="AU237" s="192" t="s">
        <v>79</v>
      </c>
      <c r="AY237" s="19" t="s">
        <v>380</v>
      </c>
      <c r="BE237" s="193">
        <f t="shared" si="14"/>
        <v>0</v>
      </c>
      <c r="BF237" s="193">
        <f t="shared" si="15"/>
        <v>0</v>
      </c>
      <c r="BG237" s="193">
        <f t="shared" si="16"/>
        <v>0</v>
      </c>
      <c r="BH237" s="193">
        <f t="shared" si="17"/>
        <v>0</v>
      </c>
      <c r="BI237" s="193">
        <f t="shared" si="18"/>
        <v>0</v>
      </c>
      <c r="BJ237" s="19" t="s">
        <v>79</v>
      </c>
      <c r="BK237" s="193">
        <f t="shared" si="19"/>
        <v>0</v>
      </c>
      <c r="BL237" s="19" t="s">
        <v>787</v>
      </c>
      <c r="BM237" s="192" t="s">
        <v>1480</v>
      </c>
    </row>
    <row r="238" spans="1:65" s="2" customFormat="1" ht="16.5" customHeight="1">
      <c r="A238" s="36"/>
      <c r="B238" s="37"/>
      <c r="C238" s="181" t="s">
        <v>959</v>
      </c>
      <c r="D238" s="181" t="s">
        <v>382</v>
      </c>
      <c r="E238" s="182" t="s">
        <v>4430</v>
      </c>
      <c r="F238" s="183" t="s">
        <v>4431</v>
      </c>
      <c r="G238" s="184" t="s">
        <v>641</v>
      </c>
      <c r="H238" s="185">
        <v>3</v>
      </c>
      <c r="I238" s="186"/>
      <c r="J238" s="187">
        <f t="shared" ref="J238:J269" si="20">ROUND(I238*H238,2)</f>
        <v>0</v>
      </c>
      <c r="K238" s="183" t="s">
        <v>19</v>
      </c>
      <c r="L238" s="41"/>
      <c r="M238" s="188" t="s">
        <v>19</v>
      </c>
      <c r="N238" s="189" t="s">
        <v>43</v>
      </c>
      <c r="O238" s="66"/>
      <c r="P238" s="190">
        <f t="shared" ref="P238:P269" si="21">O238*H238</f>
        <v>0</v>
      </c>
      <c r="Q238" s="190">
        <v>0</v>
      </c>
      <c r="R238" s="190">
        <f t="shared" ref="R238:R269" si="22">Q238*H238</f>
        <v>0</v>
      </c>
      <c r="S238" s="190">
        <v>0</v>
      </c>
      <c r="T238" s="191">
        <f t="shared" ref="T238:T269" si="23">S238*H238</f>
        <v>0</v>
      </c>
      <c r="U238" s="36"/>
      <c r="V238" s="36"/>
      <c r="W238" s="36"/>
      <c r="X238" s="36"/>
      <c r="Y238" s="36"/>
      <c r="Z238" s="36"/>
      <c r="AA238" s="36"/>
      <c r="AB238" s="36"/>
      <c r="AC238" s="36"/>
      <c r="AD238" s="36"/>
      <c r="AE238" s="36"/>
      <c r="AR238" s="192" t="s">
        <v>787</v>
      </c>
      <c r="AT238" s="192" t="s">
        <v>382</v>
      </c>
      <c r="AU238" s="192" t="s">
        <v>79</v>
      </c>
      <c r="AY238" s="19" t="s">
        <v>380</v>
      </c>
      <c r="BE238" s="193">
        <f t="shared" ref="BE238:BE266" si="24">IF(N238="základní",J238,0)</f>
        <v>0</v>
      </c>
      <c r="BF238" s="193">
        <f t="shared" ref="BF238:BF266" si="25">IF(N238="snížená",J238,0)</f>
        <v>0</v>
      </c>
      <c r="BG238" s="193">
        <f t="shared" ref="BG238:BG266" si="26">IF(N238="zákl. přenesená",J238,0)</f>
        <v>0</v>
      </c>
      <c r="BH238" s="193">
        <f t="shared" ref="BH238:BH266" si="27">IF(N238="sníž. přenesená",J238,0)</f>
        <v>0</v>
      </c>
      <c r="BI238" s="193">
        <f t="shared" ref="BI238:BI266" si="28">IF(N238="nulová",J238,0)</f>
        <v>0</v>
      </c>
      <c r="BJ238" s="19" t="s">
        <v>79</v>
      </c>
      <c r="BK238" s="193">
        <f t="shared" ref="BK238:BK266" si="29">ROUND(I238*H238,2)</f>
        <v>0</v>
      </c>
      <c r="BL238" s="19" t="s">
        <v>787</v>
      </c>
      <c r="BM238" s="192" t="s">
        <v>1494</v>
      </c>
    </row>
    <row r="239" spans="1:65" s="2" customFormat="1" ht="16.5" customHeight="1">
      <c r="A239" s="36"/>
      <c r="B239" s="37"/>
      <c r="C239" s="227" t="s">
        <v>963</v>
      </c>
      <c r="D239" s="227" t="s">
        <v>465</v>
      </c>
      <c r="E239" s="228" t="s">
        <v>4432</v>
      </c>
      <c r="F239" s="229" t="s">
        <v>4433</v>
      </c>
      <c r="G239" s="230" t="s">
        <v>2393</v>
      </c>
      <c r="H239" s="231">
        <v>3</v>
      </c>
      <c r="I239" s="232"/>
      <c r="J239" s="233">
        <f t="shared" si="20"/>
        <v>0</v>
      </c>
      <c r="K239" s="229" t="s">
        <v>19</v>
      </c>
      <c r="L239" s="234"/>
      <c r="M239" s="235" t="s">
        <v>19</v>
      </c>
      <c r="N239" s="236" t="s">
        <v>43</v>
      </c>
      <c r="O239" s="66"/>
      <c r="P239" s="190">
        <f t="shared" si="21"/>
        <v>0</v>
      </c>
      <c r="Q239" s="190">
        <v>0</v>
      </c>
      <c r="R239" s="190">
        <f t="shared" si="22"/>
        <v>0</v>
      </c>
      <c r="S239" s="190">
        <v>0</v>
      </c>
      <c r="T239" s="191">
        <f t="shared" si="23"/>
        <v>0</v>
      </c>
      <c r="U239" s="36"/>
      <c r="V239" s="36"/>
      <c r="W239" s="36"/>
      <c r="X239" s="36"/>
      <c r="Y239" s="36"/>
      <c r="Z239" s="36"/>
      <c r="AA239" s="36"/>
      <c r="AB239" s="36"/>
      <c r="AC239" s="36"/>
      <c r="AD239" s="36"/>
      <c r="AE239" s="36"/>
      <c r="AR239" s="192" t="s">
        <v>1923</v>
      </c>
      <c r="AT239" s="192" t="s">
        <v>465</v>
      </c>
      <c r="AU239" s="192" t="s">
        <v>79</v>
      </c>
      <c r="AY239" s="19" t="s">
        <v>380</v>
      </c>
      <c r="BE239" s="193">
        <f t="shared" si="24"/>
        <v>0</v>
      </c>
      <c r="BF239" s="193">
        <f t="shared" si="25"/>
        <v>0</v>
      </c>
      <c r="BG239" s="193">
        <f t="shared" si="26"/>
        <v>0</v>
      </c>
      <c r="BH239" s="193">
        <f t="shared" si="27"/>
        <v>0</v>
      </c>
      <c r="BI239" s="193">
        <f t="shared" si="28"/>
        <v>0</v>
      </c>
      <c r="BJ239" s="19" t="s">
        <v>79</v>
      </c>
      <c r="BK239" s="193">
        <f t="shared" si="29"/>
        <v>0</v>
      </c>
      <c r="BL239" s="19" t="s">
        <v>787</v>
      </c>
      <c r="BM239" s="192" t="s">
        <v>1502</v>
      </c>
    </row>
    <row r="240" spans="1:65" s="2" customFormat="1" ht="16.5" customHeight="1">
      <c r="A240" s="36"/>
      <c r="B240" s="37"/>
      <c r="C240" s="181" t="s">
        <v>967</v>
      </c>
      <c r="D240" s="181" t="s">
        <v>382</v>
      </c>
      <c r="E240" s="182" t="s">
        <v>4434</v>
      </c>
      <c r="F240" s="183" t="s">
        <v>4435</v>
      </c>
      <c r="G240" s="184" t="s">
        <v>641</v>
      </c>
      <c r="H240" s="185">
        <v>4</v>
      </c>
      <c r="I240" s="186"/>
      <c r="J240" s="187">
        <f t="shared" si="20"/>
        <v>0</v>
      </c>
      <c r="K240" s="183" t="s">
        <v>19</v>
      </c>
      <c r="L240" s="41"/>
      <c r="M240" s="188" t="s">
        <v>19</v>
      </c>
      <c r="N240" s="189" t="s">
        <v>43</v>
      </c>
      <c r="O240" s="66"/>
      <c r="P240" s="190">
        <f t="shared" si="21"/>
        <v>0</v>
      </c>
      <c r="Q240" s="190">
        <v>0</v>
      </c>
      <c r="R240" s="190">
        <f t="shared" si="22"/>
        <v>0</v>
      </c>
      <c r="S240" s="190">
        <v>0</v>
      </c>
      <c r="T240" s="191">
        <f t="shared" si="23"/>
        <v>0</v>
      </c>
      <c r="U240" s="36"/>
      <c r="V240" s="36"/>
      <c r="W240" s="36"/>
      <c r="X240" s="36"/>
      <c r="Y240" s="36"/>
      <c r="Z240" s="36"/>
      <c r="AA240" s="36"/>
      <c r="AB240" s="36"/>
      <c r="AC240" s="36"/>
      <c r="AD240" s="36"/>
      <c r="AE240" s="36"/>
      <c r="AR240" s="192" t="s">
        <v>787</v>
      </c>
      <c r="AT240" s="192" t="s">
        <v>382</v>
      </c>
      <c r="AU240" s="192" t="s">
        <v>79</v>
      </c>
      <c r="AY240" s="19" t="s">
        <v>380</v>
      </c>
      <c r="BE240" s="193">
        <f t="shared" si="24"/>
        <v>0</v>
      </c>
      <c r="BF240" s="193">
        <f t="shared" si="25"/>
        <v>0</v>
      </c>
      <c r="BG240" s="193">
        <f t="shared" si="26"/>
        <v>0</v>
      </c>
      <c r="BH240" s="193">
        <f t="shared" si="27"/>
        <v>0</v>
      </c>
      <c r="BI240" s="193">
        <f t="shared" si="28"/>
        <v>0</v>
      </c>
      <c r="BJ240" s="19" t="s">
        <v>79</v>
      </c>
      <c r="BK240" s="193">
        <f t="shared" si="29"/>
        <v>0</v>
      </c>
      <c r="BL240" s="19" t="s">
        <v>787</v>
      </c>
      <c r="BM240" s="192" t="s">
        <v>1510</v>
      </c>
    </row>
    <row r="241" spans="1:65" s="2" customFormat="1" ht="16.5" customHeight="1">
      <c r="A241" s="36"/>
      <c r="B241" s="37"/>
      <c r="C241" s="227" t="s">
        <v>971</v>
      </c>
      <c r="D241" s="227" t="s">
        <v>465</v>
      </c>
      <c r="E241" s="228" t="s">
        <v>4436</v>
      </c>
      <c r="F241" s="229" t="s">
        <v>4437</v>
      </c>
      <c r="G241" s="230" t="s">
        <v>2393</v>
      </c>
      <c r="H241" s="231">
        <v>4</v>
      </c>
      <c r="I241" s="232"/>
      <c r="J241" s="233">
        <f t="shared" si="20"/>
        <v>0</v>
      </c>
      <c r="K241" s="229" t="s">
        <v>19</v>
      </c>
      <c r="L241" s="234"/>
      <c r="M241" s="235" t="s">
        <v>19</v>
      </c>
      <c r="N241" s="236" t="s">
        <v>43</v>
      </c>
      <c r="O241" s="66"/>
      <c r="P241" s="190">
        <f t="shared" si="21"/>
        <v>0</v>
      </c>
      <c r="Q241" s="190">
        <v>0</v>
      </c>
      <c r="R241" s="190">
        <f t="shared" si="22"/>
        <v>0</v>
      </c>
      <c r="S241" s="190">
        <v>0</v>
      </c>
      <c r="T241" s="191">
        <f t="shared" si="23"/>
        <v>0</v>
      </c>
      <c r="U241" s="36"/>
      <c r="V241" s="36"/>
      <c r="W241" s="36"/>
      <c r="X241" s="36"/>
      <c r="Y241" s="36"/>
      <c r="Z241" s="36"/>
      <c r="AA241" s="36"/>
      <c r="AB241" s="36"/>
      <c r="AC241" s="36"/>
      <c r="AD241" s="36"/>
      <c r="AE241" s="36"/>
      <c r="AR241" s="192" t="s">
        <v>1923</v>
      </c>
      <c r="AT241" s="192" t="s">
        <v>465</v>
      </c>
      <c r="AU241" s="192" t="s">
        <v>79</v>
      </c>
      <c r="AY241" s="19" t="s">
        <v>380</v>
      </c>
      <c r="BE241" s="193">
        <f t="shared" si="24"/>
        <v>0</v>
      </c>
      <c r="BF241" s="193">
        <f t="shared" si="25"/>
        <v>0</v>
      </c>
      <c r="BG241" s="193">
        <f t="shared" si="26"/>
        <v>0</v>
      </c>
      <c r="BH241" s="193">
        <f t="shared" si="27"/>
        <v>0</v>
      </c>
      <c r="BI241" s="193">
        <f t="shared" si="28"/>
        <v>0</v>
      </c>
      <c r="BJ241" s="19" t="s">
        <v>79</v>
      </c>
      <c r="BK241" s="193">
        <f t="shared" si="29"/>
        <v>0</v>
      </c>
      <c r="BL241" s="19" t="s">
        <v>787</v>
      </c>
      <c r="BM241" s="192" t="s">
        <v>1519</v>
      </c>
    </row>
    <row r="242" spans="1:65" s="2" customFormat="1" ht="16.5" customHeight="1">
      <c r="A242" s="36"/>
      <c r="B242" s="37"/>
      <c r="C242" s="181" t="s">
        <v>975</v>
      </c>
      <c r="D242" s="181" t="s">
        <v>382</v>
      </c>
      <c r="E242" s="182" t="s">
        <v>4438</v>
      </c>
      <c r="F242" s="183" t="s">
        <v>4439</v>
      </c>
      <c r="G242" s="184" t="s">
        <v>641</v>
      </c>
      <c r="H242" s="185">
        <v>30</v>
      </c>
      <c r="I242" s="186"/>
      <c r="J242" s="187">
        <f t="shared" si="20"/>
        <v>0</v>
      </c>
      <c r="K242" s="183" t="s">
        <v>19</v>
      </c>
      <c r="L242" s="41"/>
      <c r="M242" s="188" t="s">
        <v>19</v>
      </c>
      <c r="N242" s="189" t="s">
        <v>43</v>
      </c>
      <c r="O242" s="66"/>
      <c r="P242" s="190">
        <f t="shared" si="21"/>
        <v>0</v>
      </c>
      <c r="Q242" s="190">
        <v>0</v>
      </c>
      <c r="R242" s="190">
        <f t="shared" si="22"/>
        <v>0</v>
      </c>
      <c r="S242" s="190">
        <v>0</v>
      </c>
      <c r="T242" s="191">
        <f t="shared" si="23"/>
        <v>0</v>
      </c>
      <c r="U242" s="36"/>
      <c r="V242" s="36"/>
      <c r="W242" s="36"/>
      <c r="X242" s="36"/>
      <c r="Y242" s="36"/>
      <c r="Z242" s="36"/>
      <c r="AA242" s="36"/>
      <c r="AB242" s="36"/>
      <c r="AC242" s="36"/>
      <c r="AD242" s="36"/>
      <c r="AE242" s="36"/>
      <c r="AR242" s="192" t="s">
        <v>787</v>
      </c>
      <c r="AT242" s="192" t="s">
        <v>382</v>
      </c>
      <c r="AU242" s="192" t="s">
        <v>79</v>
      </c>
      <c r="AY242" s="19" t="s">
        <v>380</v>
      </c>
      <c r="BE242" s="193">
        <f t="shared" si="24"/>
        <v>0</v>
      </c>
      <c r="BF242" s="193">
        <f t="shared" si="25"/>
        <v>0</v>
      </c>
      <c r="BG242" s="193">
        <f t="shared" si="26"/>
        <v>0</v>
      </c>
      <c r="BH242" s="193">
        <f t="shared" si="27"/>
        <v>0</v>
      </c>
      <c r="BI242" s="193">
        <f t="shared" si="28"/>
        <v>0</v>
      </c>
      <c r="BJ242" s="19" t="s">
        <v>79</v>
      </c>
      <c r="BK242" s="193">
        <f t="shared" si="29"/>
        <v>0</v>
      </c>
      <c r="BL242" s="19" t="s">
        <v>787</v>
      </c>
      <c r="BM242" s="192" t="s">
        <v>1538</v>
      </c>
    </row>
    <row r="243" spans="1:65" s="2" customFormat="1" ht="16.5" customHeight="1">
      <c r="A243" s="36"/>
      <c r="B243" s="37"/>
      <c r="C243" s="227" t="s">
        <v>979</v>
      </c>
      <c r="D243" s="227" t="s">
        <v>465</v>
      </c>
      <c r="E243" s="228" t="s">
        <v>4440</v>
      </c>
      <c r="F243" s="229" t="s">
        <v>4441</v>
      </c>
      <c r="G243" s="230" t="s">
        <v>2393</v>
      </c>
      <c r="H243" s="231">
        <v>30</v>
      </c>
      <c r="I243" s="232"/>
      <c r="J243" s="233">
        <f t="shared" si="20"/>
        <v>0</v>
      </c>
      <c r="K243" s="229" t="s">
        <v>19</v>
      </c>
      <c r="L243" s="234"/>
      <c r="M243" s="235" t="s">
        <v>19</v>
      </c>
      <c r="N243" s="236" t="s">
        <v>43</v>
      </c>
      <c r="O243" s="66"/>
      <c r="P243" s="190">
        <f t="shared" si="21"/>
        <v>0</v>
      </c>
      <c r="Q243" s="190">
        <v>0</v>
      </c>
      <c r="R243" s="190">
        <f t="shared" si="22"/>
        <v>0</v>
      </c>
      <c r="S243" s="190">
        <v>0</v>
      </c>
      <c r="T243" s="191">
        <f t="shared" si="23"/>
        <v>0</v>
      </c>
      <c r="U243" s="36"/>
      <c r="V243" s="36"/>
      <c r="W243" s="36"/>
      <c r="X243" s="36"/>
      <c r="Y243" s="36"/>
      <c r="Z243" s="36"/>
      <c r="AA243" s="36"/>
      <c r="AB243" s="36"/>
      <c r="AC243" s="36"/>
      <c r="AD243" s="36"/>
      <c r="AE243" s="36"/>
      <c r="AR243" s="192" t="s">
        <v>1923</v>
      </c>
      <c r="AT243" s="192" t="s">
        <v>465</v>
      </c>
      <c r="AU243" s="192" t="s">
        <v>79</v>
      </c>
      <c r="AY243" s="19" t="s">
        <v>380</v>
      </c>
      <c r="BE243" s="193">
        <f t="shared" si="24"/>
        <v>0</v>
      </c>
      <c r="BF243" s="193">
        <f t="shared" si="25"/>
        <v>0</v>
      </c>
      <c r="BG243" s="193">
        <f t="shared" si="26"/>
        <v>0</v>
      </c>
      <c r="BH243" s="193">
        <f t="shared" si="27"/>
        <v>0</v>
      </c>
      <c r="BI243" s="193">
        <f t="shared" si="28"/>
        <v>0</v>
      </c>
      <c r="BJ243" s="19" t="s">
        <v>79</v>
      </c>
      <c r="BK243" s="193">
        <f t="shared" si="29"/>
        <v>0</v>
      </c>
      <c r="BL243" s="19" t="s">
        <v>787</v>
      </c>
      <c r="BM243" s="192" t="s">
        <v>1548</v>
      </c>
    </row>
    <row r="244" spans="1:65" s="2" customFormat="1" ht="16.5" customHeight="1">
      <c r="A244" s="36"/>
      <c r="B244" s="37"/>
      <c r="C244" s="181" t="s">
        <v>983</v>
      </c>
      <c r="D244" s="181" t="s">
        <v>382</v>
      </c>
      <c r="E244" s="182" t="s">
        <v>4442</v>
      </c>
      <c r="F244" s="183" t="s">
        <v>4443</v>
      </c>
      <c r="G244" s="184" t="s">
        <v>641</v>
      </c>
      <c r="H244" s="185">
        <v>11</v>
      </c>
      <c r="I244" s="186"/>
      <c r="J244" s="187">
        <f t="shared" si="20"/>
        <v>0</v>
      </c>
      <c r="K244" s="183" t="s">
        <v>19</v>
      </c>
      <c r="L244" s="41"/>
      <c r="M244" s="188" t="s">
        <v>19</v>
      </c>
      <c r="N244" s="189" t="s">
        <v>43</v>
      </c>
      <c r="O244" s="66"/>
      <c r="P244" s="190">
        <f t="shared" si="21"/>
        <v>0</v>
      </c>
      <c r="Q244" s="190">
        <v>0</v>
      </c>
      <c r="R244" s="190">
        <f t="shared" si="22"/>
        <v>0</v>
      </c>
      <c r="S244" s="190">
        <v>0</v>
      </c>
      <c r="T244" s="191">
        <f t="shared" si="23"/>
        <v>0</v>
      </c>
      <c r="U244" s="36"/>
      <c r="V244" s="36"/>
      <c r="W244" s="36"/>
      <c r="X244" s="36"/>
      <c r="Y244" s="36"/>
      <c r="Z244" s="36"/>
      <c r="AA244" s="36"/>
      <c r="AB244" s="36"/>
      <c r="AC244" s="36"/>
      <c r="AD244" s="36"/>
      <c r="AE244" s="36"/>
      <c r="AR244" s="192" t="s">
        <v>787</v>
      </c>
      <c r="AT244" s="192" t="s">
        <v>382</v>
      </c>
      <c r="AU244" s="192" t="s">
        <v>79</v>
      </c>
      <c r="AY244" s="19" t="s">
        <v>380</v>
      </c>
      <c r="BE244" s="193">
        <f t="shared" si="24"/>
        <v>0</v>
      </c>
      <c r="BF244" s="193">
        <f t="shared" si="25"/>
        <v>0</v>
      </c>
      <c r="BG244" s="193">
        <f t="shared" si="26"/>
        <v>0</v>
      </c>
      <c r="BH244" s="193">
        <f t="shared" si="27"/>
        <v>0</v>
      </c>
      <c r="BI244" s="193">
        <f t="shared" si="28"/>
        <v>0</v>
      </c>
      <c r="BJ244" s="19" t="s">
        <v>79</v>
      </c>
      <c r="BK244" s="193">
        <f t="shared" si="29"/>
        <v>0</v>
      </c>
      <c r="BL244" s="19" t="s">
        <v>787</v>
      </c>
      <c r="BM244" s="192" t="s">
        <v>1558</v>
      </c>
    </row>
    <row r="245" spans="1:65" s="2" customFormat="1" ht="16.5" customHeight="1">
      <c r="A245" s="36"/>
      <c r="B245" s="37"/>
      <c r="C245" s="181" t="s">
        <v>987</v>
      </c>
      <c r="D245" s="181" t="s">
        <v>382</v>
      </c>
      <c r="E245" s="182" t="s">
        <v>4444</v>
      </c>
      <c r="F245" s="183" t="s">
        <v>4445</v>
      </c>
      <c r="G245" s="184" t="s">
        <v>641</v>
      </c>
      <c r="H245" s="185">
        <v>35</v>
      </c>
      <c r="I245" s="186"/>
      <c r="J245" s="187">
        <f t="shared" si="20"/>
        <v>0</v>
      </c>
      <c r="K245" s="183" t="s">
        <v>19</v>
      </c>
      <c r="L245" s="41"/>
      <c r="M245" s="188" t="s">
        <v>19</v>
      </c>
      <c r="N245" s="189" t="s">
        <v>43</v>
      </c>
      <c r="O245" s="66"/>
      <c r="P245" s="190">
        <f t="shared" si="21"/>
        <v>0</v>
      </c>
      <c r="Q245" s="190">
        <v>0</v>
      </c>
      <c r="R245" s="190">
        <f t="shared" si="22"/>
        <v>0</v>
      </c>
      <c r="S245" s="190">
        <v>0</v>
      </c>
      <c r="T245" s="191">
        <f t="shared" si="23"/>
        <v>0</v>
      </c>
      <c r="U245" s="36"/>
      <c r="V245" s="36"/>
      <c r="W245" s="36"/>
      <c r="X245" s="36"/>
      <c r="Y245" s="36"/>
      <c r="Z245" s="36"/>
      <c r="AA245" s="36"/>
      <c r="AB245" s="36"/>
      <c r="AC245" s="36"/>
      <c r="AD245" s="36"/>
      <c r="AE245" s="36"/>
      <c r="AR245" s="192" t="s">
        <v>787</v>
      </c>
      <c r="AT245" s="192" t="s">
        <v>382</v>
      </c>
      <c r="AU245" s="192" t="s">
        <v>79</v>
      </c>
      <c r="AY245" s="19" t="s">
        <v>380</v>
      </c>
      <c r="BE245" s="193">
        <f t="shared" si="24"/>
        <v>0</v>
      </c>
      <c r="BF245" s="193">
        <f t="shared" si="25"/>
        <v>0</v>
      </c>
      <c r="BG245" s="193">
        <f t="shared" si="26"/>
        <v>0</v>
      </c>
      <c r="BH245" s="193">
        <f t="shared" si="27"/>
        <v>0</v>
      </c>
      <c r="BI245" s="193">
        <f t="shared" si="28"/>
        <v>0</v>
      </c>
      <c r="BJ245" s="19" t="s">
        <v>79</v>
      </c>
      <c r="BK245" s="193">
        <f t="shared" si="29"/>
        <v>0</v>
      </c>
      <c r="BL245" s="19" t="s">
        <v>787</v>
      </c>
      <c r="BM245" s="192" t="s">
        <v>1576</v>
      </c>
    </row>
    <row r="246" spans="1:65" s="2" customFormat="1" ht="16.5" customHeight="1">
      <c r="A246" s="36"/>
      <c r="B246" s="37"/>
      <c r="C246" s="227" t="s">
        <v>271</v>
      </c>
      <c r="D246" s="227" t="s">
        <v>465</v>
      </c>
      <c r="E246" s="228" t="s">
        <v>4446</v>
      </c>
      <c r="F246" s="229" t="s">
        <v>4447</v>
      </c>
      <c r="G246" s="230" t="s">
        <v>641</v>
      </c>
      <c r="H246" s="231">
        <v>35</v>
      </c>
      <c r="I246" s="232"/>
      <c r="J246" s="233">
        <f t="shared" si="20"/>
        <v>0</v>
      </c>
      <c r="K246" s="229" t="s">
        <v>19</v>
      </c>
      <c r="L246" s="234"/>
      <c r="M246" s="235" t="s">
        <v>19</v>
      </c>
      <c r="N246" s="236" t="s">
        <v>43</v>
      </c>
      <c r="O246" s="66"/>
      <c r="P246" s="190">
        <f t="shared" si="21"/>
        <v>0</v>
      </c>
      <c r="Q246" s="190">
        <v>6.0000000000000002E-5</v>
      </c>
      <c r="R246" s="190">
        <f t="shared" si="22"/>
        <v>2.0999999999999999E-3</v>
      </c>
      <c r="S246" s="190">
        <v>0</v>
      </c>
      <c r="T246" s="191">
        <f t="shared" si="23"/>
        <v>0</v>
      </c>
      <c r="U246" s="36"/>
      <c r="V246" s="36"/>
      <c r="W246" s="36"/>
      <c r="X246" s="36"/>
      <c r="Y246" s="36"/>
      <c r="Z246" s="36"/>
      <c r="AA246" s="36"/>
      <c r="AB246" s="36"/>
      <c r="AC246" s="36"/>
      <c r="AD246" s="36"/>
      <c r="AE246" s="36"/>
      <c r="AR246" s="192" t="s">
        <v>1923</v>
      </c>
      <c r="AT246" s="192" t="s">
        <v>465</v>
      </c>
      <c r="AU246" s="192" t="s">
        <v>79</v>
      </c>
      <c r="AY246" s="19" t="s">
        <v>380</v>
      </c>
      <c r="BE246" s="193">
        <f t="shared" si="24"/>
        <v>0</v>
      </c>
      <c r="BF246" s="193">
        <f t="shared" si="25"/>
        <v>0</v>
      </c>
      <c r="BG246" s="193">
        <f t="shared" si="26"/>
        <v>0</v>
      </c>
      <c r="BH246" s="193">
        <f t="shared" si="27"/>
        <v>0</v>
      </c>
      <c r="BI246" s="193">
        <f t="shared" si="28"/>
        <v>0</v>
      </c>
      <c r="BJ246" s="19" t="s">
        <v>79</v>
      </c>
      <c r="BK246" s="193">
        <f t="shared" si="29"/>
        <v>0</v>
      </c>
      <c r="BL246" s="19" t="s">
        <v>787</v>
      </c>
      <c r="BM246" s="192" t="s">
        <v>1587</v>
      </c>
    </row>
    <row r="247" spans="1:65" s="2" customFormat="1" ht="21.75" customHeight="1">
      <c r="A247" s="36"/>
      <c r="B247" s="37"/>
      <c r="C247" s="181" t="s">
        <v>995</v>
      </c>
      <c r="D247" s="181" t="s">
        <v>382</v>
      </c>
      <c r="E247" s="182" t="s">
        <v>4448</v>
      </c>
      <c r="F247" s="183" t="s">
        <v>4449</v>
      </c>
      <c r="G247" s="184" t="s">
        <v>641</v>
      </c>
      <c r="H247" s="185">
        <v>144</v>
      </c>
      <c r="I247" s="186"/>
      <c r="J247" s="187">
        <f t="shared" si="20"/>
        <v>0</v>
      </c>
      <c r="K247" s="183" t="s">
        <v>19</v>
      </c>
      <c r="L247" s="41"/>
      <c r="M247" s="188" t="s">
        <v>19</v>
      </c>
      <c r="N247" s="189" t="s">
        <v>43</v>
      </c>
      <c r="O247" s="66"/>
      <c r="P247" s="190">
        <f t="shared" si="21"/>
        <v>0</v>
      </c>
      <c r="Q247" s="190">
        <v>0</v>
      </c>
      <c r="R247" s="190">
        <f t="shared" si="22"/>
        <v>0</v>
      </c>
      <c r="S247" s="190">
        <v>0</v>
      </c>
      <c r="T247" s="191">
        <f t="shared" si="23"/>
        <v>0</v>
      </c>
      <c r="U247" s="36"/>
      <c r="V247" s="36"/>
      <c r="W247" s="36"/>
      <c r="X247" s="36"/>
      <c r="Y247" s="36"/>
      <c r="Z247" s="36"/>
      <c r="AA247" s="36"/>
      <c r="AB247" s="36"/>
      <c r="AC247" s="36"/>
      <c r="AD247" s="36"/>
      <c r="AE247" s="36"/>
      <c r="AR247" s="192" t="s">
        <v>787</v>
      </c>
      <c r="AT247" s="192" t="s">
        <v>382</v>
      </c>
      <c r="AU247" s="192" t="s">
        <v>79</v>
      </c>
      <c r="AY247" s="19" t="s">
        <v>380</v>
      </c>
      <c r="BE247" s="193">
        <f t="shared" si="24"/>
        <v>0</v>
      </c>
      <c r="BF247" s="193">
        <f t="shared" si="25"/>
        <v>0</v>
      </c>
      <c r="BG247" s="193">
        <f t="shared" si="26"/>
        <v>0</v>
      </c>
      <c r="BH247" s="193">
        <f t="shared" si="27"/>
        <v>0</v>
      </c>
      <c r="BI247" s="193">
        <f t="shared" si="28"/>
        <v>0</v>
      </c>
      <c r="BJ247" s="19" t="s">
        <v>79</v>
      </c>
      <c r="BK247" s="193">
        <f t="shared" si="29"/>
        <v>0</v>
      </c>
      <c r="BL247" s="19" t="s">
        <v>787</v>
      </c>
      <c r="BM247" s="192" t="s">
        <v>1598</v>
      </c>
    </row>
    <row r="248" spans="1:65" s="2" customFormat="1" ht="16.5" customHeight="1">
      <c r="A248" s="36"/>
      <c r="B248" s="37"/>
      <c r="C248" s="227" t="s">
        <v>151</v>
      </c>
      <c r="D248" s="227" t="s">
        <v>465</v>
      </c>
      <c r="E248" s="228" t="s">
        <v>4450</v>
      </c>
      <c r="F248" s="229" t="s">
        <v>4451</v>
      </c>
      <c r="G248" s="230" t="s">
        <v>641</v>
      </c>
      <c r="H248" s="231">
        <v>144</v>
      </c>
      <c r="I248" s="232"/>
      <c r="J248" s="233">
        <f t="shared" si="20"/>
        <v>0</v>
      </c>
      <c r="K248" s="229" t="s">
        <v>19</v>
      </c>
      <c r="L248" s="234"/>
      <c r="M248" s="235" t="s">
        <v>19</v>
      </c>
      <c r="N248" s="236" t="s">
        <v>43</v>
      </c>
      <c r="O248" s="66"/>
      <c r="P248" s="190">
        <f t="shared" si="21"/>
        <v>0</v>
      </c>
      <c r="Q248" s="190">
        <v>6.0000000000000002E-5</v>
      </c>
      <c r="R248" s="190">
        <f t="shared" si="22"/>
        <v>8.6400000000000001E-3</v>
      </c>
      <c r="S248" s="190">
        <v>0</v>
      </c>
      <c r="T248" s="191">
        <f t="shared" si="23"/>
        <v>0</v>
      </c>
      <c r="U248" s="36"/>
      <c r="V248" s="36"/>
      <c r="W248" s="36"/>
      <c r="X248" s="36"/>
      <c r="Y248" s="36"/>
      <c r="Z248" s="36"/>
      <c r="AA248" s="36"/>
      <c r="AB248" s="36"/>
      <c r="AC248" s="36"/>
      <c r="AD248" s="36"/>
      <c r="AE248" s="36"/>
      <c r="AR248" s="192" t="s">
        <v>1923</v>
      </c>
      <c r="AT248" s="192" t="s">
        <v>465</v>
      </c>
      <c r="AU248" s="192" t="s">
        <v>79</v>
      </c>
      <c r="AY248" s="19" t="s">
        <v>380</v>
      </c>
      <c r="BE248" s="193">
        <f t="shared" si="24"/>
        <v>0</v>
      </c>
      <c r="BF248" s="193">
        <f t="shared" si="25"/>
        <v>0</v>
      </c>
      <c r="BG248" s="193">
        <f t="shared" si="26"/>
        <v>0</v>
      </c>
      <c r="BH248" s="193">
        <f t="shared" si="27"/>
        <v>0</v>
      </c>
      <c r="BI248" s="193">
        <f t="shared" si="28"/>
        <v>0</v>
      </c>
      <c r="BJ248" s="19" t="s">
        <v>79</v>
      </c>
      <c r="BK248" s="193">
        <f t="shared" si="29"/>
        <v>0</v>
      </c>
      <c r="BL248" s="19" t="s">
        <v>787</v>
      </c>
      <c r="BM248" s="192" t="s">
        <v>1610</v>
      </c>
    </row>
    <row r="249" spans="1:65" s="2" customFormat="1" ht="16.5" customHeight="1">
      <c r="A249" s="36"/>
      <c r="B249" s="37"/>
      <c r="C249" s="181" t="s">
        <v>154</v>
      </c>
      <c r="D249" s="181" t="s">
        <v>382</v>
      </c>
      <c r="E249" s="182" t="s">
        <v>4452</v>
      </c>
      <c r="F249" s="183" t="s">
        <v>4453</v>
      </c>
      <c r="G249" s="184" t="s">
        <v>641</v>
      </c>
      <c r="H249" s="185">
        <v>11</v>
      </c>
      <c r="I249" s="186"/>
      <c r="J249" s="187">
        <f t="shared" si="20"/>
        <v>0</v>
      </c>
      <c r="K249" s="183" t="s">
        <v>19</v>
      </c>
      <c r="L249" s="41"/>
      <c r="M249" s="188" t="s">
        <v>19</v>
      </c>
      <c r="N249" s="189" t="s">
        <v>43</v>
      </c>
      <c r="O249" s="66"/>
      <c r="P249" s="190">
        <f t="shared" si="21"/>
        <v>0</v>
      </c>
      <c r="Q249" s="190">
        <v>0</v>
      </c>
      <c r="R249" s="190">
        <f t="shared" si="22"/>
        <v>0</v>
      </c>
      <c r="S249" s="190">
        <v>0</v>
      </c>
      <c r="T249" s="191">
        <f t="shared" si="23"/>
        <v>0</v>
      </c>
      <c r="U249" s="36"/>
      <c r="V249" s="36"/>
      <c r="W249" s="36"/>
      <c r="X249" s="36"/>
      <c r="Y249" s="36"/>
      <c r="Z249" s="36"/>
      <c r="AA249" s="36"/>
      <c r="AB249" s="36"/>
      <c r="AC249" s="36"/>
      <c r="AD249" s="36"/>
      <c r="AE249" s="36"/>
      <c r="AR249" s="192" t="s">
        <v>787</v>
      </c>
      <c r="AT249" s="192" t="s">
        <v>382</v>
      </c>
      <c r="AU249" s="192" t="s">
        <v>79</v>
      </c>
      <c r="AY249" s="19" t="s">
        <v>380</v>
      </c>
      <c r="BE249" s="193">
        <f t="shared" si="24"/>
        <v>0</v>
      </c>
      <c r="BF249" s="193">
        <f t="shared" si="25"/>
        <v>0</v>
      </c>
      <c r="BG249" s="193">
        <f t="shared" si="26"/>
        <v>0</v>
      </c>
      <c r="BH249" s="193">
        <f t="shared" si="27"/>
        <v>0</v>
      </c>
      <c r="BI249" s="193">
        <f t="shared" si="28"/>
        <v>0</v>
      </c>
      <c r="BJ249" s="19" t="s">
        <v>79</v>
      </c>
      <c r="BK249" s="193">
        <f t="shared" si="29"/>
        <v>0</v>
      </c>
      <c r="BL249" s="19" t="s">
        <v>787</v>
      </c>
      <c r="BM249" s="192" t="s">
        <v>1639</v>
      </c>
    </row>
    <row r="250" spans="1:65" s="2" customFormat="1" ht="16.5" customHeight="1">
      <c r="A250" s="36"/>
      <c r="B250" s="37"/>
      <c r="C250" s="227" t="s">
        <v>157</v>
      </c>
      <c r="D250" s="227" t="s">
        <v>465</v>
      </c>
      <c r="E250" s="228" t="s">
        <v>4454</v>
      </c>
      <c r="F250" s="229" t="s">
        <v>4455</v>
      </c>
      <c r="G250" s="230" t="s">
        <v>2393</v>
      </c>
      <c r="H250" s="231">
        <v>15</v>
      </c>
      <c r="I250" s="232"/>
      <c r="J250" s="233">
        <f t="shared" si="20"/>
        <v>0</v>
      </c>
      <c r="K250" s="229" t="s">
        <v>19</v>
      </c>
      <c r="L250" s="234"/>
      <c r="M250" s="235" t="s">
        <v>19</v>
      </c>
      <c r="N250" s="236" t="s">
        <v>43</v>
      </c>
      <c r="O250" s="66"/>
      <c r="P250" s="190">
        <f t="shared" si="21"/>
        <v>0</v>
      </c>
      <c r="Q250" s="190">
        <v>0</v>
      </c>
      <c r="R250" s="190">
        <f t="shared" si="22"/>
        <v>0</v>
      </c>
      <c r="S250" s="190">
        <v>0</v>
      </c>
      <c r="T250" s="191">
        <f t="shared" si="23"/>
        <v>0</v>
      </c>
      <c r="U250" s="36"/>
      <c r="V250" s="36"/>
      <c r="W250" s="36"/>
      <c r="X250" s="36"/>
      <c r="Y250" s="36"/>
      <c r="Z250" s="36"/>
      <c r="AA250" s="36"/>
      <c r="AB250" s="36"/>
      <c r="AC250" s="36"/>
      <c r="AD250" s="36"/>
      <c r="AE250" s="36"/>
      <c r="AR250" s="192" t="s">
        <v>1923</v>
      </c>
      <c r="AT250" s="192" t="s">
        <v>465</v>
      </c>
      <c r="AU250" s="192" t="s">
        <v>79</v>
      </c>
      <c r="AY250" s="19" t="s">
        <v>380</v>
      </c>
      <c r="BE250" s="193">
        <f t="shared" si="24"/>
        <v>0</v>
      </c>
      <c r="BF250" s="193">
        <f t="shared" si="25"/>
        <v>0</v>
      </c>
      <c r="BG250" s="193">
        <f t="shared" si="26"/>
        <v>0</v>
      </c>
      <c r="BH250" s="193">
        <f t="shared" si="27"/>
        <v>0</v>
      </c>
      <c r="BI250" s="193">
        <f t="shared" si="28"/>
        <v>0</v>
      </c>
      <c r="BJ250" s="19" t="s">
        <v>79</v>
      </c>
      <c r="BK250" s="193">
        <f t="shared" si="29"/>
        <v>0</v>
      </c>
      <c r="BL250" s="19" t="s">
        <v>787</v>
      </c>
      <c r="BM250" s="192" t="s">
        <v>1649</v>
      </c>
    </row>
    <row r="251" spans="1:65" s="2" customFormat="1" ht="16.5" customHeight="1">
      <c r="A251" s="36"/>
      <c r="B251" s="37"/>
      <c r="C251" s="181" t="s">
        <v>160</v>
      </c>
      <c r="D251" s="181" t="s">
        <v>382</v>
      </c>
      <c r="E251" s="182" t="s">
        <v>4456</v>
      </c>
      <c r="F251" s="183" t="s">
        <v>4457</v>
      </c>
      <c r="G251" s="184" t="s">
        <v>641</v>
      </c>
      <c r="H251" s="185">
        <v>48</v>
      </c>
      <c r="I251" s="186"/>
      <c r="J251" s="187">
        <f t="shared" si="20"/>
        <v>0</v>
      </c>
      <c r="K251" s="183" t="s">
        <v>19</v>
      </c>
      <c r="L251" s="41"/>
      <c r="M251" s="188" t="s">
        <v>19</v>
      </c>
      <c r="N251" s="189" t="s">
        <v>43</v>
      </c>
      <c r="O251" s="66"/>
      <c r="P251" s="190">
        <f t="shared" si="21"/>
        <v>0</v>
      </c>
      <c r="Q251" s="190">
        <v>0</v>
      </c>
      <c r="R251" s="190">
        <f t="shared" si="22"/>
        <v>0</v>
      </c>
      <c r="S251" s="190">
        <v>0</v>
      </c>
      <c r="T251" s="191">
        <f t="shared" si="23"/>
        <v>0</v>
      </c>
      <c r="U251" s="36"/>
      <c r="V251" s="36"/>
      <c r="W251" s="36"/>
      <c r="X251" s="36"/>
      <c r="Y251" s="36"/>
      <c r="Z251" s="36"/>
      <c r="AA251" s="36"/>
      <c r="AB251" s="36"/>
      <c r="AC251" s="36"/>
      <c r="AD251" s="36"/>
      <c r="AE251" s="36"/>
      <c r="AR251" s="192" t="s">
        <v>787</v>
      </c>
      <c r="AT251" s="192" t="s">
        <v>382</v>
      </c>
      <c r="AU251" s="192" t="s">
        <v>79</v>
      </c>
      <c r="AY251" s="19" t="s">
        <v>380</v>
      </c>
      <c r="BE251" s="193">
        <f t="shared" si="24"/>
        <v>0</v>
      </c>
      <c r="BF251" s="193">
        <f t="shared" si="25"/>
        <v>0</v>
      </c>
      <c r="BG251" s="193">
        <f t="shared" si="26"/>
        <v>0</v>
      </c>
      <c r="BH251" s="193">
        <f t="shared" si="27"/>
        <v>0</v>
      </c>
      <c r="BI251" s="193">
        <f t="shared" si="28"/>
        <v>0</v>
      </c>
      <c r="BJ251" s="19" t="s">
        <v>79</v>
      </c>
      <c r="BK251" s="193">
        <f t="shared" si="29"/>
        <v>0</v>
      </c>
      <c r="BL251" s="19" t="s">
        <v>787</v>
      </c>
      <c r="BM251" s="192" t="s">
        <v>190</v>
      </c>
    </row>
    <row r="252" spans="1:65" s="2" customFormat="1" ht="16.5" customHeight="1">
      <c r="A252" s="36"/>
      <c r="B252" s="37"/>
      <c r="C252" s="227" t="s">
        <v>1016</v>
      </c>
      <c r="D252" s="227" t="s">
        <v>465</v>
      </c>
      <c r="E252" s="228" t="s">
        <v>4458</v>
      </c>
      <c r="F252" s="229" t="s">
        <v>4459</v>
      </c>
      <c r="G252" s="230" t="s">
        <v>2393</v>
      </c>
      <c r="H252" s="231">
        <v>48</v>
      </c>
      <c r="I252" s="232"/>
      <c r="J252" s="233">
        <f t="shared" si="20"/>
        <v>0</v>
      </c>
      <c r="K252" s="229" t="s">
        <v>19</v>
      </c>
      <c r="L252" s="234"/>
      <c r="M252" s="235" t="s">
        <v>19</v>
      </c>
      <c r="N252" s="236" t="s">
        <v>43</v>
      </c>
      <c r="O252" s="66"/>
      <c r="P252" s="190">
        <f t="shared" si="21"/>
        <v>0</v>
      </c>
      <c r="Q252" s="190">
        <v>0</v>
      </c>
      <c r="R252" s="190">
        <f t="shared" si="22"/>
        <v>0</v>
      </c>
      <c r="S252" s="190">
        <v>0</v>
      </c>
      <c r="T252" s="191">
        <f t="shared" si="23"/>
        <v>0</v>
      </c>
      <c r="U252" s="36"/>
      <c r="V252" s="36"/>
      <c r="W252" s="36"/>
      <c r="X252" s="36"/>
      <c r="Y252" s="36"/>
      <c r="Z252" s="36"/>
      <c r="AA252" s="36"/>
      <c r="AB252" s="36"/>
      <c r="AC252" s="36"/>
      <c r="AD252" s="36"/>
      <c r="AE252" s="36"/>
      <c r="AR252" s="192" t="s">
        <v>1923</v>
      </c>
      <c r="AT252" s="192" t="s">
        <v>465</v>
      </c>
      <c r="AU252" s="192" t="s">
        <v>79</v>
      </c>
      <c r="AY252" s="19" t="s">
        <v>380</v>
      </c>
      <c r="BE252" s="193">
        <f t="shared" si="24"/>
        <v>0</v>
      </c>
      <c r="BF252" s="193">
        <f t="shared" si="25"/>
        <v>0</v>
      </c>
      <c r="BG252" s="193">
        <f t="shared" si="26"/>
        <v>0</v>
      </c>
      <c r="BH252" s="193">
        <f t="shared" si="27"/>
        <v>0</v>
      </c>
      <c r="BI252" s="193">
        <f t="shared" si="28"/>
        <v>0</v>
      </c>
      <c r="BJ252" s="19" t="s">
        <v>79</v>
      </c>
      <c r="BK252" s="193">
        <f t="shared" si="29"/>
        <v>0</v>
      </c>
      <c r="BL252" s="19" t="s">
        <v>787</v>
      </c>
      <c r="BM252" s="192" t="s">
        <v>1667</v>
      </c>
    </row>
    <row r="253" spans="1:65" s="2" customFormat="1" ht="16.5" customHeight="1">
      <c r="A253" s="36"/>
      <c r="B253" s="37"/>
      <c r="C253" s="181" t="s">
        <v>163</v>
      </c>
      <c r="D253" s="181" t="s">
        <v>382</v>
      </c>
      <c r="E253" s="182" t="s">
        <v>4460</v>
      </c>
      <c r="F253" s="183" t="s">
        <v>4461</v>
      </c>
      <c r="G253" s="184" t="s">
        <v>641</v>
      </c>
      <c r="H253" s="185">
        <v>1</v>
      </c>
      <c r="I253" s="186"/>
      <c r="J253" s="187">
        <f t="shared" si="20"/>
        <v>0</v>
      </c>
      <c r="K253" s="183" t="s">
        <v>19</v>
      </c>
      <c r="L253" s="41"/>
      <c r="M253" s="188" t="s">
        <v>19</v>
      </c>
      <c r="N253" s="189" t="s">
        <v>43</v>
      </c>
      <c r="O253" s="66"/>
      <c r="P253" s="190">
        <f t="shared" si="21"/>
        <v>0</v>
      </c>
      <c r="Q253" s="190">
        <v>0</v>
      </c>
      <c r="R253" s="190">
        <f t="shared" si="22"/>
        <v>0</v>
      </c>
      <c r="S253" s="190">
        <v>0</v>
      </c>
      <c r="T253" s="191">
        <f t="shared" si="23"/>
        <v>0</v>
      </c>
      <c r="U253" s="36"/>
      <c r="V253" s="36"/>
      <c r="W253" s="36"/>
      <c r="X253" s="36"/>
      <c r="Y253" s="36"/>
      <c r="Z253" s="36"/>
      <c r="AA253" s="36"/>
      <c r="AB253" s="36"/>
      <c r="AC253" s="36"/>
      <c r="AD253" s="36"/>
      <c r="AE253" s="36"/>
      <c r="AR253" s="192" t="s">
        <v>787</v>
      </c>
      <c r="AT253" s="192" t="s">
        <v>382</v>
      </c>
      <c r="AU253" s="192" t="s">
        <v>79</v>
      </c>
      <c r="AY253" s="19" t="s">
        <v>380</v>
      </c>
      <c r="BE253" s="193">
        <f t="shared" si="24"/>
        <v>0</v>
      </c>
      <c r="BF253" s="193">
        <f t="shared" si="25"/>
        <v>0</v>
      </c>
      <c r="BG253" s="193">
        <f t="shared" si="26"/>
        <v>0</v>
      </c>
      <c r="BH253" s="193">
        <f t="shared" si="27"/>
        <v>0</v>
      </c>
      <c r="BI253" s="193">
        <f t="shared" si="28"/>
        <v>0</v>
      </c>
      <c r="BJ253" s="19" t="s">
        <v>79</v>
      </c>
      <c r="BK253" s="193">
        <f t="shared" si="29"/>
        <v>0</v>
      </c>
      <c r="BL253" s="19" t="s">
        <v>787</v>
      </c>
      <c r="BM253" s="192" t="s">
        <v>1675</v>
      </c>
    </row>
    <row r="254" spans="1:65" s="2" customFormat="1" ht="16.5" customHeight="1">
      <c r="A254" s="36"/>
      <c r="B254" s="37"/>
      <c r="C254" s="227" t="s">
        <v>1024</v>
      </c>
      <c r="D254" s="227" t="s">
        <v>465</v>
      </c>
      <c r="E254" s="228" t="s">
        <v>4462</v>
      </c>
      <c r="F254" s="229" t="s">
        <v>4463</v>
      </c>
      <c r="G254" s="230" t="s">
        <v>2393</v>
      </c>
      <c r="H254" s="231">
        <v>1</v>
      </c>
      <c r="I254" s="232"/>
      <c r="J254" s="233">
        <f t="shared" si="20"/>
        <v>0</v>
      </c>
      <c r="K254" s="229" t="s">
        <v>19</v>
      </c>
      <c r="L254" s="234"/>
      <c r="M254" s="235" t="s">
        <v>19</v>
      </c>
      <c r="N254" s="236" t="s">
        <v>43</v>
      </c>
      <c r="O254" s="66"/>
      <c r="P254" s="190">
        <f t="shared" si="21"/>
        <v>0</v>
      </c>
      <c r="Q254" s="190">
        <v>0</v>
      </c>
      <c r="R254" s="190">
        <f t="shared" si="22"/>
        <v>0</v>
      </c>
      <c r="S254" s="190">
        <v>0</v>
      </c>
      <c r="T254" s="191">
        <f t="shared" si="23"/>
        <v>0</v>
      </c>
      <c r="U254" s="36"/>
      <c r="V254" s="36"/>
      <c r="W254" s="36"/>
      <c r="X254" s="36"/>
      <c r="Y254" s="36"/>
      <c r="Z254" s="36"/>
      <c r="AA254" s="36"/>
      <c r="AB254" s="36"/>
      <c r="AC254" s="36"/>
      <c r="AD254" s="36"/>
      <c r="AE254" s="36"/>
      <c r="AR254" s="192" t="s">
        <v>1923</v>
      </c>
      <c r="AT254" s="192" t="s">
        <v>465</v>
      </c>
      <c r="AU254" s="192" t="s">
        <v>79</v>
      </c>
      <c r="AY254" s="19" t="s">
        <v>380</v>
      </c>
      <c r="BE254" s="193">
        <f t="shared" si="24"/>
        <v>0</v>
      </c>
      <c r="BF254" s="193">
        <f t="shared" si="25"/>
        <v>0</v>
      </c>
      <c r="BG254" s="193">
        <f t="shared" si="26"/>
        <v>0</v>
      </c>
      <c r="BH254" s="193">
        <f t="shared" si="27"/>
        <v>0</v>
      </c>
      <c r="BI254" s="193">
        <f t="shared" si="28"/>
        <v>0</v>
      </c>
      <c r="BJ254" s="19" t="s">
        <v>79</v>
      </c>
      <c r="BK254" s="193">
        <f t="shared" si="29"/>
        <v>0</v>
      </c>
      <c r="BL254" s="19" t="s">
        <v>787</v>
      </c>
      <c r="BM254" s="192" t="s">
        <v>1693</v>
      </c>
    </row>
    <row r="255" spans="1:65" s="2" customFormat="1" ht="16.5" customHeight="1">
      <c r="A255" s="36"/>
      <c r="B255" s="37"/>
      <c r="C255" s="181" t="s">
        <v>1029</v>
      </c>
      <c r="D255" s="181" t="s">
        <v>382</v>
      </c>
      <c r="E255" s="182" t="s">
        <v>4464</v>
      </c>
      <c r="F255" s="183" t="s">
        <v>4465</v>
      </c>
      <c r="G255" s="184" t="s">
        <v>641</v>
      </c>
      <c r="H255" s="185">
        <v>27</v>
      </c>
      <c r="I255" s="186"/>
      <c r="J255" s="187">
        <f t="shared" si="20"/>
        <v>0</v>
      </c>
      <c r="K255" s="183" t="s">
        <v>19</v>
      </c>
      <c r="L255" s="41"/>
      <c r="M255" s="188" t="s">
        <v>19</v>
      </c>
      <c r="N255" s="189" t="s">
        <v>43</v>
      </c>
      <c r="O255" s="66"/>
      <c r="P255" s="190">
        <f t="shared" si="21"/>
        <v>0</v>
      </c>
      <c r="Q255" s="190">
        <v>0</v>
      </c>
      <c r="R255" s="190">
        <f t="shared" si="22"/>
        <v>0</v>
      </c>
      <c r="S255" s="190">
        <v>0</v>
      </c>
      <c r="T255" s="191">
        <f t="shared" si="23"/>
        <v>0</v>
      </c>
      <c r="U255" s="36"/>
      <c r="V255" s="36"/>
      <c r="W255" s="36"/>
      <c r="X255" s="36"/>
      <c r="Y255" s="36"/>
      <c r="Z255" s="36"/>
      <c r="AA255" s="36"/>
      <c r="AB255" s="36"/>
      <c r="AC255" s="36"/>
      <c r="AD255" s="36"/>
      <c r="AE255" s="36"/>
      <c r="AR255" s="192" t="s">
        <v>787</v>
      </c>
      <c r="AT255" s="192" t="s">
        <v>382</v>
      </c>
      <c r="AU255" s="192" t="s">
        <v>79</v>
      </c>
      <c r="AY255" s="19" t="s">
        <v>380</v>
      </c>
      <c r="BE255" s="193">
        <f t="shared" si="24"/>
        <v>0</v>
      </c>
      <c r="BF255" s="193">
        <f t="shared" si="25"/>
        <v>0</v>
      </c>
      <c r="BG255" s="193">
        <f t="shared" si="26"/>
        <v>0</v>
      </c>
      <c r="BH255" s="193">
        <f t="shared" si="27"/>
        <v>0</v>
      </c>
      <c r="BI255" s="193">
        <f t="shared" si="28"/>
        <v>0</v>
      </c>
      <c r="BJ255" s="19" t="s">
        <v>79</v>
      </c>
      <c r="BK255" s="193">
        <f t="shared" si="29"/>
        <v>0</v>
      </c>
      <c r="BL255" s="19" t="s">
        <v>787</v>
      </c>
      <c r="BM255" s="192" t="s">
        <v>1705</v>
      </c>
    </row>
    <row r="256" spans="1:65" s="2" customFormat="1" ht="16.5" customHeight="1">
      <c r="A256" s="36"/>
      <c r="B256" s="37"/>
      <c r="C256" s="227" t="s">
        <v>1034</v>
      </c>
      <c r="D256" s="227" t="s">
        <v>465</v>
      </c>
      <c r="E256" s="228" t="s">
        <v>4466</v>
      </c>
      <c r="F256" s="229" t="s">
        <v>4467</v>
      </c>
      <c r="G256" s="230" t="s">
        <v>2393</v>
      </c>
      <c r="H256" s="231">
        <v>9</v>
      </c>
      <c r="I256" s="232"/>
      <c r="J256" s="233">
        <f t="shared" si="20"/>
        <v>0</v>
      </c>
      <c r="K256" s="229" t="s">
        <v>19</v>
      </c>
      <c r="L256" s="234"/>
      <c r="M256" s="235" t="s">
        <v>19</v>
      </c>
      <c r="N256" s="236" t="s">
        <v>43</v>
      </c>
      <c r="O256" s="66"/>
      <c r="P256" s="190">
        <f t="shared" si="21"/>
        <v>0</v>
      </c>
      <c r="Q256" s="190">
        <v>0</v>
      </c>
      <c r="R256" s="190">
        <f t="shared" si="22"/>
        <v>0</v>
      </c>
      <c r="S256" s="190">
        <v>0</v>
      </c>
      <c r="T256" s="191">
        <f t="shared" si="23"/>
        <v>0</v>
      </c>
      <c r="U256" s="36"/>
      <c r="V256" s="36"/>
      <c r="W256" s="36"/>
      <c r="X256" s="36"/>
      <c r="Y256" s="36"/>
      <c r="Z256" s="36"/>
      <c r="AA256" s="36"/>
      <c r="AB256" s="36"/>
      <c r="AC256" s="36"/>
      <c r="AD256" s="36"/>
      <c r="AE256" s="36"/>
      <c r="AR256" s="192" t="s">
        <v>1923</v>
      </c>
      <c r="AT256" s="192" t="s">
        <v>465</v>
      </c>
      <c r="AU256" s="192" t="s">
        <v>79</v>
      </c>
      <c r="AY256" s="19" t="s">
        <v>380</v>
      </c>
      <c r="BE256" s="193">
        <f t="shared" si="24"/>
        <v>0</v>
      </c>
      <c r="BF256" s="193">
        <f t="shared" si="25"/>
        <v>0</v>
      </c>
      <c r="BG256" s="193">
        <f t="shared" si="26"/>
        <v>0</v>
      </c>
      <c r="BH256" s="193">
        <f t="shared" si="27"/>
        <v>0</v>
      </c>
      <c r="BI256" s="193">
        <f t="shared" si="28"/>
        <v>0</v>
      </c>
      <c r="BJ256" s="19" t="s">
        <v>79</v>
      </c>
      <c r="BK256" s="193">
        <f t="shared" si="29"/>
        <v>0</v>
      </c>
      <c r="BL256" s="19" t="s">
        <v>787</v>
      </c>
      <c r="BM256" s="192" t="s">
        <v>1715</v>
      </c>
    </row>
    <row r="257" spans="1:65" s="2" customFormat="1" ht="16.5" customHeight="1">
      <c r="A257" s="36"/>
      <c r="B257" s="37"/>
      <c r="C257" s="227" t="s">
        <v>1039</v>
      </c>
      <c r="D257" s="227" t="s">
        <v>465</v>
      </c>
      <c r="E257" s="228" t="s">
        <v>4468</v>
      </c>
      <c r="F257" s="229" t="s">
        <v>4469</v>
      </c>
      <c r="G257" s="230" t="s">
        <v>2393</v>
      </c>
      <c r="H257" s="231">
        <v>18</v>
      </c>
      <c r="I257" s="232"/>
      <c r="J257" s="233">
        <f t="shared" si="20"/>
        <v>0</v>
      </c>
      <c r="K257" s="229" t="s">
        <v>19</v>
      </c>
      <c r="L257" s="234"/>
      <c r="M257" s="235" t="s">
        <v>19</v>
      </c>
      <c r="N257" s="236" t="s">
        <v>43</v>
      </c>
      <c r="O257" s="66"/>
      <c r="P257" s="190">
        <f t="shared" si="21"/>
        <v>0</v>
      </c>
      <c r="Q257" s="190">
        <v>0</v>
      </c>
      <c r="R257" s="190">
        <f t="shared" si="22"/>
        <v>0</v>
      </c>
      <c r="S257" s="190">
        <v>0</v>
      </c>
      <c r="T257" s="191">
        <f t="shared" si="23"/>
        <v>0</v>
      </c>
      <c r="U257" s="36"/>
      <c r="V257" s="36"/>
      <c r="W257" s="36"/>
      <c r="X257" s="36"/>
      <c r="Y257" s="36"/>
      <c r="Z257" s="36"/>
      <c r="AA257" s="36"/>
      <c r="AB257" s="36"/>
      <c r="AC257" s="36"/>
      <c r="AD257" s="36"/>
      <c r="AE257" s="36"/>
      <c r="AR257" s="192" t="s">
        <v>1923</v>
      </c>
      <c r="AT257" s="192" t="s">
        <v>465</v>
      </c>
      <c r="AU257" s="192" t="s">
        <v>79</v>
      </c>
      <c r="AY257" s="19" t="s">
        <v>380</v>
      </c>
      <c r="BE257" s="193">
        <f t="shared" si="24"/>
        <v>0</v>
      </c>
      <c r="BF257" s="193">
        <f t="shared" si="25"/>
        <v>0</v>
      </c>
      <c r="BG257" s="193">
        <f t="shared" si="26"/>
        <v>0</v>
      </c>
      <c r="BH257" s="193">
        <f t="shared" si="27"/>
        <v>0</v>
      </c>
      <c r="BI257" s="193">
        <f t="shared" si="28"/>
        <v>0</v>
      </c>
      <c r="BJ257" s="19" t="s">
        <v>79</v>
      </c>
      <c r="BK257" s="193">
        <f t="shared" si="29"/>
        <v>0</v>
      </c>
      <c r="BL257" s="19" t="s">
        <v>787</v>
      </c>
      <c r="BM257" s="192" t="s">
        <v>1726</v>
      </c>
    </row>
    <row r="258" spans="1:65" s="2" customFormat="1" ht="16.5" customHeight="1">
      <c r="A258" s="36"/>
      <c r="B258" s="37"/>
      <c r="C258" s="181" t="s">
        <v>1043</v>
      </c>
      <c r="D258" s="181" t="s">
        <v>382</v>
      </c>
      <c r="E258" s="182" t="s">
        <v>4470</v>
      </c>
      <c r="F258" s="183" t="s">
        <v>4471</v>
      </c>
      <c r="G258" s="184" t="s">
        <v>641</v>
      </c>
      <c r="H258" s="185">
        <v>2</v>
      </c>
      <c r="I258" s="186"/>
      <c r="J258" s="187">
        <f t="shared" si="20"/>
        <v>0</v>
      </c>
      <c r="K258" s="183" t="s">
        <v>19</v>
      </c>
      <c r="L258" s="41"/>
      <c r="M258" s="188" t="s">
        <v>19</v>
      </c>
      <c r="N258" s="189" t="s">
        <v>43</v>
      </c>
      <c r="O258" s="66"/>
      <c r="P258" s="190">
        <f t="shared" si="21"/>
        <v>0</v>
      </c>
      <c r="Q258" s="190">
        <v>0</v>
      </c>
      <c r="R258" s="190">
        <f t="shared" si="22"/>
        <v>0</v>
      </c>
      <c r="S258" s="190">
        <v>0</v>
      </c>
      <c r="T258" s="191">
        <f t="shared" si="23"/>
        <v>0</v>
      </c>
      <c r="U258" s="36"/>
      <c r="V258" s="36"/>
      <c r="W258" s="36"/>
      <c r="X258" s="36"/>
      <c r="Y258" s="36"/>
      <c r="Z258" s="36"/>
      <c r="AA258" s="36"/>
      <c r="AB258" s="36"/>
      <c r="AC258" s="36"/>
      <c r="AD258" s="36"/>
      <c r="AE258" s="36"/>
      <c r="AR258" s="192" t="s">
        <v>787</v>
      </c>
      <c r="AT258" s="192" t="s">
        <v>382</v>
      </c>
      <c r="AU258" s="192" t="s">
        <v>79</v>
      </c>
      <c r="AY258" s="19" t="s">
        <v>380</v>
      </c>
      <c r="BE258" s="193">
        <f t="shared" si="24"/>
        <v>0</v>
      </c>
      <c r="BF258" s="193">
        <f t="shared" si="25"/>
        <v>0</v>
      </c>
      <c r="BG258" s="193">
        <f t="shared" si="26"/>
        <v>0</v>
      </c>
      <c r="BH258" s="193">
        <f t="shared" si="27"/>
        <v>0</v>
      </c>
      <c r="BI258" s="193">
        <f t="shared" si="28"/>
        <v>0</v>
      </c>
      <c r="BJ258" s="19" t="s">
        <v>79</v>
      </c>
      <c r="BK258" s="193">
        <f t="shared" si="29"/>
        <v>0</v>
      </c>
      <c r="BL258" s="19" t="s">
        <v>787</v>
      </c>
      <c r="BM258" s="192" t="s">
        <v>1736</v>
      </c>
    </row>
    <row r="259" spans="1:65" s="2" customFormat="1" ht="16.5" customHeight="1">
      <c r="A259" s="36"/>
      <c r="B259" s="37"/>
      <c r="C259" s="227" t="s">
        <v>1049</v>
      </c>
      <c r="D259" s="227" t="s">
        <v>465</v>
      </c>
      <c r="E259" s="228" t="s">
        <v>4472</v>
      </c>
      <c r="F259" s="229" t="s">
        <v>4473</v>
      </c>
      <c r="G259" s="230" t="s">
        <v>2393</v>
      </c>
      <c r="H259" s="231">
        <v>2</v>
      </c>
      <c r="I259" s="232"/>
      <c r="J259" s="233">
        <f t="shared" si="20"/>
        <v>0</v>
      </c>
      <c r="K259" s="229" t="s">
        <v>19</v>
      </c>
      <c r="L259" s="234"/>
      <c r="M259" s="235" t="s">
        <v>19</v>
      </c>
      <c r="N259" s="236" t="s">
        <v>43</v>
      </c>
      <c r="O259" s="66"/>
      <c r="P259" s="190">
        <f t="shared" si="21"/>
        <v>0</v>
      </c>
      <c r="Q259" s="190">
        <v>0</v>
      </c>
      <c r="R259" s="190">
        <f t="shared" si="22"/>
        <v>0</v>
      </c>
      <c r="S259" s="190">
        <v>0</v>
      </c>
      <c r="T259" s="191">
        <f t="shared" si="23"/>
        <v>0</v>
      </c>
      <c r="U259" s="36"/>
      <c r="V259" s="36"/>
      <c r="W259" s="36"/>
      <c r="X259" s="36"/>
      <c r="Y259" s="36"/>
      <c r="Z259" s="36"/>
      <c r="AA259" s="36"/>
      <c r="AB259" s="36"/>
      <c r="AC259" s="36"/>
      <c r="AD259" s="36"/>
      <c r="AE259" s="36"/>
      <c r="AR259" s="192" t="s">
        <v>1923</v>
      </c>
      <c r="AT259" s="192" t="s">
        <v>465</v>
      </c>
      <c r="AU259" s="192" t="s">
        <v>79</v>
      </c>
      <c r="AY259" s="19" t="s">
        <v>380</v>
      </c>
      <c r="BE259" s="193">
        <f t="shared" si="24"/>
        <v>0</v>
      </c>
      <c r="BF259" s="193">
        <f t="shared" si="25"/>
        <v>0</v>
      </c>
      <c r="BG259" s="193">
        <f t="shared" si="26"/>
        <v>0</v>
      </c>
      <c r="BH259" s="193">
        <f t="shared" si="27"/>
        <v>0</v>
      </c>
      <c r="BI259" s="193">
        <f t="shared" si="28"/>
        <v>0</v>
      </c>
      <c r="BJ259" s="19" t="s">
        <v>79</v>
      </c>
      <c r="BK259" s="193">
        <f t="shared" si="29"/>
        <v>0</v>
      </c>
      <c r="BL259" s="19" t="s">
        <v>787</v>
      </c>
      <c r="BM259" s="192" t="s">
        <v>1746</v>
      </c>
    </row>
    <row r="260" spans="1:65" s="2" customFormat="1" ht="21.75" customHeight="1">
      <c r="A260" s="36"/>
      <c r="B260" s="37"/>
      <c r="C260" s="227" t="s">
        <v>1054</v>
      </c>
      <c r="D260" s="227" t="s">
        <v>465</v>
      </c>
      <c r="E260" s="228" t="s">
        <v>4474</v>
      </c>
      <c r="F260" s="229" t="s">
        <v>4475</v>
      </c>
      <c r="G260" s="230" t="s">
        <v>4476</v>
      </c>
      <c r="H260" s="231">
        <v>10</v>
      </c>
      <c r="I260" s="232"/>
      <c r="J260" s="233">
        <f t="shared" si="20"/>
        <v>0</v>
      </c>
      <c r="K260" s="229" t="s">
        <v>19</v>
      </c>
      <c r="L260" s="234"/>
      <c r="M260" s="235" t="s">
        <v>19</v>
      </c>
      <c r="N260" s="236" t="s">
        <v>43</v>
      </c>
      <c r="O260" s="66"/>
      <c r="P260" s="190">
        <f t="shared" si="21"/>
        <v>0</v>
      </c>
      <c r="Q260" s="190">
        <v>0</v>
      </c>
      <c r="R260" s="190">
        <f t="shared" si="22"/>
        <v>0</v>
      </c>
      <c r="S260" s="190">
        <v>0</v>
      </c>
      <c r="T260" s="191">
        <f t="shared" si="23"/>
        <v>0</v>
      </c>
      <c r="U260" s="36"/>
      <c r="V260" s="36"/>
      <c r="W260" s="36"/>
      <c r="X260" s="36"/>
      <c r="Y260" s="36"/>
      <c r="Z260" s="36"/>
      <c r="AA260" s="36"/>
      <c r="AB260" s="36"/>
      <c r="AC260" s="36"/>
      <c r="AD260" s="36"/>
      <c r="AE260" s="36"/>
      <c r="AR260" s="192" t="s">
        <v>1923</v>
      </c>
      <c r="AT260" s="192" t="s">
        <v>465</v>
      </c>
      <c r="AU260" s="192" t="s">
        <v>79</v>
      </c>
      <c r="AY260" s="19" t="s">
        <v>380</v>
      </c>
      <c r="BE260" s="193">
        <f t="shared" si="24"/>
        <v>0</v>
      </c>
      <c r="BF260" s="193">
        <f t="shared" si="25"/>
        <v>0</v>
      </c>
      <c r="BG260" s="193">
        <f t="shared" si="26"/>
        <v>0</v>
      </c>
      <c r="BH260" s="193">
        <f t="shared" si="27"/>
        <v>0</v>
      </c>
      <c r="BI260" s="193">
        <f t="shared" si="28"/>
        <v>0</v>
      </c>
      <c r="BJ260" s="19" t="s">
        <v>79</v>
      </c>
      <c r="BK260" s="193">
        <f t="shared" si="29"/>
        <v>0</v>
      </c>
      <c r="BL260" s="19" t="s">
        <v>787</v>
      </c>
      <c r="BM260" s="192" t="s">
        <v>1756</v>
      </c>
    </row>
    <row r="261" spans="1:65" s="2" customFormat="1" ht="16.5" customHeight="1">
      <c r="A261" s="36"/>
      <c r="B261" s="37"/>
      <c r="C261" s="227" t="s">
        <v>1059</v>
      </c>
      <c r="D261" s="227" t="s">
        <v>465</v>
      </c>
      <c r="E261" s="228" t="s">
        <v>4477</v>
      </c>
      <c r="F261" s="229" t="s">
        <v>4478</v>
      </c>
      <c r="G261" s="230" t="s">
        <v>4476</v>
      </c>
      <c r="H261" s="231">
        <v>5</v>
      </c>
      <c r="I261" s="232"/>
      <c r="J261" s="233">
        <f t="shared" si="20"/>
        <v>0</v>
      </c>
      <c r="K261" s="229" t="s">
        <v>19</v>
      </c>
      <c r="L261" s="234"/>
      <c r="M261" s="235" t="s">
        <v>19</v>
      </c>
      <c r="N261" s="236" t="s">
        <v>43</v>
      </c>
      <c r="O261" s="66"/>
      <c r="P261" s="190">
        <f t="shared" si="21"/>
        <v>0</v>
      </c>
      <c r="Q261" s="190">
        <v>0</v>
      </c>
      <c r="R261" s="190">
        <f t="shared" si="22"/>
        <v>0</v>
      </c>
      <c r="S261" s="190">
        <v>0</v>
      </c>
      <c r="T261" s="191">
        <f t="shared" si="23"/>
        <v>0</v>
      </c>
      <c r="U261" s="36"/>
      <c r="V261" s="36"/>
      <c r="W261" s="36"/>
      <c r="X261" s="36"/>
      <c r="Y261" s="36"/>
      <c r="Z261" s="36"/>
      <c r="AA261" s="36"/>
      <c r="AB261" s="36"/>
      <c r="AC261" s="36"/>
      <c r="AD261" s="36"/>
      <c r="AE261" s="36"/>
      <c r="AR261" s="192" t="s">
        <v>1923</v>
      </c>
      <c r="AT261" s="192" t="s">
        <v>465</v>
      </c>
      <c r="AU261" s="192" t="s">
        <v>79</v>
      </c>
      <c r="AY261" s="19" t="s">
        <v>380</v>
      </c>
      <c r="BE261" s="193">
        <f t="shared" si="24"/>
        <v>0</v>
      </c>
      <c r="BF261" s="193">
        <f t="shared" si="25"/>
        <v>0</v>
      </c>
      <c r="BG261" s="193">
        <f t="shared" si="26"/>
        <v>0</v>
      </c>
      <c r="BH261" s="193">
        <f t="shared" si="27"/>
        <v>0</v>
      </c>
      <c r="BI261" s="193">
        <f t="shared" si="28"/>
        <v>0</v>
      </c>
      <c r="BJ261" s="19" t="s">
        <v>79</v>
      </c>
      <c r="BK261" s="193">
        <f t="shared" si="29"/>
        <v>0</v>
      </c>
      <c r="BL261" s="19" t="s">
        <v>787</v>
      </c>
      <c r="BM261" s="192" t="s">
        <v>1771</v>
      </c>
    </row>
    <row r="262" spans="1:65" s="2" customFormat="1" ht="16.5" customHeight="1">
      <c r="A262" s="36"/>
      <c r="B262" s="37"/>
      <c r="C262" s="227" t="s">
        <v>1064</v>
      </c>
      <c r="D262" s="227" t="s">
        <v>465</v>
      </c>
      <c r="E262" s="228" t="s">
        <v>4479</v>
      </c>
      <c r="F262" s="229" t="s">
        <v>4480</v>
      </c>
      <c r="G262" s="230" t="s">
        <v>4476</v>
      </c>
      <c r="H262" s="231">
        <v>8</v>
      </c>
      <c r="I262" s="232"/>
      <c r="J262" s="233">
        <f t="shared" si="20"/>
        <v>0</v>
      </c>
      <c r="K262" s="229" t="s">
        <v>19</v>
      </c>
      <c r="L262" s="234"/>
      <c r="M262" s="235" t="s">
        <v>19</v>
      </c>
      <c r="N262" s="236" t="s">
        <v>43</v>
      </c>
      <c r="O262" s="66"/>
      <c r="P262" s="190">
        <f t="shared" si="21"/>
        <v>0</v>
      </c>
      <c r="Q262" s="190">
        <v>0</v>
      </c>
      <c r="R262" s="190">
        <f t="shared" si="22"/>
        <v>0</v>
      </c>
      <c r="S262" s="190">
        <v>0</v>
      </c>
      <c r="T262" s="191">
        <f t="shared" si="23"/>
        <v>0</v>
      </c>
      <c r="U262" s="36"/>
      <c r="V262" s="36"/>
      <c r="W262" s="36"/>
      <c r="X262" s="36"/>
      <c r="Y262" s="36"/>
      <c r="Z262" s="36"/>
      <c r="AA262" s="36"/>
      <c r="AB262" s="36"/>
      <c r="AC262" s="36"/>
      <c r="AD262" s="36"/>
      <c r="AE262" s="36"/>
      <c r="AR262" s="192" t="s">
        <v>1923</v>
      </c>
      <c r="AT262" s="192" t="s">
        <v>465</v>
      </c>
      <c r="AU262" s="192" t="s">
        <v>79</v>
      </c>
      <c r="AY262" s="19" t="s">
        <v>380</v>
      </c>
      <c r="BE262" s="193">
        <f t="shared" si="24"/>
        <v>0</v>
      </c>
      <c r="BF262" s="193">
        <f t="shared" si="25"/>
        <v>0</v>
      </c>
      <c r="BG262" s="193">
        <f t="shared" si="26"/>
        <v>0</v>
      </c>
      <c r="BH262" s="193">
        <f t="shared" si="27"/>
        <v>0</v>
      </c>
      <c r="BI262" s="193">
        <f t="shared" si="28"/>
        <v>0</v>
      </c>
      <c r="BJ262" s="19" t="s">
        <v>79</v>
      </c>
      <c r="BK262" s="193">
        <f t="shared" si="29"/>
        <v>0</v>
      </c>
      <c r="BL262" s="19" t="s">
        <v>787</v>
      </c>
      <c r="BM262" s="192" t="s">
        <v>1787</v>
      </c>
    </row>
    <row r="263" spans="1:65" s="2" customFormat="1" ht="16.5" customHeight="1">
      <c r="A263" s="36"/>
      <c r="B263" s="37"/>
      <c r="C263" s="181" t="s">
        <v>1068</v>
      </c>
      <c r="D263" s="181" t="s">
        <v>382</v>
      </c>
      <c r="E263" s="182" t="s">
        <v>4481</v>
      </c>
      <c r="F263" s="183" t="s">
        <v>4482</v>
      </c>
      <c r="G263" s="184" t="s">
        <v>641</v>
      </c>
      <c r="H263" s="185">
        <v>1</v>
      </c>
      <c r="I263" s="186"/>
      <c r="J263" s="187">
        <f t="shared" si="20"/>
        <v>0</v>
      </c>
      <c r="K263" s="183" t="s">
        <v>19</v>
      </c>
      <c r="L263" s="41"/>
      <c r="M263" s="188" t="s">
        <v>19</v>
      </c>
      <c r="N263" s="189" t="s">
        <v>43</v>
      </c>
      <c r="O263" s="66"/>
      <c r="P263" s="190">
        <f t="shared" si="21"/>
        <v>0</v>
      </c>
      <c r="Q263" s="190">
        <v>0</v>
      </c>
      <c r="R263" s="190">
        <f t="shared" si="22"/>
        <v>0</v>
      </c>
      <c r="S263" s="190">
        <v>0</v>
      </c>
      <c r="T263" s="191">
        <f t="shared" si="23"/>
        <v>0</v>
      </c>
      <c r="U263" s="36"/>
      <c r="V263" s="36"/>
      <c r="W263" s="36"/>
      <c r="X263" s="36"/>
      <c r="Y263" s="36"/>
      <c r="Z263" s="36"/>
      <c r="AA263" s="36"/>
      <c r="AB263" s="36"/>
      <c r="AC263" s="36"/>
      <c r="AD263" s="36"/>
      <c r="AE263" s="36"/>
      <c r="AR263" s="192" t="s">
        <v>787</v>
      </c>
      <c r="AT263" s="192" t="s">
        <v>382</v>
      </c>
      <c r="AU263" s="192" t="s">
        <v>79</v>
      </c>
      <c r="AY263" s="19" t="s">
        <v>380</v>
      </c>
      <c r="BE263" s="193">
        <f t="shared" si="24"/>
        <v>0</v>
      </c>
      <c r="BF263" s="193">
        <f t="shared" si="25"/>
        <v>0</v>
      </c>
      <c r="BG263" s="193">
        <f t="shared" si="26"/>
        <v>0</v>
      </c>
      <c r="BH263" s="193">
        <f t="shared" si="27"/>
        <v>0</v>
      </c>
      <c r="BI263" s="193">
        <f t="shared" si="28"/>
        <v>0</v>
      </c>
      <c r="BJ263" s="19" t="s">
        <v>79</v>
      </c>
      <c r="BK263" s="193">
        <f t="shared" si="29"/>
        <v>0</v>
      </c>
      <c r="BL263" s="19" t="s">
        <v>787</v>
      </c>
      <c r="BM263" s="192" t="s">
        <v>1800</v>
      </c>
    </row>
    <row r="264" spans="1:65" s="2" customFormat="1" ht="16.5" customHeight="1">
      <c r="A264" s="36"/>
      <c r="B264" s="37"/>
      <c r="C264" s="181" t="s">
        <v>1072</v>
      </c>
      <c r="D264" s="181" t="s">
        <v>382</v>
      </c>
      <c r="E264" s="182" t="s">
        <v>4483</v>
      </c>
      <c r="F264" s="183" t="s">
        <v>4484</v>
      </c>
      <c r="G264" s="184" t="s">
        <v>641</v>
      </c>
      <c r="H264" s="185">
        <v>4</v>
      </c>
      <c r="I264" s="186"/>
      <c r="J264" s="187">
        <f t="shared" si="20"/>
        <v>0</v>
      </c>
      <c r="K264" s="183" t="s">
        <v>19</v>
      </c>
      <c r="L264" s="41"/>
      <c r="M264" s="188" t="s">
        <v>19</v>
      </c>
      <c r="N264" s="189" t="s">
        <v>43</v>
      </c>
      <c r="O264" s="66"/>
      <c r="P264" s="190">
        <f t="shared" si="21"/>
        <v>0</v>
      </c>
      <c r="Q264" s="190">
        <v>0</v>
      </c>
      <c r="R264" s="190">
        <f t="shared" si="22"/>
        <v>0</v>
      </c>
      <c r="S264" s="190">
        <v>0</v>
      </c>
      <c r="T264" s="191">
        <f t="shared" si="23"/>
        <v>0</v>
      </c>
      <c r="U264" s="36"/>
      <c r="V264" s="36"/>
      <c r="W264" s="36"/>
      <c r="X264" s="36"/>
      <c r="Y264" s="36"/>
      <c r="Z264" s="36"/>
      <c r="AA264" s="36"/>
      <c r="AB264" s="36"/>
      <c r="AC264" s="36"/>
      <c r="AD264" s="36"/>
      <c r="AE264" s="36"/>
      <c r="AR264" s="192" t="s">
        <v>787</v>
      </c>
      <c r="AT264" s="192" t="s">
        <v>382</v>
      </c>
      <c r="AU264" s="192" t="s">
        <v>79</v>
      </c>
      <c r="AY264" s="19" t="s">
        <v>380</v>
      </c>
      <c r="BE264" s="193">
        <f t="shared" si="24"/>
        <v>0</v>
      </c>
      <c r="BF264" s="193">
        <f t="shared" si="25"/>
        <v>0</v>
      </c>
      <c r="BG264" s="193">
        <f t="shared" si="26"/>
        <v>0</v>
      </c>
      <c r="BH264" s="193">
        <f t="shared" si="27"/>
        <v>0</v>
      </c>
      <c r="BI264" s="193">
        <f t="shared" si="28"/>
        <v>0</v>
      </c>
      <c r="BJ264" s="19" t="s">
        <v>79</v>
      </c>
      <c r="BK264" s="193">
        <f t="shared" si="29"/>
        <v>0</v>
      </c>
      <c r="BL264" s="19" t="s">
        <v>787</v>
      </c>
      <c r="BM264" s="192" t="s">
        <v>1809</v>
      </c>
    </row>
    <row r="265" spans="1:65" s="2" customFormat="1" ht="16.5" customHeight="1">
      <c r="A265" s="36"/>
      <c r="B265" s="37"/>
      <c r="C265" s="181" t="s">
        <v>1079</v>
      </c>
      <c r="D265" s="181" t="s">
        <v>382</v>
      </c>
      <c r="E265" s="182" t="s">
        <v>4485</v>
      </c>
      <c r="F265" s="183" t="s">
        <v>4486</v>
      </c>
      <c r="G265" s="184" t="s">
        <v>3014</v>
      </c>
      <c r="H265" s="257"/>
      <c r="I265" s="186"/>
      <c r="J265" s="187">
        <f t="shared" si="20"/>
        <v>0</v>
      </c>
      <c r="K265" s="183" t="s">
        <v>19</v>
      </c>
      <c r="L265" s="41"/>
      <c r="M265" s="188" t="s">
        <v>19</v>
      </c>
      <c r="N265" s="189" t="s">
        <v>43</v>
      </c>
      <c r="O265" s="66"/>
      <c r="P265" s="190">
        <f t="shared" si="21"/>
        <v>0</v>
      </c>
      <c r="Q265" s="190">
        <v>0</v>
      </c>
      <c r="R265" s="190">
        <f t="shared" si="22"/>
        <v>0</v>
      </c>
      <c r="S265" s="190">
        <v>0</v>
      </c>
      <c r="T265" s="191">
        <f t="shared" si="23"/>
        <v>0</v>
      </c>
      <c r="U265" s="36"/>
      <c r="V265" s="36"/>
      <c r="W265" s="36"/>
      <c r="X265" s="36"/>
      <c r="Y265" s="36"/>
      <c r="Z265" s="36"/>
      <c r="AA265" s="36"/>
      <c r="AB265" s="36"/>
      <c r="AC265" s="36"/>
      <c r="AD265" s="36"/>
      <c r="AE265" s="36"/>
      <c r="AR265" s="192" t="s">
        <v>787</v>
      </c>
      <c r="AT265" s="192" t="s">
        <v>382</v>
      </c>
      <c r="AU265" s="192" t="s">
        <v>79</v>
      </c>
      <c r="AY265" s="19" t="s">
        <v>380</v>
      </c>
      <c r="BE265" s="193">
        <f t="shared" si="24"/>
        <v>0</v>
      </c>
      <c r="BF265" s="193">
        <f t="shared" si="25"/>
        <v>0</v>
      </c>
      <c r="BG265" s="193">
        <f t="shared" si="26"/>
        <v>0</v>
      </c>
      <c r="BH265" s="193">
        <f t="shared" si="27"/>
        <v>0</v>
      </c>
      <c r="BI265" s="193">
        <f t="shared" si="28"/>
        <v>0</v>
      </c>
      <c r="BJ265" s="19" t="s">
        <v>79</v>
      </c>
      <c r="BK265" s="193">
        <f t="shared" si="29"/>
        <v>0</v>
      </c>
      <c r="BL265" s="19" t="s">
        <v>787</v>
      </c>
      <c r="BM265" s="192" t="s">
        <v>1821</v>
      </c>
    </row>
    <row r="266" spans="1:65" s="2" customFormat="1" ht="16.5" customHeight="1">
      <c r="A266" s="36"/>
      <c r="B266" s="37"/>
      <c r="C266" s="181" t="s">
        <v>1088</v>
      </c>
      <c r="D266" s="181" t="s">
        <v>382</v>
      </c>
      <c r="E266" s="182" t="s">
        <v>4487</v>
      </c>
      <c r="F266" s="183" t="s">
        <v>4488</v>
      </c>
      <c r="G266" s="184" t="s">
        <v>3014</v>
      </c>
      <c r="H266" s="257"/>
      <c r="I266" s="186"/>
      <c r="J266" s="187">
        <f t="shared" si="20"/>
        <v>0</v>
      </c>
      <c r="K266" s="183" t="s">
        <v>19</v>
      </c>
      <c r="L266" s="41"/>
      <c r="M266" s="188" t="s">
        <v>19</v>
      </c>
      <c r="N266" s="189" t="s">
        <v>43</v>
      </c>
      <c r="O266" s="66"/>
      <c r="P266" s="190">
        <f t="shared" si="21"/>
        <v>0</v>
      </c>
      <c r="Q266" s="190">
        <v>0</v>
      </c>
      <c r="R266" s="190">
        <f t="shared" si="22"/>
        <v>0</v>
      </c>
      <c r="S266" s="190">
        <v>0</v>
      </c>
      <c r="T266" s="191">
        <f t="shared" si="23"/>
        <v>0</v>
      </c>
      <c r="U266" s="36"/>
      <c r="V266" s="36"/>
      <c r="W266" s="36"/>
      <c r="X266" s="36"/>
      <c r="Y266" s="36"/>
      <c r="Z266" s="36"/>
      <c r="AA266" s="36"/>
      <c r="AB266" s="36"/>
      <c r="AC266" s="36"/>
      <c r="AD266" s="36"/>
      <c r="AE266" s="36"/>
      <c r="AR266" s="192" t="s">
        <v>787</v>
      </c>
      <c r="AT266" s="192" t="s">
        <v>382</v>
      </c>
      <c r="AU266" s="192" t="s">
        <v>79</v>
      </c>
      <c r="AY266" s="19" t="s">
        <v>380</v>
      </c>
      <c r="BE266" s="193">
        <f t="shared" si="24"/>
        <v>0</v>
      </c>
      <c r="BF266" s="193">
        <f t="shared" si="25"/>
        <v>0</v>
      </c>
      <c r="BG266" s="193">
        <f t="shared" si="26"/>
        <v>0</v>
      </c>
      <c r="BH266" s="193">
        <f t="shared" si="27"/>
        <v>0</v>
      </c>
      <c r="BI266" s="193">
        <f t="shared" si="28"/>
        <v>0</v>
      </c>
      <c r="BJ266" s="19" t="s">
        <v>79</v>
      </c>
      <c r="BK266" s="193">
        <f t="shared" si="29"/>
        <v>0</v>
      </c>
      <c r="BL266" s="19" t="s">
        <v>787</v>
      </c>
      <c r="BM266" s="192" t="s">
        <v>1831</v>
      </c>
    </row>
    <row r="267" spans="1:65" s="12" customFormat="1" ht="22.9" customHeight="1">
      <c r="B267" s="165"/>
      <c r="C267" s="166"/>
      <c r="D267" s="167" t="s">
        <v>71</v>
      </c>
      <c r="E267" s="179" t="s">
        <v>4489</v>
      </c>
      <c r="F267" s="179" t="s">
        <v>4490</v>
      </c>
      <c r="G267" s="166"/>
      <c r="H267" s="166"/>
      <c r="I267" s="169"/>
      <c r="J267" s="180">
        <f>BK267</f>
        <v>0</v>
      </c>
      <c r="K267" s="166"/>
      <c r="L267" s="171"/>
      <c r="M267" s="172"/>
      <c r="N267" s="173"/>
      <c r="O267" s="173"/>
      <c r="P267" s="174">
        <f>SUM(P268:P288)</f>
        <v>0</v>
      </c>
      <c r="Q267" s="173"/>
      <c r="R267" s="174">
        <f>SUM(R268:R288)</f>
        <v>0</v>
      </c>
      <c r="S267" s="173"/>
      <c r="T267" s="175">
        <f>SUM(T268:T288)</f>
        <v>0</v>
      </c>
      <c r="AR267" s="176" t="s">
        <v>79</v>
      </c>
      <c r="AT267" s="177" t="s">
        <v>71</v>
      </c>
      <c r="AU267" s="177" t="s">
        <v>79</v>
      </c>
      <c r="AY267" s="176" t="s">
        <v>380</v>
      </c>
      <c r="BK267" s="178">
        <f>SUM(BK268:BK288)</f>
        <v>0</v>
      </c>
    </row>
    <row r="268" spans="1:65" s="2" customFormat="1" ht="16.5" customHeight="1">
      <c r="A268" s="36"/>
      <c r="B268" s="37"/>
      <c r="C268" s="181" t="s">
        <v>1095</v>
      </c>
      <c r="D268" s="181" t="s">
        <v>382</v>
      </c>
      <c r="E268" s="182" t="s">
        <v>4491</v>
      </c>
      <c r="F268" s="183" t="s">
        <v>4492</v>
      </c>
      <c r="G268" s="184" t="s">
        <v>641</v>
      </c>
      <c r="H268" s="185">
        <v>187</v>
      </c>
      <c r="I268" s="186"/>
      <c r="J268" s="187">
        <f t="shared" ref="J268:J288" si="30">ROUND(I268*H268,2)</f>
        <v>0</v>
      </c>
      <c r="K268" s="183" t="s">
        <v>19</v>
      </c>
      <c r="L268" s="41"/>
      <c r="M268" s="188" t="s">
        <v>19</v>
      </c>
      <c r="N268" s="189" t="s">
        <v>43</v>
      </c>
      <c r="O268" s="66"/>
      <c r="P268" s="190">
        <f t="shared" ref="P268:P288" si="31">O268*H268</f>
        <v>0</v>
      </c>
      <c r="Q268" s="190">
        <v>0</v>
      </c>
      <c r="R268" s="190">
        <f t="shared" ref="R268:R288" si="32">Q268*H268</f>
        <v>0</v>
      </c>
      <c r="S268" s="190">
        <v>0</v>
      </c>
      <c r="T268" s="191">
        <f t="shared" ref="T268:T288" si="33">S268*H268</f>
        <v>0</v>
      </c>
      <c r="U268" s="36"/>
      <c r="V268" s="36"/>
      <c r="W268" s="36"/>
      <c r="X268" s="36"/>
      <c r="Y268" s="36"/>
      <c r="Z268" s="36"/>
      <c r="AA268" s="36"/>
      <c r="AB268" s="36"/>
      <c r="AC268" s="36"/>
      <c r="AD268" s="36"/>
      <c r="AE268" s="36"/>
      <c r="AR268" s="192" t="s">
        <v>386</v>
      </c>
      <c r="AT268" s="192" t="s">
        <v>382</v>
      </c>
      <c r="AU268" s="192" t="s">
        <v>82</v>
      </c>
      <c r="AY268" s="19" t="s">
        <v>380</v>
      </c>
      <c r="BE268" s="193">
        <f t="shared" ref="BE268:BE288" si="34">IF(N268="základní",J268,0)</f>
        <v>0</v>
      </c>
      <c r="BF268" s="193">
        <f t="shared" ref="BF268:BF288" si="35">IF(N268="snížená",J268,0)</f>
        <v>0</v>
      </c>
      <c r="BG268" s="193">
        <f t="shared" ref="BG268:BG288" si="36">IF(N268="zákl. přenesená",J268,0)</f>
        <v>0</v>
      </c>
      <c r="BH268" s="193">
        <f t="shared" ref="BH268:BH288" si="37">IF(N268="sníž. přenesená",J268,0)</f>
        <v>0</v>
      </c>
      <c r="BI268" s="193">
        <f t="shared" ref="BI268:BI288" si="38">IF(N268="nulová",J268,0)</f>
        <v>0</v>
      </c>
      <c r="BJ268" s="19" t="s">
        <v>79</v>
      </c>
      <c r="BK268" s="193">
        <f t="shared" ref="BK268:BK288" si="39">ROUND(I268*H268,2)</f>
        <v>0</v>
      </c>
      <c r="BL268" s="19" t="s">
        <v>386</v>
      </c>
      <c r="BM268" s="192" t="s">
        <v>1846</v>
      </c>
    </row>
    <row r="269" spans="1:65" s="2" customFormat="1" ht="16.5" customHeight="1">
      <c r="A269" s="36"/>
      <c r="B269" s="37"/>
      <c r="C269" s="227" t="s">
        <v>1107</v>
      </c>
      <c r="D269" s="227" t="s">
        <v>465</v>
      </c>
      <c r="E269" s="228" t="s">
        <v>4493</v>
      </c>
      <c r="F269" s="229" t="s">
        <v>4494</v>
      </c>
      <c r="G269" s="230" t="s">
        <v>2393</v>
      </c>
      <c r="H269" s="231">
        <v>125</v>
      </c>
      <c r="I269" s="232"/>
      <c r="J269" s="233">
        <f t="shared" si="30"/>
        <v>0</v>
      </c>
      <c r="K269" s="229" t="s">
        <v>19</v>
      </c>
      <c r="L269" s="234"/>
      <c r="M269" s="235" t="s">
        <v>19</v>
      </c>
      <c r="N269" s="236" t="s">
        <v>43</v>
      </c>
      <c r="O269" s="66"/>
      <c r="P269" s="190">
        <f t="shared" si="31"/>
        <v>0</v>
      </c>
      <c r="Q269" s="190">
        <v>0</v>
      </c>
      <c r="R269" s="190">
        <f t="shared" si="32"/>
        <v>0</v>
      </c>
      <c r="S269" s="190">
        <v>0</v>
      </c>
      <c r="T269" s="191">
        <f t="shared" si="33"/>
        <v>0</v>
      </c>
      <c r="U269" s="36"/>
      <c r="V269" s="36"/>
      <c r="W269" s="36"/>
      <c r="X269" s="36"/>
      <c r="Y269" s="36"/>
      <c r="Z269" s="36"/>
      <c r="AA269" s="36"/>
      <c r="AB269" s="36"/>
      <c r="AC269" s="36"/>
      <c r="AD269" s="36"/>
      <c r="AE269" s="36"/>
      <c r="AR269" s="192" t="s">
        <v>424</v>
      </c>
      <c r="AT269" s="192" t="s">
        <v>465</v>
      </c>
      <c r="AU269" s="192" t="s">
        <v>82</v>
      </c>
      <c r="AY269" s="19" t="s">
        <v>380</v>
      </c>
      <c r="BE269" s="193">
        <f t="shared" si="34"/>
        <v>0</v>
      </c>
      <c r="BF269" s="193">
        <f t="shared" si="35"/>
        <v>0</v>
      </c>
      <c r="BG269" s="193">
        <f t="shared" si="36"/>
        <v>0</v>
      </c>
      <c r="BH269" s="193">
        <f t="shared" si="37"/>
        <v>0</v>
      </c>
      <c r="BI269" s="193">
        <f t="shared" si="38"/>
        <v>0</v>
      </c>
      <c r="BJ269" s="19" t="s">
        <v>79</v>
      </c>
      <c r="BK269" s="193">
        <f t="shared" si="39"/>
        <v>0</v>
      </c>
      <c r="BL269" s="19" t="s">
        <v>386</v>
      </c>
      <c r="BM269" s="192" t="s">
        <v>1855</v>
      </c>
    </row>
    <row r="270" spans="1:65" s="2" customFormat="1" ht="16.5" customHeight="1">
      <c r="A270" s="36"/>
      <c r="B270" s="37"/>
      <c r="C270" s="227" t="s">
        <v>1112</v>
      </c>
      <c r="D270" s="227" t="s">
        <v>465</v>
      </c>
      <c r="E270" s="228" t="s">
        <v>4495</v>
      </c>
      <c r="F270" s="229" t="s">
        <v>4496</v>
      </c>
      <c r="G270" s="230" t="s">
        <v>2393</v>
      </c>
      <c r="H270" s="231">
        <v>62</v>
      </c>
      <c r="I270" s="232"/>
      <c r="J270" s="233">
        <f t="shared" si="30"/>
        <v>0</v>
      </c>
      <c r="K270" s="229" t="s">
        <v>19</v>
      </c>
      <c r="L270" s="234"/>
      <c r="M270" s="235" t="s">
        <v>19</v>
      </c>
      <c r="N270" s="236" t="s">
        <v>43</v>
      </c>
      <c r="O270" s="66"/>
      <c r="P270" s="190">
        <f t="shared" si="31"/>
        <v>0</v>
      </c>
      <c r="Q270" s="190">
        <v>0</v>
      </c>
      <c r="R270" s="190">
        <f t="shared" si="32"/>
        <v>0</v>
      </c>
      <c r="S270" s="190">
        <v>0</v>
      </c>
      <c r="T270" s="191">
        <f t="shared" si="33"/>
        <v>0</v>
      </c>
      <c r="U270" s="36"/>
      <c r="V270" s="36"/>
      <c r="W270" s="36"/>
      <c r="X270" s="36"/>
      <c r="Y270" s="36"/>
      <c r="Z270" s="36"/>
      <c r="AA270" s="36"/>
      <c r="AB270" s="36"/>
      <c r="AC270" s="36"/>
      <c r="AD270" s="36"/>
      <c r="AE270" s="36"/>
      <c r="AR270" s="192" t="s">
        <v>424</v>
      </c>
      <c r="AT270" s="192" t="s">
        <v>465</v>
      </c>
      <c r="AU270" s="192" t="s">
        <v>82</v>
      </c>
      <c r="AY270" s="19" t="s">
        <v>380</v>
      </c>
      <c r="BE270" s="193">
        <f t="shared" si="34"/>
        <v>0</v>
      </c>
      <c r="BF270" s="193">
        <f t="shared" si="35"/>
        <v>0</v>
      </c>
      <c r="BG270" s="193">
        <f t="shared" si="36"/>
        <v>0</v>
      </c>
      <c r="BH270" s="193">
        <f t="shared" si="37"/>
        <v>0</v>
      </c>
      <c r="BI270" s="193">
        <f t="shared" si="38"/>
        <v>0</v>
      </c>
      <c r="BJ270" s="19" t="s">
        <v>79</v>
      </c>
      <c r="BK270" s="193">
        <f t="shared" si="39"/>
        <v>0</v>
      </c>
      <c r="BL270" s="19" t="s">
        <v>386</v>
      </c>
      <c r="BM270" s="192" t="s">
        <v>1865</v>
      </c>
    </row>
    <row r="271" spans="1:65" s="2" customFormat="1" ht="16.5" customHeight="1">
      <c r="A271" s="36"/>
      <c r="B271" s="37"/>
      <c r="C271" s="181" t="s">
        <v>1117</v>
      </c>
      <c r="D271" s="181" t="s">
        <v>382</v>
      </c>
      <c r="E271" s="182" t="s">
        <v>4497</v>
      </c>
      <c r="F271" s="183" t="s">
        <v>4498</v>
      </c>
      <c r="G271" s="184" t="s">
        <v>641</v>
      </c>
      <c r="H271" s="185">
        <v>52</v>
      </c>
      <c r="I271" s="186"/>
      <c r="J271" s="187">
        <f t="shared" si="30"/>
        <v>0</v>
      </c>
      <c r="K271" s="183" t="s">
        <v>19</v>
      </c>
      <c r="L271" s="41"/>
      <c r="M271" s="188" t="s">
        <v>19</v>
      </c>
      <c r="N271" s="189" t="s">
        <v>43</v>
      </c>
      <c r="O271" s="66"/>
      <c r="P271" s="190">
        <f t="shared" si="31"/>
        <v>0</v>
      </c>
      <c r="Q271" s="190">
        <v>0</v>
      </c>
      <c r="R271" s="190">
        <f t="shared" si="32"/>
        <v>0</v>
      </c>
      <c r="S271" s="190">
        <v>0</v>
      </c>
      <c r="T271" s="191">
        <f t="shared" si="33"/>
        <v>0</v>
      </c>
      <c r="U271" s="36"/>
      <c r="V271" s="36"/>
      <c r="W271" s="36"/>
      <c r="X271" s="36"/>
      <c r="Y271" s="36"/>
      <c r="Z271" s="36"/>
      <c r="AA271" s="36"/>
      <c r="AB271" s="36"/>
      <c r="AC271" s="36"/>
      <c r="AD271" s="36"/>
      <c r="AE271" s="36"/>
      <c r="AR271" s="192" t="s">
        <v>386</v>
      </c>
      <c r="AT271" s="192" t="s">
        <v>382</v>
      </c>
      <c r="AU271" s="192" t="s">
        <v>82</v>
      </c>
      <c r="AY271" s="19" t="s">
        <v>380</v>
      </c>
      <c r="BE271" s="193">
        <f t="shared" si="34"/>
        <v>0</v>
      </c>
      <c r="BF271" s="193">
        <f t="shared" si="35"/>
        <v>0</v>
      </c>
      <c r="BG271" s="193">
        <f t="shared" si="36"/>
        <v>0</v>
      </c>
      <c r="BH271" s="193">
        <f t="shared" si="37"/>
        <v>0</v>
      </c>
      <c r="BI271" s="193">
        <f t="shared" si="38"/>
        <v>0</v>
      </c>
      <c r="BJ271" s="19" t="s">
        <v>79</v>
      </c>
      <c r="BK271" s="193">
        <f t="shared" si="39"/>
        <v>0</v>
      </c>
      <c r="BL271" s="19" t="s">
        <v>386</v>
      </c>
      <c r="BM271" s="192" t="s">
        <v>1875</v>
      </c>
    </row>
    <row r="272" spans="1:65" s="2" customFormat="1" ht="16.5" customHeight="1">
      <c r="A272" s="36"/>
      <c r="B272" s="37"/>
      <c r="C272" s="227" t="s">
        <v>1122</v>
      </c>
      <c r="D272" s="227" t="s">
        <v>465</v>
      </c>
      <c r="E272" s="228" t="s">
        <v>4499</v>
      </c>
      <c r="F272" s="229" t="s">
        <v>4500</v>
      </c>
      <c r="G272" s="230" t="s">
        <v>2393</v>
      </c>
      <c r="H272" s="231">
        <v>7</v>
      </c>
      <c r="I272" s="232"/>
      <c r="J272" s="233">
        <f t="shared" si="30"/>
        <v>0</v>
      </c>
      <c r="K272" s="229" t="s">
        <v>19</v>
      </c>
      <c r="L272" s="234"/>
      <c r="M272" s="235" t="s">
        <v>19</v>
      </c>
      <c r="N272" s="236" t="s">
        <v>43</v>
      </c>
      <c r="O272" s="66"/>
      <c r="P272" s="190">
        <f t="shared" si="31"/>
        <v>0</v>
      </c>
      <c r="Q272" s="190">
        <v>0</v>
      </c>
      <c r="R272" s="190">
        <f t="shared" si="32"/>
        <v>0</v>
      </c>
      <c r="S272" s="190">
        <v>0</v>
      </c>
      <c r="T272" s="191">
        <f t="shared" si="33"/>
        <v>0</v>
      </c>
      <c r="U272" s="36"/>
      <c r="V272" s="36"/>
      <c r="W272" s="36"/>
      <c r="X272" s="36"/>
      <c r="Y272" s="36"/>
      <c r="Z272" s="36"/>
      <c r="AA272" s="36"/>
      <c r="AB272" s="36"/>
      <c r="AC272" s="36"/>
      <c r="AD272" s="36"/>
      <c r="AE272" s="36"/>
      <c r="AR272" s="192" t="s">
        <v>424</v>
      </c>
      <c r="AT272" s="192" t="s">
        <v>465</v>
      </c>
      <c r="AU272" s="192" t="s">
        <v>82</v>
      </c>
      <c r="AY272" s="19" t="s">
        <v>380</v>
      </c>
      <c r="BE272" s="193">
        <f t="shared" si="34"/>
        <v>0</v>
      </c>
      <c r="BF272" s="193">
        <f t="shared" si="35"/>
        <v>0</v>
      </c>
      <c r="BG272" s="193">
        <f t="shared" si="36"/>
        <v>0</v>
      </c>
      <c r="BH272" s="193">
        <f t="shared" si="37"/>
        <v>0</v>
      </c>
      <c r="BI272" s="193">
        <f t="shared" si="38"/>
        <v>0</v>
      </c>
      <c r="BJ272" s="19" t="s">
        <v>79</v>
      </c>
      <c r="BK272" s="193">
        <f t="shared" si="39"/>
        <v>0</v>
      </c>
      <c r="BL272" s="19" t="s">
        <v>386</v>
      </c>
      <c r="BM272" s="192" t="s">
        <v>1887</v>
      </c>
    </row>
    <row r="273" spans="1:65" s="2" customFormat="1" ht="16.5" customHeight="1">
      <c r="A273" s="36"/>
      <c r="B273" s="37"/>
      <c r="C273" s="227" t="s">
        <v>1126</v>
      </c>
      <c r="D273" s="227" t="s">
        <v>465</v>
      </c>
      <c r="E273" s="228" t="s">
        <v>4501</v>
      </c>
      <c r="F273" s="229" t="s">
        <v>4502</v>
      </c>
      <c r="G273" s="230" t="s">
        <v>2393</v>
      </c>
      <c r="H273" s="231">
        <v>45</v>
      </c>
      <c r="I273" s="232"/>
      <c r="J273" s="233">
        <f t="shared" si="30"/>
        <v>0</v>
      </c>
      <c r="K273" s="229" t="s">
        <v>19</v>
      </c>
      <c r="L273" s="234"/>
      <c r="M273" s="235" t="s">
        <v>19</v>
      </c>
      <c r="N273" s="236" t="s">
        <v>43</v>
      </c>
      <c r="O273" s="66"/>
      <c r="P273" s="190">
        <f t="shared" si="31"/>
        <v>0</v>
      </c>
      <c r="Q273" s="190">
        <v>0</v>
      </c>
      <c r="R273" s="190">
        <f t="shared" si="32"/>
        <v>0</v>
      </c>
      <c r="S273" s="190">
        <v>0</v>
      </c>
      <c r="T273" s="191">
        <f t="shared" si="33"/>
        <v>0</v>
      </c>
      <c r="U273" s="36"/>
      <c r="V273" s="36"/>
      <c r="W273" s="36"/>
      <c r="X273" s="36"/>
      <c r="Y273" s="36"/>
      <c r="Z273" s="36"/>
      <c r="AA273" s="36"/>
      <c r="AB273" s="36"/>
      <c r="AC273" s="36"/>
      <c r="AD273" s="36"/>
      <c r="AE273" s="36"/>
      <c r="AR273" s="192" t="s">
        <v>424</v>
      </c>
      <c r="AT273" s="192" t="s">
        <v>465</v>
      </c>
      <c r="AU273" s="192" t="s">
        <v>82</v>
      </c>
      <c r="AY273" s="19" t="s">
        <v>380</v>
      </c>
      <c r="BE273" s="193">
        <f t="shared" si="34"/>
        <v>0</v>
      </c>
      <c r="BF273" s="193">
        <f t="shared" si="35"/>
        <v>0</v>
      </c>
      <c r="BG273" s="193">
        <f t="shared" si="36"/>
        <v>0</v>
      </c>
      <c r="BH273" s="193">
        <f t="shared" si="37"/>
        <v>0</v>
      </c>
      <c r="BI273" s="193">
        <f t="shared" si="38"/>
        <v>0</v>
      </c>
      <c r="BJ273" s="19" t="s">
        <v>79</v>
      </c>
      <c r="BK273" s="193">
        <f t="shared" si="39"/>
        <v>0</v>
      </c>
      <c r="BL273" s="19" t="s">
        <v>386</v>
      </c>
      <c r="BM273" s="192" t="s">
        <v>1899</v>
      </c>
    </row>
    <row r="274" spans="1:65" s="2" customFormat="1" ht="16.5" customHeight="1">
      <c r="A274" s="36"/>
      <c r="B274" s="37"/>
      <c r="C274" s="181" t="s">
        <v>1131</v>
      </c>
      <c r="D274" s="181" t="s">
        <v>382</v>
      </c>
      <c r="E274" s="182" t="s">
        <v>4503</v>
      </c>
      <c r="F274" s="183" t="s">
        <v>4504</v>
      </c>
      <c r="G274" s="184" t="s">
        <v>641</v>
      </c>
      <c r="H274" s="185">
        <v>25</v>
      </c>
      <c r="I274" s="186"/>
      <c r="J274" s="187">
        <f t="shared" si="30"/>
        <v>0</v>
      </c>
      <c r="K274" s="183" t="s">
        <v>19</v>
      </c>
      <c r="L274" s="41"/>
      <c r="M274" s="188" t="s">
        <v>19</v>
      </c>
      <c r="N274" s="189" t="s">
        <v>43</v>
      </c>
      <c r="O274" s="66"/>
      <c r="P274" s="190">
        <f t="shared" si="31"/>
        <v>0</v>
      </c>
      <c r="Q274" s="190">
        <v>0</v>
      </c>
      <c r="R274" s="190">
        <f t="shared" si="32"/>
        <v>0</v>
      </c>
      <c r="S274" s="190">
        <v>0</v>
      </c>
      <c r="T274" s="191">
        <f t="shared" si="33"/>
        <v>0</v>
      </c>
      <c r="U274" s="36"/>
      <c r="V274" s="36"/>
      <c r="W274" s="36"/>
      <c r="X274" s="36"/>
      <c r="Y274" s="36"/>
      <c r="Z274" s="36"/>
      <c r="AA274" s="36"/>
      <c r="AB274" s="36"/>
      <c r="AC274" s="36"/>
      <c r="AD274" s="36"/>
      <c r="AE274" s="36"/>
      <c r="AR274" s="192" t="s">
        <v>386</v>
      </c>
      <c r="AT274" s="192" t="s">
        <v>382</v>
      </c>
      <c r="AU274" s="192" t="s">
        <v>82</v>
      </c>
      <c r="AY274" s="19" t="s">
        <v>380</v>
      </c>
      <c r="BE274" s="193">
        <f t="shared" si="34"/>
        <v>0</v>
      </c>
      <c r="BF274" s="193">
        <f t="shared" si="35"/>
        <v>0</v>
      </c>
      <c r="BG274" s="193">
        <f t="shared" si="36"/>
        <v>0</v>
      </c>
      <c r="BH274" s="193">
        <f t="shared" si="37"/>
        <v>0</v>
      </c>
      <c r="BI274" s="193">
        <f t="shared" si="38"/>
        <v>0</v>
      </c>
      <c r="BJ274" s="19" t="s">
        <v>79</v>
      </c>
      <c r="BK274" s="193">
        <f t="shared" si="39"/>
        <v>0</v>
      </c>
      <c r="BL274" s="19" t="s">
        <v>386</v>
      </c>
      <c r="BM274" s="192" t="s">
        <v>1907</v>
      </c>
    </row>
    <row r="275" spans="1:65" s="2" customFormat="1" ht="16.5" customHeight="1">
      <c r="A275" s="36"/>
      <c r="B275" s="37"/>
      <c r="C275" s="227" t="s">
        <v>1136</v>
      </c>
      <c r="D275" s="227" t="s">
        <v>465</v>
      </c>
      <c r="E275" s="228" t="s">
        <v>4505</v>
      </c>
      <c r="F275" s="229" t="s">
        <v>4506</v>
      </c>
      <c r="G275" s="230" t="s">
        <v>4507</v>
      </c>
      <c r="H275" s="231">
        <v>25</v>
      </c>
      <c r="I275" s="232"/>
      <c r="J275" s="233">
        <f t="shared" si="30"/>
        <v>0</v>
      </c>
      <c r="K275" s="229" t="s">
        <v>19</v>
      </c>
      <c r="L275" s="234"/>
      <c r="M275" s="235" t="s">
        <v>19</v>
      </c>
      <c r="N275" s="236" t="s">
        <v>43</v>
      </c>
      <c r="O275" s="66"/>
      <c r="P275" s="190">
        <f t="shared" si="31"/>
        <v>0</v>
      </c>
      <c r="Q275" s="190">
        <v>0</v>
      </c>
      <c r="R275" s="190">
        <f t="shared" si="32"/>
        <v>0</v>
      </c>
      <c r="S275" s="190">
        <v>0</v>
      </c>
      <c r="T275" s="191">
        <f t="shared" si="33"/>
        <v>0</v>
      </c>
      <c r="U275" s="36"/>
      <c r="V275" s="36"/>
      <c r="W275" s="36"/>
      <c r="X275" s="36"/>
      <c r="Y275" s="36"/>
      <c r="Z275" s="36"/>
      <c r="AA275" s="36"/>
      <c r="AB275" s="36"/>
      <c r="AC275" s="36"/>
      <c r="AD275" s="36"/>
      <c r="AE275" s="36"/>
      <c r="AR275" s="192" t="s">
        <v>424</v>
      </c>
      <c r="AT275" s="192" t="s">
        <v>465</v>
      </c>
      <c r="AU275" s="192" t="s">
        <v>82</v>
      </c>
      <c r="AY275" s="19" t="s">
        <v>380</v>
      </c>
      <c r="BE275" s="193">
        <f t="shared" si="34"/>
        <v>0</v>
      </c>
      <c r="BF275" s="193">
        <f t="shared" si="35"/>
        <v>0</v>
      </c>
      <c r="BG275" s="193">
        <f t="shared" si="36"/>
        <v>0</v>
      </c>
      <c r="BH275" s="193">
        <f t="shared" si="37"/>
        <v>0</v>
      </c>
      <c r="BI275" s="193">
        <f t="shared" si="38"/>
        <v>0</v>
      </c>
      <c r="BJ275" s="19" t="s">
        <v>79</v>
      </c>
      <c r="BK275" s="193">
        <f t="shared" si="39"/>
        <v>0</v>
      </c>
      <c r="BL275" s="19" t="s">
        <v>386</v>
      </c>
      <c r="BM275" s="192" t="s">
        <v>1915</v>
      </c>
    </row>
    <row r="276" spans="1:65" s="2" customFormat="1" ht="16.5" customHeight="1">
      <c r="A276" s="36"/>
      <c r="B276" s="37"/>
      <c r="C276" s="181" t="s">
        <v>1140</v>
      </c>
      <c r="D276" s="181" t="s">
        <v>382</v>
      </c>
      <c r="E276" s="182" t="s">
        <v>4508</v>
      </c>
      <c r="F276" s="183" t="s">
        <v>4509</v>
      </c>
      <c r="G276" s="184" t="s">
        <v>641</v>
      </c>
      <c r="H276" s="185">
        <v>81</v>
      </c>
      <c r="I276" s="186"/>
      <c r="J276" s="187">
        <f t="shared" si="30"/>
        <v>0</v>
      </c>
      <c r="K276" s="183" t="s">
        <v>19</v>
      </c>
      <c r="L276" s="41"/>
      <c r="M276" s="188" t="s">
        <v>19</v>
      </c>
      <c r="N276" s="189" t="s">
        <v>43</v>
      </c>
      <c r="O276" s="66"/>
      <c r="P276" s="190">
        <f t="shared" si="31"/>
        <v>0</v>
      </c>
      <c r="Q276" s="190">
        <v>0</v>
      </c>
      <c r="R276" s="190">
        <f t="shared" si="32"/>
        <v>0</v>
      </c>
      <c r="S276" s="190">
        <v>0</v>
      </c>
      <c r="T276" s="191">
        <f t="shared" si="33"/>
        <v>0</v>
      </c>
      <c r="U276" s="36"/>
      <c r="V276" s="36"/>
      <c r="W276" s="36"/>
      <c r="X276" s="36"/>
      <c r="Y276" s="36"/>
      <c r="Z276" s="36"/>
      <c r="AA276" s="36"/>
      <c r="AB276" s="36"/>
      <c r="AC276" s="36"/>
      <c r="AD276" s="36"/>
      <c r="AE276" s="36"/>
      <c r="AR276" s="192" t="s">
        <v>386</v>
      </c>
      <c r="AT276" s="192" t="s">
        <v>382</v>
      </c>
      <c r="AU276" s="192" t="s">
        <v>82</v>
      </c>
      <c r="AY276" s="19" t="s">
        <v>380</v>
      </c>
      <c r="BE276" s="193">
        <f t="shared" si="34"/>
        <v>0</v>
      </c>
      <c r="BF276" s="193">
        <f t="shared" si="35"/>
        <v>0</v>
      </c>
      <c r="BG276" s="193">
        <f t="shared" si="36"/>
        <v>0</v>
      </c>
      <c r="BH276" s="193">
        <f t="shared" si="37"/>
        <v>0</v>
      </c>
      <c r="BI276" s="193">
        <f t="shared" si="38"/>
        <v>0</v>
      </c>
      <c r="BJ276" s="19" t="s">
        <v>79</v>
      </c>
      <c r="BK276" s="193">
        <f t="shared" si="39"/>
        <v>0</v>
      </c>
      <c r="BL276" s="19" t="s">
        <v>386</v>
      </c>
      <c r="BM276" s="192" t="s">
        <v>1923</v>
      </c>
    </row>
    <row r="277" spans="1:65" s="2" customFormat="1" ht="16.5" customHeight="1">
      <c r="A277" s="36"/>
      <c r="B277" s="37"/>
      <c r="C277" s="227" t="s">
        <v>1150</v>
      </c>
      <c r="D277" s="227" t="s">
        <v>465</v>
      </c>
      <c r="E277" s="228" t="s">
        <v>4510</v>
      </c>
      <c r="F277" s="229" t="s">
        <v>4511</v>
      </c>
      <c r="G277" s="230" t="s">
        <v>4507</v>
      </c>
      <c r="H277" s="231">
        <v>45</v>
      </c>
      <c r="I277" s="232"/>
      <c r="J277" s="233">
        <f t="shared" si="30"/>
        <v>0</v>
      </c>
      <c r="K277" s="229" t="s">
        <v>19</v>
      </c>
      <c r="L277" s="234"/>
      <c r="M277" s="235" t="s">
        <v>19</v>
      </c>
      <c r="N277" s="236" t="s">
        <v>43</v>
      </c>
      <c r="O277" s="66"/>
      <c r="P277" s="190">
        <f t="shared" si="31"/>
        <v>0</v>
      </c>
      <c r="Q277" s="190">
        <v>0</v>
      </c>
      <c r="R277" s="190">
        <f t="shared" si="32"/>
        <v>0</v>
      </c>
      <c r="S277" s="190">
        <v>0</v>
      </c>
      <c r="T277" s="191">
        <f t="shared" si="33"/>
        <v>0</v>
      </c>
      <c r="U277" s="36"/>
      <c r="V277" s="36"/>
      <c r="W277" s="36"/>
      <c r="X277" s="36"/>
      <c r="Y277" s="36"/>
      <c r="Z277" s="36"/>
      <c r="AA277" s="36"/>
      <c r="AB277" s="36"/>
      <c r="AC277" s="36"/>
      <c r="AD277" s="36"/>
      <c r="AE277" s="36"/>
      <c r="AR277" s="192" t="s">
        <v>424</v>
      </c>
      <c r="AT277" s="192" t="s">
        <v>465</v>
      </c>
      <c r="AU277" s="192" t="s">
        <v>82</v>
      </c>
      <c r="AY277" s="19" t="s">
        <v>380</v>
      </c>
      <c r="BE277" s="193">
        <f t="shared" si="34"/>
        <v>0</v>
      </c>
      <c r="BF277" s="193">
        <f t="shared" si="35"/>
        <v>0</v>
      </c>
      <c r="BG277" s="193">
        <f t="shared" si="36"/>
        <v>0</v>
      </c>
      <c r="BH277" s="193">
        <f t="shared" si="37"/>
        <v>0</v>
      </c>
      <c r="BI277" s="193">
        <f t="shared" si="38"/>
        <v>0</v>
      </c>
      <c r="BJ277" s="19" t="s">
        <v>79</v>
      </c>
      <c r="BK277" s="193">
        <f t="shared" si="39"/>
        <v>0</v>
      </c>
      <c r="BL277" s="19" t="s">
        <v>386</v>
      </c>
      <c r="BM277" s="192" t="s">
        <v>1931</v>
      </c>
    </row>
    <row r="278" spans="1:65" s="2" customFormat="1" ht="16.5" customHeight="1">
      <c r="A278" s="36"/>
      <c r="B278" s="37"/>
      <c r="C278" s="227" t="s">
        <v>1156</v>
      </c>
      <c r="D278" s="227" t="s">
        <v>465</v>
      </c>
      <c r="E278" s="228" t="s">
        <v>4512</v>
      </c>
      <c r="F278" s="229" t="s">
        <v>4513</v>
      </c>
      <c r="G278" s="230" t="s">
        <v>4507</v>
      </c>
      <c r="H278" s="231">
        <v>9</v>
      </c>
      <c r="I278" s="232"/>
      <c r="J278" s="233">
        <f t="shared" si="30"/>
        <v>0</v>
      </c>
      <c r="K278" s="229" t="s">
        <v>19</v>
      </c>
      <c r="L278" s="234"/>
      <c r="M278" s="235" t="s">
        <v>19</v>
      </c>
      <c r="N278" s="236" t="s">
        <v>43</v>
      </c>
      <c r="O278" s="66"/>
      <c r="P278" s="190">
        <f t="shared" si="31"/>
        <v>0</v>
      </c>
      <c r="Q278" s="190">
        <v>0</v>
      </c>
      <c r="R278" s="190">
        <f t="shared" si="32"/>
        <v>0</v>
      </c>
      <c r="S278" s="190">
        <v>0</v>
      </c>
      <c r="T278" s="191">
        <f t="shared" si="33"/>
        <v>0</v>
      </c>
      <c r="U278" s="36"/>
      <c r="V278" s="36"/>
      <c r="W278" s="36"/>
      <c r="X278" s="36"/>
      <c r="Y278" s="36"/>
      <c r="Z278" s="36"/>
      <c r="AA278" s="36"/>
      <c r="AB278" s="36"/>
      <c r="AC278" s="36"/>
      <c r="AD278" s="36"/>
      <c r="AE278" s="36"/>
      <c r="AR278" s="192" t="s">
        <v>424</v>
      </c>
      <c r="AT278" s="192" t="s">
        <v>465</v>
      </c>
      <c r="AU278" s="192" t="s">
        <v>82</v>
      </c>
      <c r="AY278" s="19" t="s">
        <v>380</v>
      </c>
      <c r="BE278" s="193">
        <f t="shared" si="34"/>
        <v>0</v>
      </c>
      <c r="BF278" s="193">
        <f t="shared" si="35"/>
        <v>0</v>
      </c>
      <c r="BG278" s="193">
        <f t="shared" si="36"/>
        <v>0</v>
      </c>
      <c r="BH278" s="193">
        <f t="shared" si="37"/>
        <v>0</v>
      </c>
      <c r="BI278" s="193">
        <f t="shared" si="38"/>
        <v>0</v>
      </c>
      <c r="BJ278" s="19" t="s">
        <v>79</v>
      </c>
      <c r="BK278" s="193">
        <f t="shared" si="39"/>
        <v>0</v>
      </c>
      <c r="BL278" s="19" t="s">
        <v>386</v>
      </c>
      <c r="BM278" s="192" t="s">
        <v>1939</v>
      </c>
    </row>
    <row r="279" spans="1:65" s="2" customFormat="1" ht="16.5" customHeight="1">
      <c r="A279" s="36"/>
      <c r="B279" s="37"/>
      <c r="C279" s="227" t="s">
        <v>1161</v>
      </c>
      <c r="D279" s="227" t="s">
        <v>465</v>
      </c>
      <c r="E279" s="228" t="s">
        <v>4514</v>
      </c>
      <c r="F279" s="229" t="s">
        <v>4515</v>
      </c>
      <c r="G279" s="230" t="s">
        <v>4507</v>
      </c>
      <c r="H279" s="231">
        <v>27</v>
      </c>
      <c r="I279" s="232"/>
      <c r="J279" s="233">
        <f t="shared" si="30"/>
        <v>0</v>
      </c>
      <c r="K279" s="229" t="s">
        <v>19</v>
      </c>
      <c r="L279" s="234"/>
      <c r="M279" s="235" t="s">
        <v>19</v>
      </c>
      <c r="N279" s="236" t="s">
        <v>43</v>
      </c>
      <c r="O279" s="66"/>
      <c r="P279" s="190">
        <f t="shared" si="31"/>
        <v>0</v>
      </c>
      <c r="Q279" s="190">
        <v>0</v>
      </c>
      <c r="R279" s="190">
        <f t="shared" si="32"/>
        <v>0</v>
      </c>
      <c r="S279" s="190">
        <v>0</v>
      </c>
      <c r="T279" s="191">
        <f t="shared" si="33"/>
        <v>0</v>
      </c>
      <c r="U279" s="36"/>
      <c r="V279" s="36"/>
      <c r="W279" s="36"/>
      <c r="X279" s="36"/>
      <c r="Y279" s="36"/>
      <c r="Z279" s="36"/>
      <c r="AA279" s="36"/>
      <c r="AB279" s="36"/>
      <c r="AC279" s="36"/>
      <c r="AD279" s="36"/>
      <c r="AE279" s="36"/>
      <c r="AR279" s="192" t="s">
        <v>424</v>
      </c>
      <c r="AT279" s="192" t="s">
        <v>465</v>
      </c>
      <c r="AU279" s="192" t="s">
        <v>82</v>
      </c>
      <c r="AY279" s="19" t="s">
        <v>380</v>
      </c>
      <c r="BE279" s="193">
        <f t="shared" si="34"/>
        <v>0</v>
      </c>
      <c r="BF279" s="193">
        <f t="shared" si="35"/>
        <v>0</v>
      </c>
      <c r="BG279" s="193">
        <f t="shared" si="36"/>
        <v>0</v>
      </c>
      <c r="BH279" s="193">
        <f t="shared" si="37"/>
        <v>0</v>
      </c>
      <c r="BI279" s="193">
        <f t="shared" si="38"/>
        <v>0</v>
      </c>
      <c r="BJ279" s="19" t="s">
        <v>79</v>
      </c>
      <c r="BK279" s="193">
        <f t="shared" si="39"/>
        <v>0</v>
      </c>
      <c r="BL279" s="19" t="s">
        <v>386</v>
      </c>
      <c r="BM279" s="192" t="s">
        <v>1947</v>
      </c>
    </row>
    <row r="280" spans="1:65" s="2" customFormat="1" ht="16.5" customHeight="1">
      <c r="A280" s="36"/>
      <c r="B280" s="37"/>
      <c r="C280" s="181" t="s">
        <v>1165</v>
      </c>
      <c r="D280" s="181" t="s">
        <v>382</v>
      </c>
      <c r="E280" s="182" t="s">
        <v>4516</v>
      </c>
      <c r="F280" s="183" t="s">
        <v>4517</v>
      </c>
      <c r="G280" s="184" t="s">
        <v>641</v>
      </c>
      <c r="H280" s="185">
        <v>310</v>
      </c>
      <c r="I280" s="186"/>
      <c r="J280" s="187">
        <f t="shared" si="30"/>
        <v>0</v>
      </c>
      <c r="K280" s="183" t="s">
        <v>19</v>
      </c>
      <c r="L280" s="41"/>
      <c r="M280" s="188" t="s">
        <v>19</v>
      </c>
      <c r="N280" s="189" t="s">
        <v>43</v>
      </c>
      <c r="O280" s="66"/>
      <c r="P280" s="190">
        <f t="shared" si="31"/>
        <v>0</v>
      </c>
      <c r="Q280" s="190">
        <v>0</v>
      </c>
      <c r="R280" s="190">
        <f t="shared" si="32"/>
        <v>0</v>
      </c>
      <c r="S280" s="190">
        <v>0</v>
      </c>
      <c r="T280" s="191">
        <f t="shared" si="33"/>
        <v>0</v>
      </c>
      <c r="U280" s="36"/>
      <c r="V280" s="36"/>
      <c r="W280" s="36"/>
      <c r="X280" s="36"/>
      <c r="Y280" s="36"/>
      <c r="Z280" s="36"/>
      <c r="AA280" s="36"/>
      <c r="AB280" s="36"/>
      <c r="AC280" s="36"/>
      <c r="AD280" s="36"/>
      <c r="AE280" s="36"/>
      <c r="AR280" s="192" t="s">
        <v>386</v>
      </c>
      <c r="AT280" s="192" t="s">
        <v>382</v>
      </c>
      <c r="AU280" s="192" t="s">
        <v>82</v>
      </c>
      <c r="AY280" s="19" t="s">
        <v>380</v>
      </c>
      <c r="BE280" s="193">
        <f t="shared" si="34"/>
        <v>0</v>
      </c>
      <c r="BF280" s="193">
        <f t="shared" si="35"/>
        <v>0</v>
      </c>
      <c r="BG280" s="193">
        <f t="shared" si="36"/>
        <v>0</v>
      </c>
      <c r="BH280" s="193">
        <f t="shared" si="37"/>
        <v>0</v>
      </c>
      <c r="BI280" s="193">
        <f t="shared" si="38"/>
        <v>0</v>
      </c>
      <c r="BJ280" s="19" t="s">
        <v>79</v>
      </c>
      <c r="BK280" s="193">
        <f t="shared" si="39"/>
        <v>0</v>
      </c>
      <c r="BL280" s="19" t="s">
        <v>386</v>
      </c>
      <c r="BM280" s="192" t="s">
        <v>1955</v>
      </c>
    </row>
    <row r="281" spans="1:65" s="2" customFormat="1" ht="16.5" customHeight="1">
      <c r="A281" s="36"/>
      <c r="B281" s="37"/>
      <c r="C281" s="227" t="s">
        <v>1178</v>
      </c>
      <c r="D281" s="227" t="s">
        <v>465</v>
      </c>
      <c r="E281" s="228" t="s">
        <v>4518</v>
      </c>
      <c r="F281" s="229" t="s">
        <v>4519</v>
      </c>
      <c r="G281" s="230" t="s">
        <v>2393</v>
      </c>
      <c r="H281" s="231">
        <v>167</v>
      </c>
      <c r="I281" s="232"/>
      <c r="J281" s="233">
        <f t="shared" si="30"/>
        <v>0</v>
      </c>
      <c r="K281" s="229" t="s">
        <v>19</v>
      </c>
      <c r="L281" s="234"/>
      <c r="M281" s="235" t="s">
        <v>19</v>
      </c>
      <c r="N281" s="236" t="s">
        <v>43</v>
      </c>
      <c r="O281" s="66"/>
      <c r="P281" s="190">
        <f t="shared" si="31"/>
        <v>0</v>
      </c>
      <c r="Q281" s="190">
        <v>0</v>
      </c>
      <c r="R281" s="190">
        <f t="shared" si="32"/>
        <v>0</v>
      </c>
      <c r="S281" s="190">
        <v>0</v>
      </c>
      <c r="T281" s="191">
        <f t="shared" si="33"/>
        <v>0</v>
      </c>
      <c r="U281" s="36"/>
      <c r="V281" s="36"/>
      <c r="W281" s="36"/>
      <c r="X281" s="36"/>
      <c r="Y281" s="36"/>
      <c r="Z281" s="36"/>
      <c r="AA281" s="36"/>
      <c r="AB281" s="36"/>
      <c r="AC281" s="36"/>
      <c r="AD281" s="36"/>
      <c r="AE281" s="36"/>
      <c r="AR281" s="192" t="s">
        <v>424</v>
      </c>
      <c r="AT281" s="192" t="s">
        <v>465</v>
      </c>
      <c r="AU281" s="192" t="s">
        <v>82</v>
      </c>
      <c r="AY281" s="19" t="s">
        <v>380</v>
      </c>
      <c r="BE281" s="193">
        <f t="shared" si="34"/>
        <v>0</v>
      </c>
      <c r="BF281" s="193">
        <f t="shared" si="35"/>
        <v>0</v>
      </c>
      <c r="BG281" s="193">
        <f t="shared" si="36"/>
        <v>0</v>
      </c>
      <c r="BH281" s="193">
        <f t="shared" si="37"/>
        <v>0</v>
      </c>
      <c r="BI281" s="193">
        <f t="shared" si="38"/>
        <v>0</v>
      </c>
      <c r="BJ281" s="19" t="s">
        <v>79</v>
      </c>
      <c r="BK281" s="193">
        <f t="shared" si="39"/>
        <v>0</v>
      </c>
      <c r="BL281" s="19" t="s">
        <v>386</v>
      </c>
      <c r="BM281" s="192" t="s">
        <v>1963</v>
      </c>
    </row>
    <row r="282" spans="1:65" s="2" customFormat="1" ht="16.5" customHeight="1">
      <c r="A282" s="36"/>
      <c r="B282" s="37"/>
      <c r="C282" s="227" t="s">
        <v>1183</v>
      </c>
      <c r="D282" s="227" t="s">
        <v>465</v>
      </c>
      <c r="E282" s="228" t="s">
        <v>4520</v>
      </c>
      <c r="F282" s="229" t="s">
        <v>4521</v>
      </c>
      <c r="G282" s="230" t="s">
        <v>2393</v>
      </c>
      <c r="H282" s="231">
        <v>143</v>
      </c>
      <c r="I282" s="232"/>
      <c r="J282" s="233">
        <f t="shared" si="30"/>
        <v>0</v>
      </c>
      <c r="K282" s="229" t="s">
        <v>19</v>
      </c>
      <c r="L282" s="234"/>
      <c r="M282" s="235" t="s">
        <v>19</v>
      </c>
      <c r="N282" s="236" t="s">
        <v>43</v>
      </c>
      <c r="O282" s="66"/>
      <c r="P282" s="190">
        <f t="shared" si="31"/>
        <v>0</v>
      </c>
      <c r="Q282" s="190">
        <v>0</v>
      </c>
      <c r="R282" s="190">
        <f t="shared" si="32"/>
        <v>0</v>
      </c>
      <c r="S282" s="190">
        <v>0</v>
      </c>
      <c r="T282" s="191">
        <f t="shared" si="33"/>
        <v>0</v>
      </c>
      <c r="U282" s="36"/>
      <c r="V282" s="36"/>
      <c r="W282" s="36"/>
      <c r="X282" s="36"/>
      <c r="Y282" s="36"/>
      <c r="Z282" s="36"/>
      <c r="AA282" s="36"/>
      <c r="AB282" s="36"/>
      <c r="AC282" s="36"/>
      <c r="AD282" s="36"/>
      <c r="AE282" s="36"/>
      <c r="AR282" s="192" t="s">
        <v>424</v>
      </c>
      <c r="AT282" s="192" t="s">
        <v>465</v>
      </c>
      <c r="AU282" s="192" t="s">
        <v>82</v>
      </c>
      <c r="AY282" s="19" t="s">
        <v>380</v>
      </c>
      <c r="BE282" s="193">
        <f t="shared" si="34"/>
        <v>0</v>
      </c>
      <c r="BF282" s="193">
        <f t="shared" si="35"/>
        <v>0</v>
      </c>
      <c r="BG282" s="193">
        <f t="shared" si="36"/>
        <v>0</v>
      </c>
      <c r="BH282" s="193">
        <f t="shared" si="37"/>
        <v>0</v>
      </c>
      <c r="BI282" s="193">
        <f t="shared" si="38"/>
        <v>0</v>
      </c>
      <c r="BJ282" s="19" t="s">
        <v>79</v>
      </c>
      <c r="BK282" s="193">
        <f t="shared" si="39"/>
        <v>0</v>
      </c>
      <c r="BL282" s="19" t="s">
        <v>386</v>
      </c>
      <c r="BM282" s="192" t="s">
        <v>1971</v>
      </c>
    </row>
    <row r="283" spans="1:65" s="2" customFormat="1" ht="16.5" customHeight="1">
      <c r="A283" s="36"/>
      <c r="B283" s="37"/>
      <c r="C283" s="181" t="s">
        <v>1188</v>
      </c>
      <c r="D283" s="181" t="s">
        <v>382</v>
      </c>
      <c r="E283" s="182" t="s">
        <v>4522</v>
      </c>
      <c r="F283" s="183" t="s">
        <v>4523</v>
      </c>
      <c r="G283" s="184" t="s">
        <v>641</v>
      </c>
      <c r="H283" s="185">
        <v>6</v>
      </c>
      <c r="I283" s="186"/>
      <c r="J283" s="187">
        <f t="shared" si="30"/>
        <v>0</v>
      </c>
      <c r="K283" s="183" t="s">
        <v>19</v>
      </c>
      <c r="L283" s="41"/>
      <c r="M283" s="188" t="s">
        <v>19</v>
      </c>
      <c r="N283" s="189" t="s">
        <v>43</v>
      </c>
      <c r="O283" s="66"/>
      <c r="P283" s="190">
        <f t="shared" si="31"/>
        <v>0</v>
      </c>
      <c r="Q283" s="190">
        <v>0</v>
      </c>
      <c r="R283" s="190">
        <f t="shared" si="32"/>
        <v>0</v>
      </c>
      <c r="S283" s="190">
        <v>0</v>
      </c>
      <c r="T283" s="191">
        <f t="shared" si="33"/>
        <v>0</v>
      </c>
      <c r="U283" s="36"/>
      <c r="V283" s="36"/>
      <c r="W283" s="36"/>
      <c r="X283" s="36"/>
      <c r="Y283" s="36"/>
      <c r="Z283" s="36"/>
      <c r="AA283" s="36"/>
      <c r="AB283" s="36"/>
      <c r="AC283" s="36"/>
      <c r="AD283" s="36"/>
      <c r="AE283" s="36"/>
      <c r="AR283" s="192" t="s">
        <v>386</v>
      </c>
      <c r="AT283" s="192" t="s">
        <v>382</v>
      </c>
      <c r="AU283" s="192" t="s">
        <v>82</v>
      </c>
      <c r="AY283" s="19" t="s">
        <v>380</v>
      </c>
      <c r="BE283" s="193">
        <f t="shared" si="34"/>
        <v>0</v>
      </c>
      <c r="BF283" s="193">
        <f t="shared" si="35"/>
        <v>0</v>
      </c>
      <c r="BG283" s="193">
        <f t="shared" si="36"/>
        <v>0</v>
      </c>
      <c r="BH283" s="193">
        <f t="shared" si="37"/>
        <v>0</v>
      </c>
      <c r="BI283" s="193">
        <f t="shared" si="38"/>
        <v>0</v>
      </c>
      <c r="BJ283" s="19" t="s">
        <v>79</v>
      </c>
      <c r="BK283" s="193">
        <f t="shared" si="39"/>
        <v>0</v>
      </c>
      <c r="BL283" s="19" t="s">
        <v>386</v>
      </c>
      <c r="BM283" s="192" t="s">
        <v>1979</v>
      </c>
    </row>
    <row r="284" spans="1:65" s="2" customFormat="1" ht="16.5" customHeight="1">
      <c r="A284" s="36"/>
      <c r="B284" s="37"/>
      <c r="C284" s="227" t="s">
        <v>1193</v>
      </c>
      <c r="D284" s="227" t="s">
        <v>465</v>
      </c>
      <c r="E284" s="228" t="s">
        <v>4524</v>
      </c>
      <c r="F284" s="229" t="s">
        <v>4525</v>
      </c>
      <c r="G284" s="230" t="s">
        <v>2393</v>
      </c>
      <c r="H284" s="231">
        <v>6</v>
      </c>
      <c r="I284" s="232"/>
      <c r="J284" s="233">
        <f t="shared" si="30"/>
        <v>0</v>
      </c>
      <c r="K284" s="229" t="s">
        <v>19</v>
      </c>
      <c r="L284" s="234"/>
      <c r="M284" s="235" t="s">
        <v>19</v>
      </c>
      <c r="N284" s="236" t="s">
        <v>43</v>
      </c>
      <c r="O284" s="66"/>
      <c r="P284" s="190">
        <f t="shared" si="31"/>
        <v>0</v>
      </c>
      <c r="Q284" s="190">
        <v>0</v>
      </c>
      <c r="R284" s="190">
        <f t="shared" si="32"/>
        <v>0</v>
      </c>
      <c r="S284" s="190">
        <v>0</v>
      </c>
      <c r="T284" s="191">
        <f t="shared" si="33"/>
        <v>0</v>
      </c>
      <c r="U284" s="36"/>
      <c r="V284" s="36"/>
      <c r="W284" s="36"/>
      <c r="X284" s="36"/>
      <c r="Y284" s="36"/>
      <c r="Z284" s="36"/>
      <c r="AA284" s="36"/>
      <c r="AB284" s="36"/>
      <c r="AC284" s="36"/>
      <c r="AD284" s="36"/>
      <c r="AE284" s="36"/>
      <c r="AR284" s="192" t="s">
        <v>424</v>
      </c>
      <c r="AT284" s="192" t="s">
        <v>465</v>
      </c>
      <c r="AU284" s="192" t="s">
        <v>82</v>
      </c>
      <c r="AY284" s="19" t="s">
        <v>380</v>
      </c>
      <c r="BE284" s="193">
        <f t="shared" si="34"/>
        <v>0</v>
      </c>
      <c r="BF284" s="193">
        <f t="shared" si="35"/>
        <v>0</v>
      </c>
      <c r="BG284" s="193">
        <f t="shared" si="36"/>
        <v>0</v>
      </c>
      <c r="BH284" s="193">
        <f t="shared" si="37"/>
        <v>0</v>
      </c>
      <c r="BI284" s="193">
        <f t="shared" si="38"/>
        <v>0</v>
      </c>
      <c r="BJ284" s="19" t="s">
        <v>79</v>
      </c>
      <c r="BK284" s="193">
        <f t="shared" si="39"/>
        <v>0</v>
      </c>
      <c r="BL284" s="19" t="s">
        <v>386</v>
      </c>
      <c r="BM284" s="192" t="s">
        <v>1987</v>
      </c>
    </row>
    <row r="285" spans="1:65" s="2" customFormat="1" ht="16.5" customHeight="1">
      <c r="A285" s="36"/>
      <c r="B285" s="37"/>
      <c r="C285" s="181" t="s">
        <v>1203</v>
      </c>
      <c r="D285" s="181" t="s">
        <v>382</v>
      </c>
      <c r="E285" s="182" t="s">
        <v>4526</v>
      </c>
      <c r="F285" s="183" t="s">
        <v>4527</v>
      </c>
      <c r="G285" s="184" t="s">
        <v>641</v>
      </c>
      <c r="H285" s="185">
        <v>87</v>
      </c>
      <c r="I285" s="186"/>
      <c r="J285" s="187">
        <f t="shared" si="30"/>
        <v>0</v>
      </c>
      <c r="K285" s="183" t="s">
        <v>19</v>
      </c>
      <c r="L285" s="41"/>
      <c r="M285" s="188" t="s">
        <v>19</v>
      </c>
      <c r="N285" s="189" t="s">
        <v>43</v>
      </c>
      <c r="O285" s="66"/>
      <c r="P285" s="190">
        <f t="shared" si="31"/>
        <v>0</v>
      </c>
      <c r="Q285" s="190">
        <v>0</v>
      </c>
      <c r="R285" s="190">
        <f t="shared" si="32"/>
        <v>0</v>
      </c>
      <c r="S285" s="190">
        <v>0</v>
      </c>
      <c r="T285" s="191">
        <f t="shared" si="33"/>
        <v>0</v>
      </c>
      <c r="U285" s="36"/>
      <c r="V285" s="36"/>
      <c r="W285" s="36"/>
      <c r="X285" s="36"/>
      <c r="Y285" s="36"/>
      <c r="Z285" s="36"/>
      <c r="AA285" s="36"/>
      <c r="AB285" s="36"/>
      <c r="AC285" s="36"/>
      <c r="AD285" s="36"/>
      <c r="AE285" s="36"/>
      <c r="AR285" s="192" t="s">
        <v>386</v>
      </c>
      <c r="AT285" s="192" t="s">
        <v>382</v>
      </c>
      <c r="AU285" s="192" t="s">
        <v>82</v>
      </c>
      <c r="AY285" s="19" t="s">
        <v>380</v>
      </c>
      <c r="BE285" s="193">
        <f t="shared" si="34"/>
        <v>0</v>
      </c>
      <c r="BF285" s="193">
        <f t="shared" si="35"/>
        <v>0</v>
      </c>
      <c r="BG285" s="193">
        <f t="shared" si="36"/>
        <v>0</v>
      </c>
      <c r="BH285" s="193">
        <f t="shared" si="37"/>
        <v>0</v>
      </c>
      <c r="BI285" s="193">
        <f t="shared" si="38"/>
        <v>0</v>
      </c>
      <c r="BJ285" s="19" t="s">
        <v>79</v>
      </c>
      <c r="BK285" s="193">
        <f t="shared" si="39"/>
        <v>0</v>
      </c>
      <c r="BL285" s="19" t="s">
        <v>386</v>
      </c>
      <c r="BM285" s="192" t="s">
        <v>1995</v>
      </c>
    </row>
    <row r="286" spans="1:65" s="2" customFormat="1" ht="16.5" customHeight="1">
      <c r="A286" s="36"/>
      <c r="B286" s="37"/>
      <c r="C286" s="227" t="s">
        <v>1209</v>
      </c>
      <c r="D286" s="227" t="s">
        <v>465</v>
      </c>
      <c r="E286" s="228" t="s">
        <v>4528</v>
      </c>
      <c r="F286" s="229" t="s">
        <v>4529</v>
      </c>
      <c r="G286" s="230" t="s">
        <v>2393</v>
      </c>
      <c r="H286" s="231">
        <v>87</v>
      </c>
      <c r="I286" s="232"/>
      <c r="J286" s="233">
        <f t="shared" si="30"/>
        <v>0</v>
      </c>
      <c r="K286" s="229" t="s">
        <v>19</v>
      </c>
      <c r="L286" s="234"/>
      <c r="M286" s="235" t="s">
        <v>19</v>
      </c>
      <c r="N286" s="236" t="s">
        <v>43</v>
      </c>
      <c r="O286" s="66"/>
      <c r="P286" s="190">
        <f t="shared" si="31"/>
        <v>0</v>
      </c>
      <c r="Q286" s="190">
        <v>0</v>
      </c>
      <c r="R286" s="190">
        <f t="shared" si="32"/>
        <v>0</v>
      </c>
      <c r="S286" s="190">
        <v>0</v>
      </c>
      <c r="T286" s="191">
        <f t="shared" si="33"/>
        <v>0</v>
      </c>
      <c r="U286" s="36"/>
      <c r="V286" s="36"/>
      <c r="W286" s="36"/>
      <c r="X286" s="36"/>
      <c r="Y286" s="36"/>
      <c r="Z286" s="36"/>
      <c r="AA286" s="36"/>
      <c r="AB286" s="36"/>
      <c r="AC286" s="36"/>
      <c r="AD286" s="36"/>
      <c r="AE286" s="36"/>
      <c r="AR286" s="192" t="s">
        <v>424</v>
      </c>
      <c r="AT286" s="192" t="s">
        <v>465</v>
      </c>
      <c r="AU286" s="192" t="s">
        <v>82</v>
      </c>
      <c r="AY286" s="19" t="s">
        <v>380</v>
      </c>
      <c r="BE286" s="193">
        <f t="shared" si="34"/>
        <v>0</v>
      </c>
      <c r="BF286" s="193">
        <f t="shared" si="35"/>
        <v>0</v>
      </c>
      <c r="BG286" s="193">
        <f t="shared" si="36"/>
        <v>0</v>
      </c>
      <c r="BH286" s="193">
        <f t="shared" si="37"/>
        <v>0</v>
      </c>
      <c r="BI286" s="193">
        <f t="shared" si="38"/>
        <v>0</v>
      </c>
      <c r="BJ286" s="19" t="s">
        <v>79</v>
      </c>
      <c r="BK286" s="193">
        <f t="shared" si="39"/>
        <v>0</v>
      </c>
      <c r="BL286" s="19" t="s">
        <v>386</v>
      </c>
      <c r="BM286" s="192" t="s">
        <v>2003</v>
      </c>
    </row>
    <row r="287" spans="1:65" s="2" customFormat="1" ht="16.5" customHeight="1">
      <c r="A287" s="36"/>
      <c r="B287" s="37"/>
      <c r="C287" s="181" t="s">
        <v>1215</v>
      </c>
      <c r="D287" s="181" t="s">
        <v>382</v>
      </c>
      <c r="E287" s="182" t="s">
        <v>4485</v>
      </c>
      <c r="F287" s="183" t="s">
        <v>4486</v>
      </c>
      <c r="G287" s="184" t="s">
        <v>3014</v>
      </c>
      <c r="H287" s="257"/>
      <c r="I287" s="186"/>
      <c r="J287" s="187">
        <f t="shared" si="30"/>
        <v>0</v>
      </c>
      <c r="K287" s="183" t="s">
        <v>19</v>
      </c>
      <c r="L287" s="41"/>
      <c r="M287" s="188" t="s">
        <v>19</v>
      </c>
      <c r="N287" s="189" t="s">
        <v>43</v>
      </c>
      <c r="O287" s="66"/>
      <c r="P287" s="190">
        <f t="shared" si="31"/>
        <v>0</v>
      </c>
      <c r="Q287" s="190">
        <v>0</v>
      </c>
      <c r="R287" s="190">
        <f t="shared" si="32"/>
        <v>0</v>
      </c>
      <c r="S287" s="190">
        <v>0</v>
      </c>
      <c r="T287" s="191">
        <f t="shared" si="33"/>
        <v>0</v>
      </c>
      <c r="U287" s="36"/>
      <c r="V287" s="36"/>
      <c r="W287" s="36"/>
      <c r="X287" s="36"/>
      <c r="Y287" s="36"/>
      <c r="Z287" s="36"/>
      <c r="AA287" s="36"/>
      <c r="AB287" s="36"/>
      <c r="AC287" s="36"/>
      <c r="AD287" s="36"/>
      <c r="AE287" s="36"/>
      <c r="AR287" s="192" t="s">
        <v>386</v>
      </c>
      <c r="AT287" s="192" t="s">
        <v>382</v>
      </c>
      <c r="AU287" s="192" t="s">
        <v>82</v>
      </c>
      <c r="AY287" s="19" t="s">
        <v>380</v>
      </c>
      <c r="BE287" s="193">
        <f t="shared" si="34"/>
        <v>0</v>
      </c>
      <c r="BF287" s="193">
        <f t="shared" si="35"/>
        <v>0</v>
      </c>
      <c r="BG287" s="193">
        <f t="shared" si="36"/>
        <v>0</v>
      </c>
      <c r="BH287" s="193">
        <f t="shared" si="37"/>
        <v>0</v>
      </c>
      <c r="BI287" s="193">
        <f t="shared" si="38"/>
        <v>0</v>
      </c>
      <c r="BJ287" s="19" t="s">
        <v>79</v>
      </c>
      <c r="BK287" s="193">
        <f t="shared" si="39"/>
        <v>0</v>
      </c>
      <c r="BL287" s="19" t="s">
        <v>386</v>
      </c>
      <c r="BM287" s="192" t="s">
        <v>2014</v>
      </c>
    </row>
    <row r="288" spans="1:65" s="2" customFormat="1" ht="16.5" customHeight="1">
      <c r="A288" s="36"/>
      <c r="B288" s="37"/>
      <c r="C288" s="181" t="s">
        <v>1222</v>
      </c>
      <c r="D288" s="181" t="s">
        <v>382</v>
      </c>
      <c r="E288" s="182" t="s">
        <v>4487</v>
      </c>
      <c r="F288" s="183" t="s">
        <v>4488</v>
      </c>
      <c r="G288" s="184" t="s">
        <v>3014</v>
      </c>
      <c r="H288" s="257"/>
      <c r="I288" s="186"/>
      <c r="J288" s="187">
        <f t="shared" si="30"/>
        <v>0</v>
      </c>
      <c r="K288" s="183" t="s">
        <v>19</v>
      </c>
      <c r="L288" s="41"/>
      <c r="M288" s="188" t="s">
        <v>19</v>
      </c>
      <c r="N288" s="189" t="s">
        <v>43</v>
      </c>
      <c r="O288" s="66"/>
      <c r="P288" s="190">
        <f t="shared" si="31"/>
        <v>0</v>
      </c>
      <c r="Q288" s="190">
        <v>0</v>
      </c>
      <c r="R288" s="190">
        <f t="shared" si="32"/>
        <v>0</v>
      </c>
      <c r="S288" s="190">
        <v>0</v>
      </c>
      <c r="T288" s="191">
        <f t="shared" si="33"/>
        <v>0</v>
      </c>
      <c r="U288" s="36"/>
      <c r="V288" s="36"/>
      <c r="W288" s="36"/>
      <c r="X288" s="36"/>
      <c r="Y288" s="36"/>
      <c r="Z288" s="36"/>
      <c r="AA288" s="36"/>
      <c r="AB288" s="36"/>
      <c r="AC288" s="36"/>
      <c r="AD288" s="36"/>
      <c r="AE288" s="36"/>
      <c r="AR288" s="192" t="s">
        <v>386</v>
      </c>
      <c r="AT288" s="192" t="s">
        <v>382</v>
      </c>
      <c r="AU288" s="192" t="s">
        <v>82</v>
      </c>
      <c r="AY288" s="19" t="s">
        <v>380</v>
      </c>
      <c r="BE288" s="193">
        <f t="shared" si="34"/>
        <v>0</v>
      </c>
      <c r="BF288" s="193">
        <f t="shared" si="35"/>
        <v>0</v>
      </c>
      <c r="BG288" s="193">
        <f t="shared" si="36"/>
        <v>0</v>
      </c>
      <c r="BH288" s="193">
        <f t="shared" si="37"/>
        <v>0</v>
      </c>
      <c r="BI288" s="193">
        <f t="shared" si="38"/>
        <v>0</v>
      </c>
      <c r="BJ288" s="19" t="s">
        <v>79</v>
      </c>
      <c r="BK288" s="193">
        <f t="shared" si="39"/>
        <v>0</v>
      </c>
      <c r="BL288" s="19" t="s">
        <v>386</v>
      </c>
      <c r="BM288" s="192" t="s">
        <v>2024</v>
      </c>
    </row>
    <row r="289" spans="1:65" s="12" customFormat="1" ht="22.9" customHeight="1">
      <c r="B289" s="165"/>
      <c r="C289" s="166"/>
      <c r="D289" s="167" t="s">
        <v>71</v>
      </c>
      <c r="E289" s="179" t="s">
        <v>4530</v>
      </c>
      <c r="F289" s="179" t="s">
        <v>4531</v>
      </c>
      <c r="G289" s="166"/>
      <c r="H289" s="166"/>
      <c r="I289" s="169"/>
      <c r="J289" s="180">
        <f>BK289</f>
        <v>0</v>
      </c>
      <c r="K289" s="166"/>
      <c r="L289" s="171"/>
      <c r="M289" s="172"/>
      <c r="N289" s="173"/>
      <c r="O289" s="173"/>
      <c r="P289" s="174">
        <f>SUM(P290:P298)</f>
        <v>0</v>
      </c>
      <c r="Q289" s="173"/>
      <c r="R289" s="174">
        <f>SUM(R290:R298)</f>
        <v>0</v>
      </c>
      <c r="S289" s="173"/>
      <c r="T289" s="175">
        <f>SUM(T290:T298)</f>
        <v>0</v>
      </c>
      <c r="AR289" s="176" t="s">
        <v>79</v>
      </c>
      <c r="AT289" s="177" t="s">
        <v>71</v>
      </c>
      <c r="AU289" s="177" t="s">
        <v>79</v>
      </c>
      <c r="AY289" s="176" t="s">
        <v>380</v>
      </c>
      <c r="BK289" s="178">
        <f>SUM(BK290:BK298)</f>
        <v>0</v>
      </c>
    </row>
    <row r="290" spans="1:65" s="2" customFormat="1" ht="16.5" customHeight="1">
      <c r="A290" s="36"/>
      <c r="B290" s="37"/>
      <c r="C290" s="227" t="s">
        <v>1234</v>
      </c>
      <c r="D290" s="227" t="s">
        <v>465</v>
      </c>
      <c r="E290" s="228" t="s">
        <v>4532</v>
      </c>
      <c r="F290" s="229" t="s">
        <v>4533</v>
      </c>
      <c r="G290" s="230" t="s">
        <v>2393</v>
      </c>
      <c r="H290" s="231">
        <v>1</v>
      </c>
      <c r="I290" s="232"/>
      <c r="J290" s="233">
        <f t="shared" ref="J290:J298" si="40">ROUND(I290*H290,2)</f>
        <v>0</v>
      </c>
      <c r="K290" s="229" t="s">
        <v>19</v>
      </c>
      <c r="L290" s="234"/>
      <c r="M290" s="235" t="s">
        <v>19</v>
      </c>
      <c r="N290" s="236" t="s">
        <v>43</v>
      </c>
      <c r="O290" s="66"/>
      <c r="P290" s="190">
        <f t="shared" ref="P290:P298" si="41">O290*H290</f>
        <v>0</v>
      </c>
      <c r="Q290" s="190">
        <v>0</v>
      </c>
      <c r="R290" s="190">
        <f t="shared" ref="R290:R298" si="42">Q290*H290</f>
        <v>0</v>
      </c>
      <c r="S290" s="190">
        <v>0</v>
      </c>
      <c r="T290" s="191">
        <f t="shared" ref="T290:T298" si="43">S290*H290</f>
        <v>0</v>
      </c>
      <c r="U290" s="36"/>
      <c r="V290" s="36"/>
      <c r="W290" s="36"/>
      <c r="X290" s="36"/>
      <c r="Y290" s="36"/>
      <c r="Z290" s="36"/>
      <c r="AA290" s="36"/>
      <c r="AB290" s="36"/>
      <c r="AC290" s="36"/>
      <c r="AD290" s="36"/>
      <c r="AE290" s="36"/>
      <c r="AR290" s="192" t="s">
        <v>424</v>
      </c>
      <c r="AT290" s="192" t="s">
        <v>465</v>
      </c>
      <c r="AU290" s="192" t="s">
        <v>82</v>
      </c>
      <c r="AY290" s="19" t="s">
        <v>380</v>
      </c>
      <c r="BE290" s="193">
        <f t="shared" ref="BE290:BE298" si="44">IF(N290="základní",J290,0)</f>
        <v>0</v>
      </c>
      <c r="BF290" s="193">
        <f t="shared" ref="BF290:BF298" si="45">IF(N290="snížená",J290,0)</f>
        <v>0</v>
      </c>
      <c r="BG290" s="193">
        <f t="shared" ref="BG290:BG298" si="46">IF(N290="zákl. přenesená",J290,0)</f>
        <v>0</v>
      </c>
      <c r="BH290" s="193">
        <f t="shared" ref="BH290:BH298" si="47">IF(N290="sníž. přenesená",J290,0)</f>
        <v>0</v>
      </c>
      <c r="BI290" s="193">
        <f t="shared" ref="BI290:BI298" si="48">IF(N290="nulová",J290,0)</f>
        <v>0</v>
      </c>
      <c r="BJ290" s="19" t="s">
        <v>79</v>
      </c>
      <c r="BK290" s="193">
        <f t="shared" ref="BK290:BK298" si="49">ROUND(I290*H290,2)</f>
        <v>0</v>
      </c>
      <c r="BL290" s="19" t="s">
        <v>386</v>
      </c>
      <c r="BM290" s="192" t="s">
        <v>2032</v>
      </c>
    </row>
    <row r="291" spans="1:65" s="2" customFormat="1" ht="16.5" customHeight="1">
      <c r="A291" s="36"/>
      <c r="B291" s="37"/>
      <c r="C291" s="227" t="s">
        <v>1239</v>
      </c>
      <c r="D291" s="227" t="s">
        <v>465</v>
      </c>
      <c r="E291" s="228" t="s">
        <v>4534</v>
      </c>
      <c r="F291" s="229" t="s">
        <v>4535</v>
      </c>
      <c r="G291" s="230" t="s">
        <v>2393</v>
      </c>
      <c r="H291" s="231">
        <v>1</v>
      </c>
      <c r="I291" s="232"/>
      <c r="J291" s="233">
        <f t="shared" si="40"/>
        <v>0</v>
      </c>
      <c r="K291" s="229" t="s">
        <v>19</v>
      </c>
      <c r="L291" s="234"/>
      <c r="M291" s="235" t="s">
        <v>19</v>
      </c>
      <c r="N291" s="236" t="s">
        <v>43</v>
      </c>
      <c r="O291" s="66"/>
      <c r="P291" s="190">
        <f t="shared" si="41"/>
        <v>0</v>
      </c>
      <c r="Q291" s="190">
        <v>0</v>
      </c>
      <c r="R291" s="190">
        <f t="shared" si="42"/>
        <v>0</v>
      </c>
      <c r="S291" s="190">
        <v>0</v>
      </c>
      <c r="T291" s="191">
        <f t="shared" si="43"/>
        <v>0</v>
      </c>
      <c r="U291" s="36"/>
      <c r="V291" s="36"/>
      <c r="W291" s="36"/>
      <c r="X291" s="36"/>
      <c r="Y291" s="36"/>
      <c r="Z291" s="36"/>
      <c r="AA291" s="36"/>
      <c r="AB291" s="36"/>
      <c r="AC291" s="36"/>
      <c r="AD291" s="36"/>
      <c r="AE291" s="36"/>
      <c r="AR291" s="192" t="s">
        <v>424</v>
      </c>
      <c r="AT291" s="192" t="s">
        <v>465</v>
      </c>
      <c r="AU291" s="192" t="s">
        <v>82</v>
      </c>
      <c r="AY291" s="19" t="s">
        <v>380</v>
      </c>
      <c r="BE291" s="193">
        <f t="shared" si="44"/>
        <v>0</v>
      </c>
      <c r="BF291" s="193">
        <f t="shared" si="45"/>
        <v>0</v>
      </c>
      <c r="BG291" s="193">
        <f t="shared" si="46"/>
        <v>0</v>
      </c>
      <c r="BH291" s="193">
        <f t="shared" si="47"/>
        <v>0</v>
      </c>
      <c r="BI291" s="193">
        <f t="shared" si="48"/>
        <v>0</v>
      </c>
      <c r="BJ291" s="19" t="s">
        <v>79</v>
      </c>
      <c r="BK291" s="193">
        <f t="shared" si="49"/>
        <v>0</v>
      </c>
      <c r="BL291" s="19" t="s">
        <v>386</v>
      </c>
      <c r="BM291" s="192" t="s">
        <v>2040</v>
      </c>
    </row>
    <row r="292" spans="1:65" s="2" customFormat="1" ht="16.5" customHeight="1">
      <c r="A292" s="36"/>
      <c r="B292" s="37"/>
      <c r="C292" s="227" t="s">
        <v>1245</v>
      </c>
      <c r="D292" s="227" t="s">
        <v>465</v>
      </c>
      <c r="E292" s="228" t="s">
        <v>4536</v>
      </c>
      <c r="F292" s="229" t="s">
        <v>4537</v>
      </c>
      <c r="G292" s="230" t="s">
        <v>2393</v>
      </c>
      <c r="H292" s="231">
        <v>1</v>
      </c>
      <c r="I292" s="232"/>
      <c r="J292" s="233">
        <f t="shared" si="40"/>
        <v>0</v>
      </c>
      <c r="K292" s="229" t="s">
        <v>19</v>
      </c>
      <c r="L292" s="234"/>
      <c r="M292" s="235" t="s">
        <v>19</v>
      </c>
      <c r="N292" s="236" t="s">
        <v>43</v>
      </c>
      <c r="O292" s="66"/>
      <c r="P292" s="190">
        <f t="shared" si="41"/>
        <v>0</v>
      </c>
      <c r="Q292" s="190">
        <v>0</v>
      </c>
      <c r="R292" s="190">
        <f t="shared" si="42"/>
        <v>0</v>
      </c>
      <c r="S292" s="190">
        <v>0</v>
      </c>
      <c r="T292" s="191">
        <f t="shared" si="43"/>
        <v>0</v>
      </c>
      <c r="U292" s="36"/>
      <c r="V292" s="36"/>
      <c r="W292" s="36"/>
      <c r="X292" s="36"/>
      <c r="Y292" s="36"/>
      <c r="Z292" s="36"/>
      <c r="AA292" s="36"/>
      <c r="AB292" s="36"/>
      <c r="AC292" s="36"/>
      <c r="AD292" s="36"/>
      <c r="AE292" s="36"/>
      <c r="AR292" s="192" t="s">
        <v>424</v>
      </c>
      <c r="AT292" s="192" t="s">
        <v>465</v>
      </c>
      <c r="AU292" s="192" t="s">
        <v>82</v>
      </c>
      <c r="AY292" s="19" t="s">
        <v>380</v>
      </c>
      <c r="BE292" s="193">
        <f t="shared" si="44"/>
        <v>0</v>
      </c>
      <c r="BF292" s="193">
        <f t="shared" si="45"/>
        <v>0</v>
      </c>
      <c r="BG292" s="193">
        <f t="shared" si="46"/>
        <v>0</v>
      </c>
      <c r="BH292" s="193">
        <f t="shared" si="47"/>
        <v>0</v>
      </c>
      <c r="BI292" s="193">
        <f t="shared" si="48"/>
        <v>0</v>
      </c>
      <c r="BJ292" s="19" t="s">
        <v>79</v>
      </c>
      <c r="BK292" s="193">
        <f t="shared" si="49"/>
        <v>0</v>
      </c>
      <c r="BL292" s="19" t="s">
        <v>386</v>
      </c>
      <c r="BM292" s="192" t="s">
        <v>2048</v>
      </c>
    </row>
    <row r="293" spans="1:65" s="2" customFormat="1" ht="16.5" customHeight="1">
      <c r="A293" s="36"/>
      <c r="B293" s="37"/>
      <c r="C293" s="227" t="s">
        <v>1251</v>
      </c>
      <c r="D293" s="227" t="s">
        <v>465</v>
      </c>
      <c r="E293" s="228" t="s">
        <v>4538</v>
      </c>
      <c r="F293" s="229" t="s">
        <v>4539</v>
      </c>
      <c r="G293" s="230" t="s">
        <v>2393</v>
      </c>
      <c r="H293" s="231">
        <v>1</v>
      </c>
      <c r="I293" s="232"/>
      <c r="J293" s="233">
        <f t="shared" si="40"/>
        <v>0</v>
      </c>
      <c r="K293" s="229" t="s">
        <v>19</v>
      </c>
      <c r="L293" s="234"/>
      <c r="M293" s="235" t="s">
        <v>19</v>
      </c>
      <c r="N293" s="236" t="s">
        <v>43</v>
      </c>
      <c r="O293" s="66"/>
      <c r="P293" s="190">
        <f t="shared" si="41"/>
        <v>0</v>
      </c>
      <c r="Q293" s="190">
        <v>0</v>
      </c>
      <c r="R293" s="190">
        <f t="shared" si="42"/>
        <v>0</v>
      </c>
      <c r="S293" s="190">
        <v>0</v>
      </c>
      <c r="T293" s="191">
        <f t="shared" si="43"/>
        <v>0</v>
      </c>
      <c r="U293" s="36"/>
      <c r="V293" s="36"/>
      <c r="W293" s="36"/>
      <c r="X293" s="36"/>
      <c r="Y293" s="36"/>
      <c r="Z293" s="36"/>
      <c r="AA293" s="36"/>
      <c r="AB293" s="36"/>
      <c r="AC293" s="36"/>
      <c r="AD293" s="36"/>
      <c r="AE293" s="36"/>
      <c r="AR293" s="192" t="s">
        <v>424</v>
      </c>
      <c r="AT293" s="192" t="s">
        <v>465</v>
      </c>
      <c r="AU293" s="192" t="s">
        <v>82</v>
      </c>
      <c r="AY293" s="19" t="s">
        <v>380</v>
      </c>
      <c r="BE293" s="193">
        <f t="shared" si="44"/>
        <v>0</v>
      </c>
      <c r="BF293" s="193">
        <f t="shared" si="45"/>
        <v>0</v>
      </c>
      <c r="BG293" s="193">
        <f t="shared" si="46"/>
        <v>0</v>
      </c>
      <c r="BH293" s="193">
        <f t="shared" si="47"/>
        <v>0</v>
      </c>
      <c r="BI293" s="193">
        <f t="shared" si="48"/>
        <v>0</v>
      </c>
      <c r="BJ293" s="19" t="s">
        <v>79</v>
      </c>
      <c r="BK293" s="193">
        <f t="shared" si="49"/>
        <v>0</v>
      </c>
      <c r="BL293" s="19" t="s">
        <v>386</v>
      </c>
      <c r="BM293" s="192" t="s">
        <v>2056</v>
      </c>
    </row>
    <row r="294" spans="1:65" s="2" customFormat="1" ht="16.5" customHeight="1">
      <c r="A294" s="36"/>
      <c r="B294" s="37"/>
      <c r="C294" s="227" t="s">
        <v>1256</v>
      </c>
      <c r="D294" s="227" t="s">
        <v>465</v>
      </c>
      <c r="E294" s="228" t="s">
        <v>4540</v>
      </c>
      <c r="F294" s="229" t="s">
        <v>4541</v>
      </c>
      <c r="G294" s="230" t="s">
        <v>2393</v>
      </c>
      <c r="H294" s="231">
        <v>1</v>
      </c>
      <c r="I294" s="232"/>
      <c r="J294" s="233">
        <f t="shared" si="40"/>
        <v>0</v>
      </c>
      <c r="K294" s="229" t="s">
        <v>19</v>
      </c>
      <c r="L294" s="234"/>
      <c r="M294" s="235" t="s">
        <v>19</v>
      </c>
      <c r="N294" s="236" t="s">
        <v>43</v>
      </c>
      <c r="O294" s="66"/>
      <c r="P294" s="190">
        <f t="shared" si="41"/>
        <v>0</v>
      </c>
      <c r="Q294" s="190">
        <v>0</v>
      </c>
      <c r="R294" s="190">
        <f t="shared" si="42"/>
        <v>0</v>
      </c>
      <c r="S294" s="190">
        <v>0</v>
      </c>
      <c r="T294" s="191">
        <f t="shared" si="43"/>
        <v>0</v>
      </c>
      <c r="U294" s="36"/>
      <c r="V294" s="36"/>
      <c r="W294" s="36"/>
      <c r="X294" s="36"/>
      <c r="Y294" s="36"/>
      <c r="Z294" s="36"/>
      <c r="AA294" s="36"/>
      <c r="AB294" s="36"/>
      <c r="AC294" s="36"/>
      <c r="AD294" s="36"/>
      <c r="AE294" s="36"/>
      <c r="AR294" s="192" t="s">
        <v>424</v>
      </c>
      <c r="AT294" s="192" t="s">
        <v>465</v>
      </c>
      <c r="AU294" s="192" t="s">
        <v>82</v>
      </c>
      <c r="AY294" s="19" t="s">
        <v>380</v>
      </c>
      <c r="BE294" s="193">
        <f t="shared" si="44"/>
        <v>0</v>
      </c>
      <c r="BF294" s="193">
        <f t="shared" si="45"/>
        <v>0</v>
      </c>
      <c r="BG294" s="193">
        <f t="shared" si="46"/>
        <v>0</v>
      </c>
      <c r="BH294" s="193">
        <f t="shared" si="47"/>
        <v>0</v>
      </c>
      <c r="BI294" s="193">
        <f t="shared" si="48"/>
        <v>0</v>
      </c>
      <c r="BJ294" s="19" t="s">
        <v>79</v>
      </c>
      <c r="BK294" s="193">
        <f t="shared" si="49"/>
        <v>0</v>
      </c>
      <c r="BL294" s="19" t="s">
        <v>386</v>
      </c>
      <c r="BM294" s="192" t="s">
        <v>2064</v>
      </c>
    </row>
    <row r="295" spans="1:65" s="2" customFormat="1" ht="16.5" customHeight="1">
      <c r="A295" s="36"/>
      <c r="B295" s="37"/>
      <c r="C295" s="227" t="s">
        <v>1261</v>
      </c>
      <c r="D295" s="227" t="s">
        <v>465</v>
      </c>
      <c r="E295" s="228" t="s">
        <v>4542</v>
      </c>
      <c r="F295" s="229" t="s">
        <v>4543</v>
      </c>
      <c r="G295" s="230" t="s">
        <v>2393</v>
      </c>
      <c r="H295" s="231">
        <v>1</v>
      </c>
      <c r="I295" s="232"/>
      <c r="J295" s="233">
        <f t="shared" si="40"/>
        <v>0</v>
      </c>
      <c r="K295" s="229" t="s">
        <v>19</v>
      </c>
      <c r="L295" s="234"/>
      <c r="M295" s="235" t="s">
        <v>19</v>
      </c>
      <c r="N295" s="236" t="s">
        <v>43</v>
      </c>
      <c r="O295" s="66"/>
      <c r="P295" s="190">
        <f t="shared" si="41"/>
        <v>0</v>
      </c>
      <c r="Q295" s="190">
        <v>0</v>
      </c>
      <c r="R295" s="190">
        <f t="shared" si="42"/>
        <v>0</v>
      </c>
      <c r="S295" s="190">
        <v>0</v>
      </c>
      <c r="T295" s="191">
        <f t="shared" si="43"/>
        <v>0</v>
      </c>
      <c r="U295" s="36"/>
      <c r="V295" s="36"/>
      <c r="W295" s="36"/>
      <c r="X295" s="36"/>
      <c r="Y295" s="36"/>
      <c r="Z295" s="36"/>
      <c r="AA295" s="36"/>
      <c r="AB295" s="36"/>
      <c r="AC295" s="36"/>
      <c r="AD295" s="36"/>
      <c r="AE295" s="36"/>
      <c r="AR295" s="192" t="s">
        <v>424</v>
      </c>
      <c r="AT295" s="192" t="s">
        <v>465</v>
      </c>
      <c r="AU295" s="192" t="s">
        <v>82</v>
      </c>
      <c r="AY295" s="19" t="s">
        <v>380</v>
      </c>
      <c r="BE295" s="193">
        <f t="shared" si="44"/>
        <v>0</v>
      </c>
      <c r="BF295" s="193">
        <f t="shared" si="45"/>
        <v>0</v>
      </c>
      <c r="BG295" s="193">
        <f t="shared" si="46"/>
        <v>0</v>
      </c>
      <c r="BH295" s="193">
        <f t="shared" si="47"/>
        <v>0</v>
      </c>
      <c r="BI295" s="193">
        <f t="shared" si="48"/>
        <v>0</v>
      </c>
      <c r="BJ295" s="19" t="s">
        <v>79</v>
      </c>
      <c r="BK295" s="193">
        <f t="shared" si="49"/>
        <v>0</v>
      </c>
      <c r="BL295" s="19" t="s">
        <v>386</v>
      </c>
      <c r="BM295" s="192" t="s">
        <v>2072</v>
      </c>
    </row>
    <row r="296" spans="1:65" s="2" customFormat="1" ht="16.5" customHeight="1">
      <c r="A296" s="36"/>
      <c r="B296" s="37"/>
      <c r="C296" s="181" t="s">
        <v>1266</v>
      </c>
      <c r="D296" s="181" t="s">
        <v>382</v>
      </c>
      <c r="E296" s="182" t="s">
        <v>4544</v>
      </c>
      <c r="F296" s="183" t="s">
        <v>4545</v>
      </c>
      <c r="G296" s="184" t="s">
        <v>3014</v>
      </c>
      <c r="H296" s="257"/>
      <c r="I296" s="186"/>
      <c r="J296" s="187">
        <f t="shared" si="40"/>
        <v>0</v>
      </c>
      <c r="K296" s="183" t="s">
        <v>19</v>
      </c>
      <c r="L296" s="41"/>
      <c r="M296" s="188" t="s">
        <v>19</v>
      </c>
      <c r="N296" s="189" t="s">
        <v>43</v>
      </c>
      <c r="O296" s="66"/>
      <c r="P296" s="190">
        <f t="shared" si="41"/>
        <v>0</v>
      </c>
      <c r="Q296" s="190">
        <v>0</v>
      </c>
      <c r="R296" s="190">
        <f t="shared" si="42"/>
        <v>0</v>
      </c>
      <c r="S296" s="190">
        <v>0</v>
      </c>
      <c r="T296" s="191">
        <f t="shared" si="43"/>
        <v>0</v>
      </c>
      <c r="U296" s="36"/>
      <c r="V296" s="36"/>
      <c r="W296" s="36"/>
      <c r="X296" s="36"/>
      <c r="Y296" s="36"/>
      <c r="Z296" s="36"/>
      <c r="AA296" s="36"/>
      <c r="AB296" s="36"/>
      <c r="AC296" s="36"/>
      <c r="AD296" s="36"/>
      <c r="AE296" s="36"/>
      <c r="AR296" s="192" t="s">
        <v>386</v>
      </c>
      <c r="AT296" s="192" t="s">
        <v>382</v>
      </c>
      <c r="AU296" s="192" t="s">
        <v>82</v>
      </c>
      <c r="AY296" s="19" t="s">
        <v>380</v>
      </c>
      <c r="BE296" s="193">
        <f t="shared" si="44"/>
        <v>0</v>
      </c>
      <c r="BF296" s="193">
        <f t="shared" si="45"/>
        <v>0</v>
      </c>
      <c r="BG296" s="193">
        <f t="shared" si="46"/>
        <v>0</v>
      </c>
      <c r="BH296" s="193">
        <f t="shared" si="47"/>
        <v>0</v>
      </c>
      <c r="BI296" s="193">
        <f t="shared" si="48"/>
        <v>0</v>
      </c>
      <c r="BJ296" s="19" t="s">
        <v>79</v>
      </c>
      <c r="BK296" s="193">
        <f t="shared" si="49"/>
        <v>0</v>
      </c>
      <c r="BL296" s="19" t="s">
        <v>386</v>
      </c>
      <c r="BM296" s="192" t="s">
        <v>2083</v>
      </c>
    </row>
    <row r="297" spans="1:65" s="2" customFormat="1" ht="16.5" customHeight="1">
      <c r="A297" s="36"/>
      <c r="B297" s="37"/>
      <c r="C297" s="181" t="s">
        <v>1271</v>
      </c>
      <c r="D297" s="181" t="s">
        <v>382</v>
      </c>
      <c r="E297" s="182" t="s">
        <v>4546</v>
      </c>
      <c r="F297" s="183" t="s">
        <v>4547</v>
      </c>
      <c r="G297" s="184" t="s">
        <v>3014</v>
      </c>
      <c r="H297" s="257"/>
      <c r="I297" s="186"/>
      <c r="J297" s="187">
        <f t="shared" si="40"/>
        <v>0</v>
      </c>
      <c r="K297" s="183" t="s">
        <v>19</v>
      </c>
      <c r="L297" s="41"/>
      <c r="M297" s="188" t="s">
        <v>19</v>
      </c>
      <c r="N297" s="189" t="s">
        <v>43</v>
      </c>
      <c r="O297" s="66"/>
      <c r="P297" s="190">
        <f t="shared" si="41"/>
        <v>0</v>
      </c>
      <c r="Q297" s="190">
        <v>0</v>
      </c>
      <c r="R297" s="190">
        <f t="shared" si="42"/>
        <v>0</v>
      </c>
      <c r="S297" s="190">
        <v>0</v>
      </c>
      <c r="T297" s="191">
        <f t="shared" si="43"/>
        <v>0</v>
      </c>
      <c r="U297" s="36"/>
      <c r="V297" s="36"/>
      <c r="W297" s="36"/>
      <c r="X297" s="36"/>
      <c r="Y297" s="36"/>
      <c r="Z297" s="36"/>
      <c r="AA297" s="36"/>
      <c r="AB297" s="36"/>
      <c r="AC297" s="36"/>
      <c r="AD297" s="36"/>
      <c r="AE297" s="36"/>
      <c r="AR297" s="192" t="s">
        <v>386</v>
      </c>
      <c r="AT297" s="192" t="s">
        <v>382</v>
      </c>
      <c r="AU297" s="192" t="s">
        <v>82</v>
      </c>
      <c r="AY297" s="19" t="s">
        <v>380</v>
      </c>
      <c r="BE297" s="193">
        <f t="shared" si="44"/>
        <v>0</v>
      </c>
      <c r="BF297" s="193">
        <f t="shared" si="45"/>
        <v>0</v>
      </c>
      <c r="BG297" s="193">
        <f t="shared" si="46"/>
        <v>0</v>
      </c>
      <c r="BH297" s="193">
        <f t="shared" si="47"/>
        <v>0</v>
      </c>
      <c r="BI297" s="193">
        <f t="shared" si="48"/>
        <v>0</v>
      </c>
      <c r="BJ297" s="19" t="s">
        <v>79</v>
      </c>
      <c r="BK297" s="193">
        <f t="shared" si="49"/>
        <v>0</v>
      </c>
      <c r="BL297" s="19" t="s">
        <v>386</v>
      </c>
      <c r="BM297" s="192" t="s">
        <v>2091</v>
      </c>
    </row>
    <row r="298" spans="1:65" s="2" customFormat="1" ht="16.5" customHeight="1">
      <c r="A298" s="36"/>
      <c r="B298" s="37"/>
      <c r="C298" s="181" t="s">
        <v>1275</v>
      </c>
      <c r="D298" s="181" t="s">
        <v>382</v>
      </c>
      <c r="E298" s="182" t="s">
        <v>4485</v>
      </c>
      <c r="F298" s="183" t="s">
        <v>4486</v>
      </c>
      <c r="G298" s="184" t="s">
        <v>3014</v>
      </c>
      <c r="H298" s="257"/>
      <c r="I298" s="186"/>
      <c r="J298" s="187">
        <f t="shared" si="40"/>
        <v>0</v>
      </c>
      <c r="K298" s="183" t="s">
        <v>19</v>
      </c>
      <c r="L298" s="41"/>
      <c r="M298" s="188" t="s">
        <v>19</v>
      </c>
      <c r="N298" s="189" t="s">
        <v>43</v>
      </c>
      <c r="O298" s="66"/>
      <c r="P298" s="190">
        <f t="shared" si="41"/>
        <v>0</v>
      </c>
      <c r="Q298" s="190">
        <v>0</v>
      </c>
      <c r="R298" s="190">
        <f t="shared" si="42"/>
        <v>0</v>
      </c>
      <c r="S298" s="190">
        <v>0</v>
      </c>
      <c r="T298" s="191">
        <f t="shared" si="43"/>
        <v>0</v>
      </c>
      <c r="U298" s="36"/>
      <c r="V298" s="36"/>
      <c r="W298" s="36"/>
      <c r="X298" s="36"/>
      <c r="Y298" s="36"/>
      <c r="Z298" s="36"/>
      <c r="AA298" s="36"/>
      <c r="AB298" s="36"/>
      <c r="AC298" s="36"/>
      <c r="AD298" s="36"/>
      <c r="AE298" s="36"/>
      <c r="AR298" s="192" t="s">
        <v>386</v>
      </c>
      <c r="AT298" s="192" t="s">
        <v>382</v>
      </c>
      <c r="AU298" s="192" t="s">
        <v>82</v>
      </c>
      <c r="AY298" s="19" t="s">
        <v>380</v>
      </c>
      <c r="BE298" s="193">
        <f t="shared" si="44"/>
        <v>0</v>
      </c>
      <c r="BF298" s="193">
        <f t="shared" si="45"/>
        <v>0</v>
      </c>
      <c r="BG298" s="193">
        <f t="shared" si="46"/>
        <v>0</v>
      </c>
      <c r="BH298" s="193">
        <f t="shared" si="47"/>
        <v>0</v>
      </c>
      <c r="BI298" s="193">
        <f t="shared" si="48"/>
        <v>0</v>
      </c>
      <c r="BJ298" s="19" t="s">
        <v>79</v>
      </c>
      <c r="BK298" s="193">
        <f t="shared" si="49"/>
        <v>0</v>
      </c>
      <c r="BL298" s="19" t="s">
        <v>386</v>
      </c>
      <c r="BM298" s="192" t="s">
        <v>2099</v>
      </c>
    </row>
    <row r="299" spans="1:65" s="12" customFormat="1" ht="22.9" customHeight="1">
      <c r="B299" s="165"/>
      <c r="C299" s="166"/>
      <c r="D299" s="167" t="s">
        <v>71</v>
      </c>
      <c r="E299" s="179" t="s">
        <v>4548</v>
      </c>
      <c r="F299" s="179" t="s">
        <v>4549</v>
      </c>
      <c r="G299" s="166"/>
      <c r="H299" s="166"/>
      <c r="I299" s="169"/>
      <c r="J299" s="180">
        <f>BK299</f>
        <v>0</v>
      </c>
      <c r="K299" s="166"/>
      <c r="L299" s="171"/>
      <c r="M299" s="172"/>
      <c r="N299" s="173"/>
      <c r="O299" s="173"/>
      <c r="P299" s="174">
        <f>SUM(P300:P301)</f>
        <v>0</v>
      </c>
      <c r="Q299" s="173"/>
      <c r="R299" s="174">
        <f>SUM(R300:R301)</f>
        <v>0</v>
      </c>
      <c r="S299" s="173"/>
      <c r="T299" s="175">
        <f>SUM(T300:T301)</f>
        <v>0</v>
      </c>
      <c r="AR299" s="176" t="s">
        <v>79</v>
      </c>
      <c r="AT299" s="177" t="s">
        <v>71</v>
      </c>
      <c r="AU299" s="177" t="s">
        <v>79</v>
      </c>
      <c r="AY299" s="176" t="s">
        <v>380</v>
      </c>
      <c r="BK299" s="178">
        <f>SUM(BK300:BK301)</f>
        <v>0</v>
      </c>
    </row>
    <row r="300" spans="1:65" s="2" customFormat="1" ht="16.5" customHeight="1">
      <c r="A300" s="36"/>
      <c r="B300" s="37"/>
      <c r="C300" s="181" t="s">
        <v>1280</v>
      </c>
      <c r="D300" s="181" t="s">
        <v>382</v>
      </c>
      <c r="E300" s="182" t="s">
        <v>4550</v>
      </c>
      <c r="F300" s="183" t="s">
        <v>4551</v>
      </c>
      <c r="G300" s="184" t="s">
        <v>2393</v>
      </c>
      <c r="H300" s="185">
        <v>65</v>
      </c>
      <c r="I300" s="186"/>
      <c r="J300" s="187">
        <f>ROUND(I300*H300,2)</f>
        <v>0</v>
      </c>
      <c r="K300" s="183" t="s">
        <v>19</v>
      </c>
      <c r="L300" s="41"/>
      <c r="M300" s="188" t="s">
        <v>19</v>
      </c>
      <c r="N300" s="189"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386</v>
      </c>
      <c r="AT300" s="192" t="s">
        <v>382</v>
      </c>
      <c r="AU300" s="192" t="s">
        <v>82</v>
      </c>
      <c r="AY300" s="19" t="s">
        <v>380</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386</v>
      </c>
      <c r="BM300" s="192" t="s">
        <v>2110</v>
      </c>
    </row>
    <row r="301" spans="1:65" s="2" customFormat="1" ht="16.5" customHeight="1">
      <c r="A301" s="36"/>
      <c r="B301" s="37"/>
      <c r="C301" s="227" t="s">
        <v>1286</v>
      </c>
      <c r="D301" s="227" t="s">
        <v>465</v>
      </c>
      <c r="E301" s="228" t="s">
        <v>4552</v>
      </c>
      <c r="F301" s="229" t="s">
        <v>4553</v>
      </c>
      <c r="G301" s="230" t="s">
        <v>2393</v>
      </c>
      <c r="H301" s="231">
        <v>65</v>
      </c>
      <c r="I301" s="232"/>
      <c r="J301" s="233">
        <f>ROUND(I301*H301,2)</f>
        <v>0</v>
      </c>
      <c r="K301" s="229" t="s">
        <v>19</v>
      </c>
      <c r="L301" s="234"/>
      <c r="M301" s="235" t="s">
        <v>19</v>
      </c>
      <c r="N301" s="236"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424</v>
      </c>
      <c r="AT301" s="192" t="s">
        <v>465</v>
      </c>
      <c r="AU301" s="192" t="s">
        <v>82</v>
      </c>
      <c r="AY301" s="19" t="s">
        <v>380</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386</v>
      </c>
      <c r="BM301" s="192" t="s">
        <v>2123</v>
      </c>
    </row>
    <row r="302" spans="1:65" s="12" customFormat="1" ht="22.9" customHeight="1">
      <c r="B302" s="165"/>
      <c r="C302" s="166"/>
      <c r="D302" s="167" t="s">
        <v>71</v>
      </c>
      <c r="E302" s="179" t="s">
        <v>4554</v>
      </c>
      <c r="F302" s="179" t="s">
        <v>4555</v>
      </c>
      <c r="G302" s="166"/>
      <c r="H302" s="166"/>
      <c r="I302" s="169"/>
      <c r="J302" s="180">
        <f>BK302</f>
        <v>0</v>
      </c>
      <c r="K302" s="166"/>
      <c r="L302" s="171"/>
      <c r="M302" s="172"/>
      <c r="N302" s="173"/>
      <c r="O302" s="173"/>
      <c r="P302" s="174">
        <f>SUM(P303:P341)</f>
        <v>0</v>
      </c>
      <c r="Q302" s="173"/>
      <c r="R302" s="174">
        <f>SUM(R303:R341)</f>
        <v>0.77113000000000009</v>
      </c>
      <c r="S302" s="173"/>
      <c r="T302" s="175">
        <f>SUM(T303:T341)</f>
        <v>0</v>
      </c>
      <c r="AR302" s="176" t="s">
        <v>79</v>
      </c>
      <c r="AT302" s="177" t="s">
        <v>71</v>
      </c>
      <c r="AU302" s="177" t="s">
        <v>79</v>
      </c>
      <c r="AY302" s="176" t="s">
        <v>380</v>
      </c>
      <c r="BK302" s="178">
        <f>SUM(BK303:BK341)</f>
        <v>0</v>
      </c>
    </row>
    <row r="303" spans="1:65" s="2" customFormat="1" ht="16.5" customHeight="1">
      <c r="A303" s="36"/>
      <c r="B303" s="37"/>
      <c r="C303" s="181" t="s">
        <v>1293</v>
      </c>
      <c r="D303" s="181" t="s">
        <v>382</v>
      </c>
      <c r="E303" s="182" t="s">
        <v>4556</v>
      </c>
      <c r="F303" s="183" t="s">
        <v>4557</v>
      </c>
      <c r="G303" s="184" t="s">
        <v>452</v>
      </c>
      <c r="H303" s="185">
        <v>265</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386</v>
      </c>
      <c r="AT303" s="192" t="s">
        <v>382</v>
      </c>
      <c r="AU303" s="192" t="s">
        <v>82</v>
      </c>
      <c r="AY303" s="19" t="s">
        <v>380</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386</v>
      </c>
      <c r="BM303" s="192" t="s">
        <v>2131</v>
      </c>
    </row>
    <row r="304" spans="1:65" s="2" customFormat="1" ht="16.5" customHeight="1">
      <c r="A304" s="36"/>
      <c r="B304" s="37"/>
      <c r="C304" s="227" t="s">
        <v>1297</v>
      </c>
      <c r="D304" s="227" t="s">
        <v>465</v>
      </c>
      <c r="E304" s="228" t="s">
        <v>4558</v>
      </c>
      <c r="F304" s="229" t="s">
        <v>4559</v>
      </c>
      <c r="G304" s="230" t="s">
        <v>2678</v>
      </c>
      <c r="H304" s="231">
        <v>265</v>
      </c>
      <c r="I304" s="232"/>
      <c r="J304" s="233">
        <f>ROUND(I304*H304,2)</f>
        <v>0</v>
      </c>
      <c r="K304" s="229" t="s">
        <v>19</v>
      </c>
      <c r="L304" s="234"/>
      <c r="M304" s="235" t="s">
        <v>19</v>
      </c>
      <c r="N304" s="236" t="s">
        <v>43</v>
      </c>
      <c r="O304" s="66"/>
      <c r="P304" s="190">
        <f>O304*H304</f>
        <v>0</v>
      </c>
      <c r="Q304" s="190">
        <v>1E-3</v>
      </c>
      <c r="R304" s="190">
        <f>Q304*H304</f>
        <v>0.26500000000000001</v>
      </c>
      <c r="S304" s="190">
        <v>0</v>
      </c>
      <c r="T304" s="191">
        <f>S304*H304</f>
        <v>0</v>
      </c>
      <c r="U304" s="36"/>
      <c r="V304" s="36"/>
      <c r="W304" s="36"/>
      <c r="X304" s="36"/>
      <c r="Y304" s="36"/>
      <c r="Z304" s="36"/>
      <c r="AA304" s="36"/>
      <c r="AB304" s="36"/>
      <c r="AC304" s="36"/>
      <c r="AD304" s="36"/>
      <c r="AE304" s="36"/>
      <c r="AR304" s="192" t="s">
        <v>424</v>
      </c>
      <c r="AT304" s="192" t="s">
        <v>465</v>
      </c>
      <c r="AU304" s="192" t="s">
        <v>82</v>
      </c>
      <c r="AY304" s="19" t="s">
        <v>380</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386</v>
      </c>
      <c r="BM304" s="192" t="s">
        <v>2139</v>
      </c>
    </row>
    <row r="305" spans="1:65" s="2" customFormat="1" ht="16.5" customHeight="1">
      <c r="A305" s="36"/>
      <c r="B305" s="37"/>
      <c r="C305" s="181" t="s">
        <v>1301</v>
      </c>
      <c r="D305" s="181" t="s">
        <v>382</v>
      </c>
      <c r="E305" s="182" t="s">
        <v>4560</v>
      </c>
      <c r="F305" s="183" t="s">
        <v>4561</v>
      </c>
      <c r="G305" s="184" t="s">
        <v>452</v>
      </c>
      <c r="H305" s="185">
        <v>726</v>
      </c>
      <c r="I305" s="186"/>
      <c r="J305" s="187">
        <f>ROUND(I305*H305,2)</f>
        <v>0</v>
      </c>
      <c r="K305" s="183" t="s">
        <v>19</v>
      </c>
      <c r="L305" s="41"/>
      <c r="M305" s="188" t="s">
        <v>19</v>
      </c>
      <c r="N305" s="189" t="s">
        <v>43</v>
      </c>
      <c r="O305" s="66"/>
      <c r="P305" s="190">
        <f>O305*H305</f>
        <v>0</v>
      </c>
      <c r="Q305" s="190">
        <v>0</v>
      </c>
      <c r="R305" s="190">
        <f>Q305*H305</f>
        <v>0</v>
      </c>
      <c r="S305" s="190">
        <v>0</v>
      </c>
      <c r="T305" s="191">
        <f>S305*H305</f>
        <v>0</v>
      </c>
      <c r="U305" s="36"/>
      <c r="V305" s="36"/>
      <c r="W305" s="36"/>
      <c r="X305" s="36"/>
      <c r="Y305" s="36"/>
      <c r="Z305" s="36"/>
      <c r="AA305" s="36"/>
      <c r="AB305" s="36"/>
      <c r="AC305" s="36"/>
      <c r="AD305" s="36"/>
      <c r="AE305" s="36"/>
      <c r="AR305" s="192" t="s">
        <v>386</v>
      </c>
      <c r="AT305" s="192" t="s">
        <v>382</v>
      </c>
      <c r="AU305" s="192" t="s">
        <v>82</v>
      </c>
      <c r="AY305" s="19" t="s">
        <v>380</v>
      </c>
      <c r="BE305" s="193">
        <f>IF(N305="základní",J305,0)</f>
        <v>0</v>
      </c>
      <c r="BF305" s="193">
        <f>IF(N305="snížená",J305,0)</f>
        <v>0</v>
      </c>
      <c r="BG305" s="193">
        <f>IF(N305="zákl. přenesená",J305,0)</f>
        <v>0</v>
      </c>
      <c r="BH305" s="193">
        <f>IF(N305="sníž. přenesená",J305,0)</f>
        <v>0</v>
      </c>
      <c r="BI305" s="193">
        <f>IF(N305="nulová",J305,0)</f>
        <v>0</v>
      </c>
      <c r="BJ305" s="19" t="s">
        <v>79</v>
      </c>
      <c r="BK305" s="193">
        <f>ROUND(I305*H305,2)</f>
        <v>0</v>
      </c>
      <c r="BL305" s="19" t="s">
        <v>386</v>
      </c>
      <c r="BM305" s="192" t="s">
        <v>2147</v>
      </c>
    </row>
    <row r="306" spans="1:65" s="2" customFormat="1" ht="16.5" customHeight="1">
      <c r="A306" s="36"/>
      <c r="B306" s="37"/>
      <c r="C306" s="227" t="s">
        <v>1305</v>
      </c>
      <c r="D306" s="227" t="s">
        <v>465</v>
      </c>
      <c r="E306" s="228" t="s">
        <v>4562</v>
      </c>
      <c r="F306" s="229" t="s">
        <v>4563</v>
      </c>
      <c r="G306" s="230" t="s">
        <v>2678</v>
      </c>
      <c r="H306" s="231">
        <v>81.81</v>
      </c>
      <c r="I306" s="232"/>
      <c r="J306" s="233">
        <f>ROUND(I306*H306,2)</f>
        <v>0</v>
      </c>
      <c r="K306" s="229" t="s">
        <v>19</v>
      </c>
      <c r="L306" s="234"/>
      <c r="M306" s="235" t="s">
        <v>19</v>
      </c>
      <c r="N306" s="236" t="s">
        <v>43</v>
      </c>
      <c r="O306" s="66"/>
      <c r="P306" s="190">
        <f>O306*H306</f>
        <v>0</v>
      </c>
      <c r="Q306" s="190">
        <v>1E-3</v>
      </c>
      <c r="R306" s="190">
        <f>Q306*H306</f>
        <v>8.1810000000000008E-2</v>
      </c>
      <c r="S306" s="190">
        <v>0</v>
      </c>
      <c r="T306" s="191">
        <f>S306*H306</f>
        <v>0</v>
      </c>
      <c r="U306" s="36"/>
      <c r="V306" s="36"/>
      <c r="W306" s="36"/>
      <c r="X306" s="36"/>
      <c r="Y306" s="36"/>
      <c r="Z306" s="36"/>
      <c r="AA306" s="36"/>
      <c r="AB306" s="36"/>
      <c r="AC306" s="36"/>
      <c r="AD306" s="36"/>
      <c r="AE306" s="36"/>
      <c r="AR306" s="192" t="s">
        <v>424</v>
      </c>
      <c r="AT306" s="192" t="s">
        <v>465</v>
      </c>
      <c r="AU306" s="192" t="s">
        <v>82</v>
      </c>
      <c r="AY306" s="19" t="s">
        <v>380</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386</v>
      </c>
      <c r="BM306" s="192" t="s">
        <v>2155</v>
      </c>
    </row>
    <row r="307" spans="1:65" s="14" customFormat="1" ht="11.25">
      <c r="B307" s="205"/>
      <c r="C307" s="206"/>
      <c r="D307" s="196" t="s">
        <v>388</v>
      </c>
      <c r="E307" s="207" t="s">
        <v>19</v>
      </c>
      <c r="F307" s="208" t="s">
        <v>4564</v>
      </c>
      <c r="G307" s="206"/>
      <c r="H307" s="209">
        <v>81.81</v>
      </c>
      <c r="I307" s="210"/>
      <c r="J307" s="206"/>
      <c r="K307" s="206"/>
      <c r="L307" s="211"/>
      <c r="M307" s="212"/>
      <c r="N307" s="213"/>
      <c r="O307" s="213"/>
      <c r="P307" s="213"/>
      <c r="Q307" s="213"/>
      <c r="R307" s="213"/>
      <c r="S307" s="213"/>
      <c r="T307" s="214"/>
      <c r="AT307" s="215" t="s">
        <v>388</v>
      </c>
      <c r="AU307" s="215" t="s">
        <v>82</v>
      </c>
      <c r="AV307" s="14" t="s">
        <v>82</v>
      </c>
      <c r="AW307" s="14" t="s">
        <v>33</v>
      </c>
      <c r="AX307" s="14" t="s">
        <v>72</v>
      </c>
      <c r="AY307" s="215" t="s">
        <v>380</v>
      </c>
    </row>
    <row r="308" spans="1:65" s="15" customFormat="1" ht="11.25">
      <c r="B308" s="216"/>
      <c r="C308" s="217"/>
      <c r="D308" s="196" t="s">
        <v>388</v>
      </c>
      <c r="E308" s="218" t="s">
        <v>19</v>
      </c>
      <c r="F308" s="219" t="s">
        <v>419</v>
      </c>
      <c r="G308" s="217"/>
      <c r="H308" s="220">
        <v>81.81</v>
      </c>
      <c r="I308" s="221"/>
      <c r="J308" s="217"/>
      <c r="K308" s="217"/>
      <c r="L308" s="222"/>
      <c r="M308" s="223"/>
      <c r="N308" s="224"/>
      <c r="O308" s="224"/>
      <c r="P308" s="224"/>
      <c r="Q308" s="224"/>
      <c r="R308" s="224"/>
      <c r="S308" s="224"/>
      <c r="T308" s="225"/>
      <c r="AT308" s="226" t="s">
        <v>388</v>
      </c>
      <c r="AU308" s="226" t="s">
        <v>82</v>
      </c>
      <c r="AV308" s="15" t="s">
        <v>386</v>
      </c>
      <c r="AW308" s="15" t="s">
        <v>33</v>
      </c>
      <c r="AX308" s="15" t="s">
        <v>79</v>
      </c>
      <c r="AY308" s="226" t="s">
        <v>380</v>
      </c>
    </row>
    <row r="309" spans="1:65" s="2" customFormat="1" ht="16.5" customHeight="1">
      <c r="A309" s="36"/>
      <c r="B309" s="37"/>
      <c r="C309" s="227" t="s">
        <v>1309</v>
      </c>
      <c r="D309" s="227" t="s">
        <v>465</v>
      </c>
      <c r="E309" s="228" t="s">
        <v>4565</v>
      </c>
      <c r="F309" s="229" t="s">
        <v>4566</v>
      </c>
      <c r="G309" s="230" t="s">
        <v>2678</v>
      </c>
      <c r="H309" s="231">
        <v>50</v>
      </c>
      <c r="I309" s="232"/>
      <c r="J309" s="233">
        <f>ROUND(I309*H309,2)</f>
        <v>0</v>
      </c>
      <c r="K309" s="229" t="s">
        <v>19</v>
      </c>
      <c r="L309" s="234"/>
      <c r="M309" s="235" t="s">
        <v>19</v>
      </c>
      <c r="N309" s="236" t="s">
        <v>43</v>
      </c>
      <c r="O309" s="66"/>
      <c r="P309" s="190">
        <f>O309*H309</f>
        <v>0</v>
      </c>
      <c r="Q309" s="190">
        <v>1E-3</v>
      </c>
      <c r="R309" s="190">
        <f>Q309*H309</f>
        <v>0.05</v>
      </c>
      <c r="S309" s="190">
        <v>0</v>
      </c>
      <c r="T309" s="191">
        <f>S309*H309</f>
        <v>0</v>
      </c>
      <c r="U309" s="36"/>
      <c r="V309" s="36"/>
      <c r="W309" s="36"/>
      <c r="X309" s="36"/>
      <c r="Y309" s="36"/>
      <c r="Z309" s="36"/>
      <c r="AA309" s="36"/>
      <c r="AB309" s="36"/>
      <c r="AC309" s="36"/>
      <c r="AD309" s="36"/>
      <c r="AE309" s="36"/>
      <c r="AR309" s="192" t="s">
        <v>424</v>
      </c>
      <c r="AT309" s="192" t="s">
        <v>465</v>
      </c>
      <c r="AU309" s="192" t="s">
        <v>82</v>
      </c>
      <c r="AY309" s="19" t="s">
        <v>380</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386</v>
      </c>
      <c r="BM309" s="192" t="s">
        <v>2163</v>
      </c>
    </row>
    <row r="310" spans="1:65" s="2" customFormat="1" ht="16.5" customHeight="1">
      <c r="A310" s="36"/>
      <c r="B310" s="37"/>
      <c r="C310" s="227" t="s">
        <v>1313</v>
      </c>
      <c r="D310" s="227" t="s">
        <v>465</v>
      </c>
      <c r="E310" s="228" t="s">
        <v>4567</v>
      </c>
      <c r="F310" s="229" t="s">
        <v>4568</v>
      </c>
      <c r="G310" s="230" t="s">
        <v>452</v>
      </c>
      <c r="H310" s="231">
        <v>70</v>
      </c>
      <c r="I310" s="232"/>
      <c r="J310" s="233">
        <f>ROUND(I310*H310,2)</f>
        <v>0</v>
      </c>
      <c r="K310" s="229" t="s">
        <v>19</v>
      </c>
      <c r="L310" s="234"/>
      <c r="M310" s="235" t="s">
        <v>19</v>
      </c>
      <c r="N310" s="236" t="s">
        <v>43</v>
      </c>
      <c r="O310" s="66"/>
      <c r="P310" s="190">
        <f>O310*H310</f>
        <v>0</v>
      </c>
      <c r="Q310" s="190">
        <v>1E-3</v>
      </c>
      <c r="R310" s="190">
        <f>Q310*H310</f>
        <v>7.0000000000000007E-2</v>
      </c>
      <c r="S310" s="190">
        <v>0</v>
      </c>
      <c r="T310" s="191">
        <f>S310*H310</f>
        <v>0</v>
      </c>
      <c r="U310" s="36"/>
      <c r="V310" s="36"/>
      <c r="W310" s="36"/>
      <c r="X310" s="36"/>
      <c r="Y310" s="36"/>
      <c r="Z310" s="36"/>
      <c r="AA310" s="36"/>
      <c r="AB310" s="36"/>
      <c r="AC310" s="36"/>
      <c r="AD310" s="36"/>
      <c r="AE310" s="36"/>
      <c r="AR310" s="192" t="s">
        <v>424</v>
      </c>
      <c r="AT310" s="192" t="s">
        <v>465</v>
      </c>
      <c r="AU310" s="192" t="s">
        <v>82</v>
      </c>
      <c r="AY310" s="19" t="s">
        <v>380</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386</v>
      </c>
      <c r="BM310" s="192" t="s">
        <v>199</v>
      </c>
    </row>
    <row r="311" spans="1:65" s="2" customFormat="1" ht="19.5">
      <c r="A311" s="36"/>
      <c r="B311" s="37"/>
      <c r="C311" s="38"/>
      <c r="D311" s="196" t="s">
        <v>1226</v>
      </c>
      <c r="E311" s="38"/>
      <c r="F311" s="248" t="s">
        <v>4569</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1226</v>
      </c>
      <c r="AU311" s="19" t="s">
        <v>82</v>
      </c>
    </row>
    <row r="312" spans="1:65" s="2" customFormat="1" ht="16.5" customHeight="1">
      <c r="A312" s="36"/>
      <c r="B312" s="37"/>
      <c r="C312" s="227" t="s">
        <v>1322</v>
      </c>
      <c r="D312" s="227" t="s">
        <v>465</v>
      </c>
      <c r="E312" s="228" t="s">
        <v>4570</v>
      </c>
      <c r="F312" s="229" t="s">
        <v>4571</v>
      </c>
      <c r="G312" s="230" t="s">
        <v>4572</v>
      </c>
      <c r="H312" s="231">
        <v>10</v>
      </c>
      <c r="I312" s="232"/>
      <c r="J312" s="233">
        <f>ROUND(I312*H312,2)</f>
        <v>0</v>
      </c>
      <c r="K312" s="229" t="s">
        <v>19</v>
      </c>
      <c r="L312" s="234"/>
      <c r="M312" s="235" t="s">
        <v>19</v>
      </c>
      <c r="N312" s="236" t="s">
        <v>43</v>
      </c>
      <c r="O312" s="66"/>
      <c r="P312" s="190">
        <f>O312*H312</f>
        <v>0</v>
      </c>
      <c r="Q312" s="190">
        <v>1E-3</v>
      </c>
      <c r="R312" s="190">
        <f>Q312*H312</f>
        <v>0.01</v>
      </c>
      <c r="S312" s="190">
        <v>0</v>
      </c>
      <c r="T312" s="191">
        <f>S312*H312</f>
        <v>0</v>
      </c>
      <c r="U312" s="36"/>
      <c r="V312" s="36"/>
      <c r="W312" s="36"/>
      <c r="X312" s="36"/>
      <c r="Y312" s="36"/>
      <c r="Z312" s="36"/>
      <c r="AA312" s="36"/>
      <c r="AB312" s="36"/>
      <c r="AC312" s="36"/>
      <c r="AD312" s="36"/>
      <c r="AE312" s="36"/>
      <c r="AR312" s="192" t="s">
        <v>424</v>
      </c>
      <c r="AT312" s="192" t="s">
        <v>465</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386</v>
      </c>
      <c r="BM312" s="192" t="s">
        <v>202</v>
      </c>
    </row>
    <row r="313" spans="1:65" s="2" customFormat="1" ht="19.5">
      <c r="A313" s="36"/>
      <c r="B313" s="37"/>
      <c r="C313" s="38"/>
      <c r="D313" s="196" t="s">
        <v>1226</v>
      </c>
      <c r="E313" s="38"/>
      <c r="F313" s="248" t="s">
        <v>4569</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1226</v>
      </c>
      <c r="AU313" s="19" t="s">
        <v>82</v>
      </c>
    </row>
    <row r="314" spans="1:65" s="2" customFormat="1" ht="16.5" customHeight="1">
      <c r="A314" s="36"/>
      <c r="B314" s="37"/>
      <c r="C314" s="227" t="s">
        <v>1331</v>
      </c>
      <c r="D314" s="227" t="s">
        <v>465</v>
      </c>
      <c r="E314" s="228" t="s">
        <v>4573</v>
      </c>
      <c r="F314" s="229" t="s">
        <v>4574</v>
      </c>
      <c r="G314" s="230" t="s">
        <v>641</v>
      </c>
      <c r="H314" s="231">
        <v>84</v>
      </c>
      <c r="I314" s="232"/>
      <c r="J314" s="233">
        <f t="shared" ref="J314:J329" si="50">ROUND(I314*H314,2)</f>
        <v>0</v>
      </c>
      <c r="K314" s="229" t="s">
        <v>19</v>
      </c>
      <c r="L314" s="234"/>
      <c r="M314" s="235" t="s">
        <v>19</v>
      </c>
      <c r="N314" s="236" t="s">
        <v>43</v>
      </c>
      <c r="O314" s="66"/>
      <c r="P314" s="190">
        <f t="shared" ref="P314:P329" si="51">O314*H314</f>
        <v>0</v>
      </c>
      <c r="Q314" s="190">
        <v>1.3999999999999999E-4</v>
      </c>
      <c r="R314" s="190">
        <f t="shared" ref="R314:R329" si="52">Q314*H314</f>
        <v>1.176E-2</v>
      </c>
      <c r="S314" s="190">
        <v>0</v>
      </c>
      <c r="T314" s="191">
        <f t="shared" ref="T314:T329" si="53">S314*H314</f>
        <v>0</v>
      </c>
      <c r="U314" s="36"/>
      <c r="V314" s="36"/>
      <c r="W314" s="36"/>
      <c r="X314" s="36"/>
      <c r="Y314" s="36"/>
      <c r="Z314" s="36"/>
      <c r="AA314" s="36"/>
      <c r="AB314" s="36"/>
      <c r="AC314" s="36"/>
      <c r="AD314" s="36"/>
      <c r="AE314" s="36"/>
      <c r="AR314" s="192" t="s">
        <v>424</v>
      </c>
      <c r="AT314" s="192" t="s">
        <v>465</v>
      </c>
      <c r="AU314" s="192" t="s">
        <v>82</v>
      </c>
      <c r="AY314" s="19" t="s">
        <v>380</v>
      </c>
      <c r="BE314" s="193">
        <f t="shared" ref="BE314:BE329" si="54">IF(N314="základní",J314,0)</f>
        <v>0</v>
      </c>
      <c r="BF314" s="193">
        <f t="shared" ref="BF314:BF329" si="55">IF(N314="snížená",J314,0)</f>
        <v>0</v>
      </c>
      <c r="BG314" s="193">
        <f t="shared" ref="BG314:BG329" si="56">IF(N314="zákl. přenesená",J314,0)</f>
        <v>0</v>
      </c>
      <c r="BH314" s="193">
        <f t="shared" ref="BH314:BH329" si="57">IF(N314="sníž. přenesená",J314,0)</f>
        <v>0</v>
      </c>
      <c r="BI314" s="193">
        <f t="shared" ref="BI314:BI329" si="58">IF(N314="nulová",J314,0)</f>
        <v>0</v>
      </c>
      <c r="BJ314" s="19" t="s">
        <v>79</v>
      </c>
      <c r="BK314" s="193">
        <f t="shared" ref="BK314:BK329" si="59">ROUND(I314*H314,2)</f>
        <v>0</v>
      </c>
      <c r="BL314" s="19" t="s">
        <v>386</v>
      </c>
      <c r="BM314" s="192" t="s">
        <v>2184</v>
      </c>
    </row>
    <row r="315" spans="1:65" s="2" customFormat="1" ht="16.5" customHeight="1">
      <c r="A315" s="36"/>
      <c r="B315" s="37"/>
      <c r="C315" s="227" t="s">
        <v>1340</v>
      </c>
      <c r="D315" s="227" t="s">
        <v>465</v>
      </c>
      <c r="E315" s="228" t="s">
        <v>4575</v>
      </c>
      <c r="F315" s="229" t="s">
        <v>4576</v>
      </c>
      <c r="G315" s="230" t="s">
        <v>641</v>
      </c>
      <c r="H315" s="231">
        <v>150</v>
      </c>
      <c r="I315" s="232"/>
      <c r="J315" s="233">
        <f t="shared" si="50"/>
        <v>0</v>
      </c>
      <c r="K315" s="229" t="s">
        <v>19</v>
      </c>
      <c r="L315" s="234"/>
      <c r="M315" s="235" t="s">
        <v>19</v>
      </c>
      <c r="N315" s="236" t="s">
        <v>43</v>
      </c>
      <c r="O315" s="66"/>
      <c r="P315" s="190">
        <f t="shared" si="51"/>
        <v>0</v>
      </c>
      <c r="Q315" s="190">
        <v>2.5000000000000001E-4</v>
      </c>
      <c r="R315" s="190">
        <f t="shared" si="52"/>
        <v>3.7499999999999999E-2</v>
      </c>
      <c r="S315" s="190">
        <v>0</v>
      </c>
      <c r="T315" s="191">
        <f t="shared" si="53"/>
        <v>0</v>
      </c>
      <c r="U315" s="36"/>
      <c r="V315" s="36"/>
      <c r="W315" s="36"/>
      <c r="X315" s="36"/>
      <c r="Y315" s="36"/>
      <c r="Z315" s="36"/>
      <c r="AA315" s="36"/>
      <c r="AB315" s="36"/>
      <c r="AC315" s="36"/>
      <c r="AD315" s="36"/>
      <c r="AE315" s="36"/>
      <c r="AR315" s="192" t="s">
        <v>424</v>
      </c>
      <c r="AT315" s="192" t="s">
        <v>465</v>
      </c>
      <c r="AU315" s="192" t="s">
        <v>82</v>
      </c>
      <c r="AY315" s="19" t="s">
        <v>380</v>
      </c>
      <c r="BE315" s="193">
        <f t="shared" si="54"/>
        <v>0</v>
      </c>
      <c r="BF315" s="193">
        <f t="shared" si="55"/>
        <v>0</v>
      </c>
      <c r="BG315" s="193">
        <f t="shared" si="56"/>
        <v>0</v>
      </c>
      <c r="BH315" s="193">
        <f t="shared" si="57"/>
        <v>0</v>
      </c>
      <c r="BI315" s="193">
        <f t="shared" si="58"/>
        <v>0</v>
      </c>
      <c r="BJ315" s="19" t="s">
        <v>79</v>
      </c>
      <c r="BK315" s="193">
        <f t="shared" si="59"/>
        <v>0</v>
      </c>
      <c r="BL315" s="19" t="s">
        <v>386</v>
      </c>
      <c r="BM315" s="192" t="s">
        <v>2192</v>
      </c>
    </row>
    <row r="316" spans="1:65" s="2" customFormat="1" ht="16.5" customHeight="1">
      <c r="A316" s="36"/>
      <c r="B316" s="37"/>
      <c r="C316" s="227" t="s">
        <v>1348</v>
      </c>
      <c r="D316" s="227" t="s">
        <v>465</v>
      </c>
      <c r="E316" s="228" t="s">
        <v>4577</v>
      </c>
      <c r="F316" s="229" t="s">
        <v>4578</v>
      </c>
      <c r="G316" s="230" t="s">
        <v>641</v>
      </c>
      <c r="H316" s="231">
        <v>220</v>
      </c>
      <c r="I316" s="232"/>
      <c r="J316" s="233">
        <f t="shared" si="50"/>
        <v>0</v>
      </c>
      <c r="K316" s="229" t="s">
        <v>19</v>
      </c>
      <c r="L316" s="234"/>
      <c r="M316" s="235" t="s">
        <v>19</v>
      </c>
      <c r="N316" s="236" t="s">
        <v>43</v>
      </c>
      <c r="O316" s="66"/>
      <c r="P316" s="190">
        <f t="shared" si="51"/>
        <v>0</v>
      </c>
      <c r="Q316" s="190">
        <v>2.1000000000000001E-4</v>
      </c>
      <c r="R316" s="190">
        <f t="shared" si="52"/>
        <v>4.6200000000000005E-2</v>
      </c>
      <c r="S316" s="190">
        <v>0</v>
      </c>
      <c r="T316" s="191">
        <f t="shared" si="53"/>
        <v>0</v>
      </c>
      <c r="U316" s="36"/>
      <c r="V316" s="36"/>
      <c r="W316" s="36"/>
      <c r="X316" s="36"/>
      <c r="Y316" s="36"/>
      <c r="Z316" s="36"/>
      <c r="AA316" s="36"/>
      <c r="AB316" s="36"/>
      <c r="AC316" s="36"/>
      <c r="AD316" s="36"/>
      <c r="AE316" s="36"/>
      <c r="AR316" s="192" t="s">
        <v>424</v>
      </c>
      <c r="AT316" s="192" t="s">
        <v>465</v>
      </c>
      <c r="AU316" s="192" t="s">
        <v>82</v>
      </c>
      <c r="AY316" s="19" t="s">
        <v>380</v>
      </c>
      <c r="BE316" s="193">
        <f t="shared" si="54"/>
        <v>0</v>
      </c>
      <c r="BF316" s="193">
        <f t="shared" si="55"/>
        <v>0</v>
      </c>
      <c r="BG316" s="193">
        <f t="shared" si="56"/>
        <v>0</v>
      </c>
      <c r="BH316" s="193">
        <f t="shared" si="57"/>
        <v>0</v>
      </c>
      <c r="BI316" s="193">
        <f t="shared" si="58"/>
        <v>0</v>
      </c>
      <c r="BJ316" s="19" t="s">
        <v>79</v>
      </c>
      <c r="BK316" s="193">
        <f t="shared" si="59"/>
        <v>0</v>
      </c>
      <c r="BL316" s="19" t="s">
        <v>386</v>
      </c>
      <c r="BM316" s="192" t="s">
        <v>2202</v>
      </c>
    </row>
    <row r="317" spans="1:65" s="2" customFormat="1" ht="16.5" customHeight="1">
      <c r="A317" s="36"/>
      <c r="B317" s="37"/>
      <c r="C317" s="181" t="s">
        <v>1353</v>
      </c>
      <c r="D317" s="181" t="s">
        <v>382</v>
      </c>
      <c r="E317" s="182" t="s">
        <v>4579</v>
      </c>
      <c r="F317" s="183" t="s">
        <v>4580</v>
      </c>
      <c r="G317" s="184" t="s">
        <v>641</v>
      </c>
      <c r="H317" s="185">
        <v>33</v>
      </c>
      <c r="I317" s="186"/>
      <c r="J317" s="187">
        <f t="shared" si="50"/>
        <v>0</v>
      </c>
      <c r="K317" s="183" t="s">
        <v>19</v>
      </c>
      <c r="L317" s="41"/>
      <c r="M317" s="188" t="s">
        <v>19</v>
      </c>
      <c r="N317" s="189" t="s">
        <v>43</v>
      </c>
      <c r="O317" s="66"/>
      <c r="P317" s="190">
        <f t="shared" si="51"/>
        <v>0</v>
      </c>
      <c r="Q317" s="190">
        <v>0</v>
      </c>
      <c r="R317" s="190">
        <f t="shared" si="52"/>
        <v>0</v>
      </c>
      <c r="S317" s="190">
        <v>0</v>
      </c>
      <c r="T317" s="191">
        <f t="shared" si="53"/>
        <v>0</v>
      </c>
      <c r="U317" s="36"/>
      <c r="V317" s="36"/>
      <c r="W317" s="36"/>
      <c r="X317" s="36"/>
      <c r="Y317" s="36"/>
      <c r="Z317" s="36"/>
      <c r="AA317" s="36"/>
      <c r="AB317" s="36"/>
      <c r="AC317" s="36"/>
      <c r="AD317" s="36"/>
      <c r="AE317" s="36"/>
      <c r="AR317" s="192" t="s">
        <v>386</v>
      </c>
      <c r="AT317" s="192" t="s">
        <v>382</v>
      </c>
      <c r="AU317" s="192" t="s">
        <v>82</v>
      </c>
      <c r="AY317" s="19" t="s">
        <v>380</v>
      </c>
      <c r="BE317" s="193">
        <f t="shared" si="54"/>
        <v>0</v>
      </c>
      <c r="BF317" s="193">
        <f t="shared" si="55"/>
        <v>0</v>
      </c>
      <c r="BG317" s="193">
        <f t="shared" si="56"/>
        <v>0</v>
      </c>
      <c r="BH317" s="193">
        <f t="shared" si="57"/>
        <v>0</v>
      </c>
      <c r="BI317" s="193">
        <f t="shared" si="58"/>
        <v>0</v>
      </c>
      <c r="BJ317" s="19" t="s">
        <v>79</v>
      </c>
      <c r="BK317" s="193">
        <f t="shared" si="59"/>
        <v>0</v>
      </c>
      <c r="BL317" s="19" t="s">
        <v>386</v>
      </c>
      <c r="BM317" s="192" t="s">
        <v>2214</v>
      </c>
    </row>
    <row r="318" spans="1:65" s="2" customFormat="1" ht="16.5" customHeight="1">
      <c r="A318" s="36"/>
      <c r="B318" s="37"/>
      <c r="C318" s="181" t="s">
        <v>1358</v>
      </c>
      <c r="D318" s="181" t="s">
        <v>382</v>
      </c>
      <c r="E318" s="182" t="s">
        <v>4581</v>
      </c>
      <c r="F318" s="183" t="s">
        <v>4582</v>
      </c>
      <c r="G318" s="184" t="s">
        <v>641</v>
      </c>
      <c r="H318" s="185">
        <v>20</v>
      </c>
      <c r="I318" s="186"/>
      <c r="J318" s="187">
        <f t="shared" si="50"/>
        <v>0</v>
      </c>
      <c r="K318" s="183" t="s">
        <v>19</v>
      </c>
      <c r="L318" s="41"/>
      <c r="M318" s="188" t="s">
        <v>19</v>
      </c>
      <c r="N318" s="189" t="s">
        <v>43</v>
      </c>
      <c r="O318" s="66"/>
      <c r="P318" s="190">
        <f t="shared" si="51"/>
        <v>0</v>
      </c>
      <c r="Q318" s="190">
        <v>0</v>
      </c>
      <c r="R318" s="190">
        <f t="shared" si="52"/>
        <v>0</v>
      </c>
      <c r="S318" s="190">
        <v>0</v>
      </c>
      <c r="T318" s="191">
        <f t="shared" si="53"/>
        <v>0</v>
      </c>
      <c r="U318" s="36"/>
      <c r="V318" s="36"/>
      <c r="W318" s="36"/>
      <c r="X318" s="36"/>
      <c r="Y318" s="36"/>
      <c r="Z318" s="36"/>
      <c r="AA318" s="36"/>
      <c r="AB318" s="36"/>
      <c r="AC318" s="36"/>
      <c r="AD318" s="36"/>
      <c r="AE318" s="36"/>
      <c r="AR318" s="192" t="s">
        <v>386</v>
      </c>
      <c r="AT318" s="192" t="s">
        <v>382</v>
      </c>
      <c r="AU318" s="192" t="s">
        <v>82</v>
      </c>
      <c r="AY318" s="19" t="s">
        <v>380</v>
      </c>
      <c r="BE318" s="193">
        <f t="shared" si="54"/>
        <v>0</v>
      </c>
      <c r="BF318" s="193">
        <f t="shared" si="55"/>
        <v>0</v>
      </c>
      <c r="BG318" s="193">
        <f t="shared" si="56"/>
        <v>0</v>
      </c>
      <c r="BH318" s="193">
        <f t="shared" si="57"/>
        <v>0</v>
      </c>
      <c r="BI318" s="193">
        <f t="shared" si="58"/>
        <v>0</v>
      </c>
      <c r="BJ318" s="19" t="s">
        <v>79</v>
      </c>
      <c r="BK318" s="193">
        <f t="shared" si="59"/>
        <v>0</v>
      </c>
      <c r="BL318" s="19" t="s">
        <v>386</v>
      </c>
      <c r="BM318" s="192" t="s">
        <v>2225</v>
      </c>
    </row>
    <row r="319" spans="1:65" s="2" customFormat="1" ht="16.5" customHeight="1">
      <c r="A319" s="36"/>
      <c r="B319" s="37"/>
      <c r="C319" s="227" t="s">
        <v>1363</v>
      </c>
      <c r="D319" s="227" t="s">
        <v>465</v>
      </c>
      <c r="E319" s="228" t="s">
        <v>4583</v>
      </c>
      <c r="F319" s="229" t="s">
        <v>4584</v>
      </c>
      <c r="G319" s="230" t="s">
        <v>641</v>
      </c>
      <c r="H319" s="231">
        <v>20</v>
      </c>
      <c r="I319" s="232"/>
      <c r="J319" s="233">
        <f t="shared" si="50"/>
        <v>0</v>
      </c>
      <c r="K319" s="229" t="s">
        <v>19</v>
      </c>
      <c r="L319" s="234"/>
      <c r="M319" s="235" t="s">
        <v>19</v>
      </c>
      <c r="N319" s="236" t="s">
        <v>43</v>
      </c>
      <c r="O319" s="66"/>
      <c r="P319" s="190">
        <f t="shared" si="51"/>
        <v>0</v>
      </c>
      <c r="Q319" s="190">
        <v>4.0000000000000001E-3</v>
      </c>
      <c r="R319" s="190">
        <f t="shared" si="52"/>
        <v>0.08</v>
      </c>
      <c r="S319" s="190">
        <v>0</v>
      </c>
      <c r="T319" s="191">
        <f t="shared" si="53"/>
        <v>0</v>
      </c>
      <c r="U319" s="36"/>
      <c r="V319" s="36"/>
      <c r="W319" s="36"/>
      <c r="X319" s="36"/>
      <c r="Y319" s="36"/>
      <c r="Z319" s="36"/>
      <c r="AA319" s="36"/>
      <c r="AB319" s="36"/>
      <c r="AC319" s="36"/>
      <c r="AD319" s="36"/>
      <c r="AE319" s="36"/>
      <c r="AR319" s="192" t="s">
        <v>424</v>
      </c>
      <c r="AT319" s="192" t="s">
        <v>465</v>
      </c>
      <c r="AU319" s="192" t="s">
        <v>82</v>
      </c>
      <c r="AY319" s="19" t="s">
        <v>380</v>
      </c>
      <c r="BE319" s="193">
        <f t="shared" si="54"/>
        <v>0</v>
      </c>
      <c r="BF319" s="193">
        <f t="shared" si="55"/>
        <v>0</v>
      </c>
      <c r="BG319" s="193">
        <f t="shared" si="56"/>
        <v>0</v>
      </c>
      <c r="BH319" s="193">
        <f t="shared" si="57"/>
        <v>0</v>
      </c>
      <c r="BI319" s="193">
        <f t="shared" si="58"/>
        <v>0</v>
      </c>
      <c r="BJ319" s="19" t="s">
        <v>79</v>
      </c>
      <c r="BK319" s="193">
        <f t="shared" si="59"/>
        <v>0</v>
      </c>
      <c r="BL319" s="19" t="s">
        <v>386</v>
      </c>
      <c r="BM319" s="192" t="s">
        <v>2245</v>
      </c>
    </row>
    <row r="320" spans="1:65" s="2" customFormat="1" ht="16.5" customHeight="1">
      <c r="A320" s="36"/>
      <c r="B320" s="37"/>
      <c r="C320" s="227" t="s">
        <v>1367</v>
      </c>
      <c r="D320" s="227" t="s">
        <v>465</v>
      </c>
      <c r="E320" s="228" t="s">
        <v>4585</v>
      </c>
      <c r="F320" s="229" t="s">
        <v>4586</v>
      </c>
      <c r="G320" s="230" t="s">
        <v>2393</v>
      </c>
      <c r="H320" s="231">
        <v>20</v>
      </c>
      <c r="I320" s="232"/>
      <c r="J320" s="233">
        <f t="shared" si="50"/>
        <v>0</v>
      </c>
      <c r="K320" s="229" t="s">
        <v>19</v>
      </c>
      <c r="L320" s="234"/>
      <c r="M320" s="235" t="s">
        <v>19</v>
      </c>
      <c r="N320" s="236" t="s">
        <v>43</v>
      </c>
      <c r="O320" s="66"/>
      <c r="P320" s="190">
        <f t="shared" si="51"/>
        <v>0</v>
      </c>
      <c r="Q320" s="190">
        <v>0</v>
      </c>
      <c r="R320" s="190">
        <f t="shared" si="52"/>
        <v>0</v>
      </c>
      <c r="S320" s="190">
        <v>0</v>
      </c>
      <c r="T320" s="191">
        <f t="shared" si="53"/>
        <v>0</v>
      </c>
      <c r="U320" s="36"/>
      <c r="V320" s="36"/>
      <c r="W320" s="36"/>
      <c r="X320" s="36"/>
      <c r="Y320" s="36"/>
      <c r="Z320" s="36"/>
      <c r="AA320" s="36"/>
      <c r="AB320" s="36"/>
      <c r="AC320" s="36"/>
      <c r="AD320" s="36"/>
      <c r="AE320" s="36"/>
      <c r="AR320" s="192" t="s">
        <v>424</v>
      </c>
      <c r="AT320" s="192" t="s">
        <v>465</v>
      </c>
      <c r="AU320" s="192" t="s">
        <v>82</v>
      </c>
      <c r="AY320" s="19" t="s">
        <v>380</v>
      </c>
      <c r="BE320" s="193">
        <f t="shared" si="54"/>
        <v>0</v>
      </c>
      <c r="BF320" s="193">
        <f t="shared" si="55"/>
        <v>0</v>
      </c>
      <c r="BG320" s="193">
        <f t="shared" si="56"/>
        <v>0</v>
      </c>
      <c r="BH320" s="193">
        <f t="shared" si="57"/>
        <v>0</v>
      </c>
      <c r="BI320" s="193">
        <f t="shared" si="58"/>
        <v>0</v>
      </c>
      <c r="BJ320" s="19" t="s">
        <v>79</v>
      </c>
      <c r="BK320" s="193">
        <f t="shared" si="59"/>
        <v>0</v>
      </c>
      <c r="BL320" s="19" t="s">
        <v>386</v>
      </c>
      <c r="BM320" s="192" t="s">
        <v>2263</v>
      </c>
    </row>
    <row r="321" spans="1:65" s="2" customFormat="1" ht="16.5" customHeight="1">
      <c r="A321" s="36"/>
      <c r="B321" s="37"/>
      <c r="C321" s="227" t="s">
        <v>1373</v>
      </c>
      <c r="D321" s="227" t="s">
        <v>465</v>
      </c>
      <c r="E321" s="228" t="s">
        <v>4587</v>
      </c>
      <c r="F321" s="229" t="s">
        <v>4588</v>
      </c>
      <c r="G321" s="230" t="s">
        <v>641</v>
      </c>
      <c r="H321" s="231">
        <v>20</v>
      </c>
      <c r="I321" s="232"/>
      <c r="J321" s="233">
        <f t="shared" si="50"/>
        <v>0</v>
      </c>
      <c r="K321" s="229" t="s">
        <v>19</v>
      </c>
      <c r="L321" s="234"/>
      <c r="M321" s="235" t="s">
        <v>19</v>
      </c>
      <c r="N321" s="236" t="s">
        <v>43</v>
      </c>
      <c r="O321" s="66"/>
      <c r="P321" s="190">
        <f t="shared" si="51"/>
        <v>0</v>
      </c>
      <c r="Q321" s="190">
        <v>4.2999999999999999E-4</v>
      </c>
      <c r="R321" s="190">
        <f t="shared" si="52"/>
        <v>8.6E-3</v>
      </c>
      <c r="S321" s="190">
        <v>0</v>
      </c>
      <c r="T321" s="191">
        <f t="shared" si="53"/>
        <v>0</v>
      </c>
      <c r="U321" s="36"/>
      <c r="V321" s="36"/>
      <c r="W321" s="36"/>
      <c r="X321" s="36"/>
      <c r="Y321" s="36"/>
      <c r="Z321" s="36"/>
      <c r="AA321" s="36"/>
      <c r="AB321" s="36"/>
      <c r="AC321" s="36"/>
      <c r="AD321" s="36"/>
      <c r="AE321" s="36"/>
      <c r="AR321" s="192" t="s">
        <v>424</v>
      </c>
      <c r="AT321" s="192" t="s">
        <v>465</v>
      </c>
      <c r="AU321" s="192" t="s">
        <v>82</v>
      </c>
      <c r="AY321" s="19" t="s">
        <v>380</v>
      </c>
      <c r="BE321" s="193">
        <f t="shared" si="54"/>
        <v>0</v>
      </c>
      <c r="BF321" s="193">
        <f t="shared" si="55"/>
        <v>0</v>
      </c>
      <c r="BG321" s="193">
        <f t="shared" si="56"/>
        <v>0</v>
      </c>
      <c r="BH321" s="193">
        <f t="shared" si="57"/>
        <v>0</v>
      </c>
      <c r="BI321" s="193">
        <f t="shared" si="58"/>
        <v>0</v>
      </c>
      <c r="BJ321" s="19" t="s">
        <v>79</v>
      </c>
      <c r="BK321" s="193">
        <f t="shared" si="59"/>
        <v>0</v>
      </c>
      <c r="BL321" s="19" t="s">
        <v>386</v>
      </c>
      <c r="BM321" s="192" t="s">
        <v>2272</v>
      </c>
    </row>
    <row r="322" spans="1:65" s="2" customFormat="1" ht="16.5" customHeight="1">
      <c r="A322" s="36"/>
      <c r="B322" s="37"/>
      <c r="C322" s="181" t="s">
        <v>1382</v>
      </c>
      <c r="D322" s="181" t="s">
        <v>382</v>
      </c>
      <c r="E322" s="182" t="s">
        <v>4589</v>
      </c>
      <c r="F322" s="183" t="s">
        <v>4590</v>
      </c>
      <c r="G322" s="184" t="s">
        <v>641</v>
      </c>
      <c r="H322" s="185">
        <v>220</v>
      </c>
      <c r="I322" s="186"/>
      <c r="J322" s="187">
        <f t="shared" si="50"/>
        <v>0</v>
      </c>
      <c r="K322" s="183" t="s">
        <v>19</v>
      </c>
      <c r="L322" s="41"/>
      <c r="M322" s="188" t="s">
        <v>19</v>
      </c>
      <c r="N322" s="189" t="s">
        <v>43</v>
      </c>
      <c r="O322" s="66"/>
      <c r="P322" s="190">
        <f t="shared" si="51"/>
        <v>0</v>
      </c>
      <c r="Q322" s="190">
        <v>0</v>
      </c>
      <c r="R322" s="190">
        <f t="shared" si="52"/>
        <v>0</v>
      </c>
      <c r="S322" s="190">
        <v>0</v>
      </c>
      <c r="T322" s="191">
        <f t="shared" si="53"/>
        <v>0</v>
      </c>
      <c r="U322" s="36"/>
      <c r="V322" s="36"/>
      <c r="W322" s="36"/>
      <c r="X322" s="36"/>
      <c r="Y322" s="36"/>
      <c r="Z322" s="36"/>
      <c r="AA322" s="36"/>
      <c r="AB322" s="36"/>
      <c r="AC322" s="36"/>
      <c r="AD322" s="36"/>
      <c r="AE322" s="36"/>
      <c r="AR322" s="192" t="s">
        <v>386</v>
      </c>
      <c r="AT322" s="192" t="s">
        <v>382</v>
      </c>
      <c r="AU322" s="192" t="s">
        <v>82</v>
      </c>
      <c r="AY322" s="19" t="s">
        <v>380</v>
      </c>
      <c r="BE322" s="193">
        <f t="shared" si="54"/>
        <v>0</v>
      </c>
      <c r="BF322" s="193">
        <f t="shared" si="55"/>
        <v>0</v>
      </c>
      <c r="BG322" s="193">
        <f t="shared" si="56"/>
        <v>0</v>
      </c>
      <c r="BH322" s="193">
        <f t="shared" si="57"/>
        <v>0</v>
      </c>
      <c r="BI322" s="193">
        <f t="shared" si="58"/>
        <v>0</v>
      </c>
      <c r="BJ322" s="19" t="s">
        <v>79</v>
      </c>
      <c r="BK322" s="193">
        <f t="shared" si="59"/>
        <v>0</v>
      </c>
      <c r="BL322" s="19" t="s">
        <v>386</v>
      </c>
      <c r="BM322" s="192" t="s">
        <v>2283</v>
      </c>
    </row>
    <row r="323" spans="1:65" s="2" customFormat="1" ht="16.5" customHeight="1">
      <c r="A323" s="36"/>
      <c r="B323" s="37"/>
      <c r="C323" s="227" t="s">
        <v>1386</v>
      </c>
      <c r="D323" s="227" t="s">
        <v>465</v>
      </c>
      <c r="E323" s="228" t="s">
        <v>4591</v>
      </c>
      <c r="F323" s="229" t="s">
        <v>4592</v>
      </c>
      <c r="G323" s="230" t="s">
        <v>641</v>
      </c>
      <c r="H323" s="231">
        <v>220</v>
      </c>
      <c r="I323" s="232"/>
      <c r="J323" s="233">
        <f t="shared" si="50"/>
        <v>0</v>
      </c>
      <c r="K323" s="229" t="s">
        <v>19</v>
      </c>
      <c r="L323" s="234"/>
      <c r="M323" s="235" t="s">
        <v>19</v>
      </c>
      <c r="N323" s="236" t="s">
        <v>43</v>
      </c>
      <c r="O323" s="66"/>
      <c r="P323" s="190">
        <f t="shared" si="51"/>
        <v>0</v>
      </c>
      <c r="Q323" s="190">
        <v>2.3000000000000001E-4</v>
      </c>
      <c r="R323" s="190">
        <f t="shared" si="52"/>
        <v>5.0599999999999999E-2</v>
      </c>
      <c r="S323" s="190">
        <v>0</v>
      </c>
      <c r="T323" s="191">
        <f t="shared" si="53"/>
        <v>0</v>
      </c>
      <c r="U323" s="36"/>
      <c r="V323" s="36"/>
      <c r="W323" s="36"/>
      <c r="X323" s="36"/>
      <c r="Y323" s="36"/>
      <c r="Z323" s="36"/>
      <c r="AA323" s="36"/>
      <c r="AB323" s="36"/>
      <c r="AC323" s="36"/>
      <c r="AD323" s="36"/>
      <c r="AE323" s="36"/>
      <c r="AR323" s="192" t="s">
        <v>424</v>
      </c>
      <c r="AT323" s="192" t="s">
        <v>465</v>
      </c>
      <c r="AU323" s="192" t="s">
        <v>82</v>
      </c>
      <c r="AY323" s="19" t="s">
        <v>380</v>
      </c>
      <c r="BE323" s="193">
        <f t="shared" si="54"/>
        <v>0</v>
      </c>
      <c r="BF323" s="193">
        <f t="shared" si="55"/>
        <v>0</v>
      </c>
      <c r="BG323" s="193">
        <f t="shared" si="56"/>
        <v>0</v>
      </c>
      <c r="BH323" s="193">
        <f t="shared" si="57"/>
        <v>0</v>
      </c>
      <c r="BI323" s="193">
        <f t="shared" si="58"/>
        <v>0</v>
      </c>
      <c r="BJ323" s="19" t="s">
        <v>79</v>
      </c>
      <c r="BK323" s="193">
        <f t="shared" si="59"/>
        <v>0</v>
      </c>
      <c r="BL323" s="19" t="s">
        <v>386</v>
      </c>
      <c r="BM323" s="192" t="s">
        <v>2298</v>
      </c>
    </row>
    <row r="324" spans="1:65" s="2" customFormat="1" ht="16.5" customHeight="1">
      <c r="A324" s="36"/>
      <c r="B324" s="37"/>
      <c r="C324" s="181" t="s">
        <v>1390</v>
      </c>
      <c r="D324" s="181" t="s">
        <v>382</v>
      </c>
      <c r="E324" s="182" t="s">
        <v>4593</v>
      </c>
      <c r="F324" s="183" t="s">
        <v>4594</v>
      </c>
      <c r="G324" s="184" t="s">
        <v>641</v>
      </c>
      <c r="H324" s="185">
        <v>66</v>
      </c>
      <c r="I324" s="186"/>
      <c r="J324" s="187">
        <f t="shared" si="50"/>
        <v>0</v>
      </c>
      <c r="K324" s="183" t="s">
        <v>19</v>
      </c>
      <c r="L324" s="41"/>
      <c r="M324" s="188" t="s">
        <v>19</v>
      </c>
      <c r="N324" s="189" t="s">
        <v>43</v>
      </c>
      <c r="O324" s="66"/>
      <c r="P324" s="190">
        <f t="shared" si="51"/>
        <v>0</v>
      </c>
      <c r="Q324" s="190">
        <v>0</v>
      </c>
      <c r="R324" s="190">
        <f t="shared" si="52"/>
        <v>0</v>
      </c>
      <c r="S324" s="190">
        <v>0</v>
      </c>
      <c r="T324" s="191">
        <f t="shared" si="53"/>
        <v>0</v>
      </c>
      <c r="U324" s="36"/>
      <c r="V324" s="36"/>
      <c r="W324" s="36"/>
      <c r="X324" s="36"/>
      <c r="Y324" s="36"/>
      <c r="Z324" s="36"/>
      <c r="AA324" s="36"/>
      <c r="AB324" s="36"/>
      <c r="AC324" s="36"/>
      <c r="AD324" s="36"/>
      <c r="AE324" s="36"/>
      <c r="AR324" s="192" t="s">
        <v>386</v>
      </c>
      <c r="AT324" s="192" t="s">
        <v>382</v>
      </c>
      <c r="AU324" s="192" t="s">
        <v>82</v>
      </c>
      <c r="AY324" s="19" t="s">
        <v>380</v>
      </c>
      <c r="BE324" s="193">
        <f t="shared" si="54"/>
        <v>0</v>
      </c>
      <c r="BF324" s="193">
        <f t="shared" si="55"/>
        <v>0</v>
      </c>
      <c r="BG324" s="193">
        <f t="shared" si="56"/>
        <v>0</v>
      </c>
      <c r="BH324" s="193">
        <f t="shared" si="57"/>
        <v>0</v>
      </c>
      <c r="BI324" s="193">
        <f t="shared" si="58"/>
        <v>0</v>
      </c>
      <c r="BJ324" s="19" t="s">
        <v>79</v>
      </c>
      <c r="BK324" s="193">
        <f t="shared" si="59"/>
        <v>0</v>
      </c>
      <c r="BL324" s="19" t="s">
        <v>386</v>
      </c>
      <c r="BM324" s="192" t="s">
        <v>2314</v>
      </c>
    </row>
    <row r="325" spans="1:65" s="2" customFormat="1" ht="16.5" customHeight="1">
      <c r="A325" s="36"/>
      <c r="B325" s="37"/>
      <c r="C325" s="227" t="s">
        <v>1394</v>
      </c>
      <c r="D325" s="227" t="s">
        <v>465</v>
      </c>
      <c r="E325" s="228" t="s">
        <v>4595</v>
      </c>
      <c r="F325" s="229" t="s">
        <v>4596</v>
      </c>
      <c r="G325" s="230" t="s">
        <v>641</v>
      </c>
      <c r="H325" s="231">
        <v>52</v>
      </c>
      <c r="I325" s="232"/>
      <c r="J325" s="233">
        <f t="shared" si="50"/>
        <v>0</v>
      </c>
      <c r="K325" s="229" t="s">
        <v>19</v>
      </c>
      <c r="L325" s="234"/>
      <c r="M325" s="235" t="s">
        <v>19</v>
      </c>
      <c r="N325" s="236" t="s">
        <v>43</v>
      </c>
      <c r="O325" s="66"/>
      <c r="P325" s="190">
        <f t="shared" si="51"/>
        <v>0</v>
      </c>
      <c r="Q325" s="190">
        <v>1.6000000000000001E-4</v>
      </c>
      <c r="R325" s="190">
        <f t="shared" si="52"/>
        <v>8.320000000000001E-3</v>
      </c>
      <c r="S325" s="190">
        <v>0</v>
      </c>
      <c r="T325" s="191">
        <f t="shared" si="53"/>
        <v>0</v>
      </c>
      <c r="U325" s="36"/>
      <c r="V325" s="36"/>
      <c r="W325" s="36"/>
      <c r="X325" s="36"/>
      <c r="Y325" s="36"/>
      <c r="Z325" s="36"/>
      <c r="AA325" s="36"/>
      <c r="AB325" s="36"/>
      <c r="AC325" s="36"/>
      <c r="AD325" s="36"/>
      <c r="AE325" s="36"/>
      <c r="AR325" s="192" t="s">
        <v>424</v>
      </c>
      <c r="AT325" s="192" t="s">
        <v>465</v>
      </c>
      <c r="AU325" s="192" t="s">
        <v>82</v>
      </c>
      <c r="AY325" s="19" t="s">
        <v>380</v>
      </c>
      <c r="BE325" s="193">
        <f t="shared" si="54"/>
        <v>0</v>
      </c>
      <c r="BF325" s="193">
        <f t="shared" si="55"/>
        <v>0</v>
      </c>
      <c r="BG325" s="193">
        <f t="shared" si="56"/>
        <v>0</v>
      </c>
      <c r="BH325" s="193">
        <f t="shared" si="57"/>
        <v>0</v>
      </c>
      <c r="BI325" s="193">
        <f t="shared" si="58"/>
        <v>0</v>
      </c>
      <c r="BJ325" s="19" t="s">
        <v>79</v>
      </c>
      <c r="BK325" s="193">
        <f t="shared" si="59"/>
        <v>0</v>
      </c>
      <c r="BL325" s="19" t="s">
        <v>386</v>
      </c>
      <c r="BM325" s="192" t="s">
        <v>2327</v>
      </c>
    </row>
    <row r="326" spans="1:65" s="2" customFormat="1" ht="16.5" customHeight="1">
      <c r="A326" s="36"/>
      <c r="B326" s="37"/>
      <c r="C326" s="227" t="s">
        <v>1404</v>
      </c>
      <c r="D326" s="227" t="s">
        <v>465</v>
      </c>
      <c r="E326" s="228" t="s">
        <v>4597</v>
      </c>
      <c r="F326" s="229" t="s">
        <v>4598</v>
      </c>
      <c r="G326" s="230" t="s">
        <v>641</v>
      </c>
      <c r="H326" s="231">
        <v>14</v>
      </c>
      <c r="I326" s="232"/>
      <c r="J326" s="233">
        <f t="shared" si="50"/>
        <v>0</v>
      </c>
      <c r="K326" s="229" t="s">
        <v>19</v>
      </c>
      <c r="L326" s="234"/>
      <c r="M326" s="235" t="s">
        <v>19</v>
      </c>
      <c r="N326" s="236" t="s">
        <v>43</v>
      </c>
      <c r="O326" s="66"/>
      <c r="P326" s="190">
        <f t="shared" si="51"/>
        <v>0</v>
      </c>
      <c r="Q326" s="190">
        <v>2.0000000000000001E-4</v>
      </c>
      <c r="R326" s="190">
        <f t="shared" si="52"/>
        <v>2.8E-3</v>
      </c>
      <c r="S326" s="190">
        <v>0</v>
      </c>
      <c r="T326" s="191">
        <f t="shared" si="53"/>
        <v>0</v>
      </c>
      <c r="U326" s="36"/>
      <c r="V326" s="36"/>
      <c r="W326" s="36"/>
      <c r="X326" s="36"/>
      <c r="Y326" s="36"/>
      <c r="Z326" s="36"/>
      <c r="AA326" s="36"/>
      <c r="AB326" s="36"/>
      <c r="AC326" s="36"/>
      <c r="AD326" s="36"/>
      <c r="AE326" s="36"/>
      <c r="AR326" s="192" t="s">
        <v>424</v>
      </c>
      <c r="AT326" s="192" t="s">
        <v>465</v>
      </c>
      <c r="AU326" s="192" t="s">
        <v>82</v>
      </c>
      <c r="AY326" s="19" t="s">
        <v>380</v>
      </c>
      <c r="BE326" s="193">
        <f t="shared" si="54"/>
        <v>0</v>
      </c>
      <c r="BF326" s="193">
        <f t="shared" si="55"/>
        <v>0</v>
      </c>
      <c r="BG326" s="193">
        <f t="shared" si="56"/>
        <v>0</v>
      </c>
      <c r="BH326" s="193">
        <f t="shared" si="57"/>
        <v>0</v>
      </c>
      <c r="BI326" s="193">
        <f t="shared" si="58"/>
        <v>0</v>
      </c>
      <c r="BJ326" s="19" t="s">
        <v>79</v>
      </c>
      <c r="BK326" s="193">
        <f t="shared" si="59"/>
        <v>0</v>
      </c>
      <c r="BL326" s="19" t="s">
        <v>386</v>
      </c>
      <c r="BM326" s="192" t="s">
        <v>4599</v>
      </c>
    </row>
    <row r="327" spans="1:65" s="2" customFormat="1" ht="16.5" customHeight="1">
      <c r="A327" s="36"/>
      <c r="B327" s="37"/>
      <c r="C327" s="181" t="s">
        <v>1410</v>
      </c>
      <c r="D327" s="181" t="s">
        <v>382</v>
      </c>
      <c r="E327" s="182" t="s">
        <v>4600</v>
      </c>
      <c r="F327" s="183" t="s">
        <v>4601</v>
      </c>
      <c r="G327" s="184" t="s">
        <v>641</v>
      </c>
      <c r="H327" s="185">
        <v>10</v>
      </c>
      <c r="I327" s="186"/>
      <c r="J327" s="187">
        <f t="shared" si="50"/>
        <v>0</v>
      </c>
      <c r="K327" s="183" t="s">
        <v>19</v>
      </c>
      <c r="L327" s="41"/>
      <c r="M327" s="188" t="s">
        <v>19</v>
      </c>
      <c r="N327" s="189" t="s">
        <v>43</v>
      </c>
      <c r="O327" s="66"/>
      <c r="P327" s="190">
        <f t="shared" si="51"/>
        <v>0</v>
      </c>
      <c r="Q327" s="190">
        <v>0</v>
      </c>
      <c r="R327" s="190">
        <f t="shared" si="52"/>
        <v>0</v>
      </c>
      <c r="S327" s="190">
        <v>0</v>
      </c>
      <c r="T327" s="191">
        <f t="shared" si="53"/>
        <v>0</v>
      </c>
      <c r="U327" s="36"/>
      <c r="V327" s="36"/>
      <c r="W327" s="36"/>
      <c r="X327" s="36"/>
      <c r="Y327" s="36"/>
      <c r="Z327" s="36"/>
      <c r="AA327" s="36"/>
      <c r="AB327" s="36"/>
      <c r="AC327" s="36"/>
      <c r="AD327" s="36"/>
      <c r="AE327" s="36"/>
      <c r="AR327" s="192" t="s">
        <v>386</v>
      </c>
      <c r="AT327" s="192" t="s">
        <v>382</v>
      </c>
      <c r="AU327" s="192" t="s">
        <v>82</v>
      </c>
      <c r="AY327" s="19" t="s">
        <v>380</v>
      </c>
      <c r="BE327" s="193">
        <f t="shared" si="54"/>
        <v>0</v>
      </c>
      <c r="BF327" s="193">
        <f t="shared" si="55"/>
        <v>0</v>
      </c>
      <c r="BG327" s="193">
        <f t="shared" si="56"/>
        <v>0</v>
      </c>
      <c r="BH327" s="193">
        <f t="shared" si="57"/>
        <v>0</v>
      </c>
      <c r="BI327" s="193">
        <f t="shared" si="58"/>
        <v>0</v>
      </c>
      <c r="BJ327" s="19" t="s">
        <v>79</v>
      </c>
      <c r="BK327" s="193">
        <f t="shared" si="59"/>
        <v>0</v>
      </c>
      <c r="BL327" s="19" t="s">
        <v>386</v>
      </c>
      <c r="BM327" s="192" t="s">
        <v>4602</v>
      </c>
    </row>
    <row r="328" spans="1:65" s="2" customFormat="1" ht="16.5" customHeight="1">
      <c r="A328" s="36"/>
      <c r="B328" s="37"/>
      <c r="C328" s="227" t="s">
        <v>1429</v>
      </c>
      <c r="D328" s="227" t="s">
        <v>465</v>
      </c>
      <c r="E328" s="228" t="s">
        <v>4603</v>
      </c>
      <c r="F328" s="229" t="s">
        <v>4604</v>
      </c>
      <c r="G328" s="230" t="s">
        <v>641</v>
      </c>
      <c r="H328" s="231">
        <v>10</v>
      </c>
      <c r="I328" s="232"/>
      <c r="J328" s="233">
        <f t="shared" si="50"/>
        <v>0</v>
      </c>
      <c r="K328" s="229" t="s">
        <v>19</v>
      </c>
      <c r="L328" s="234"/>
      <c r="M328" s="235" t="s">
        <v>19</v>
      </c>
      <c r="N328" s="236" t="s">
        <v>43</v>
      </c>
      <c r="O328" s="66"/>
      <c r="P328" s="190">
        <f t="shared" si="51"/>
        <v>0</v>
      </c>
      <c r="Q328" s="190">
        <v>4.1999999999999997E-3</v>
      </c>
      <c r="R328" s="190">
        <f t="shared" si="52"/>
        <v>4.1999999999999996E-2</v>
      </c>
      <c r="S328" s="190">
        <v>0</v>
      </c>
      <c r="T328" s="191">
        <f t="shared" si="53"/>
        <v>0</v>
      </c>
      <c r="U328" s="36"/>
      <c r="V328" s="36"/>
      <c r="W328" s="36"/>
      <c r="X328" s="36"/>
      <c r="Y328" s="36"/>
      <c r="Z328" s="36"/>
      <c r="AA328" s="36"/>
      <c r="AB328" s="36"/>
      <c r="AC328" s="36"/>
      <c r="AD328" s="36"/>
      <c r="AE328" s="36"/>
      <c r="AR328" s="192" t="s">
        <v>424</v>
      </c>
      <c r="AT328" s="192" t="s">
        <v>465</v>
      </c>
      <c r="AU328" s="192" t="s">
        <v>82</v>
      </c>
      <c r="AY328" s="19" t="s">
        <v>380</v>
      </c>
      <c r="BE328" s="193">
        <f t="shared" si="54"/>
        <v>0</v>
      </c>
      <c r="BF328" s="193">
        <f t="shared" si="55"/>
        <v>0</v>
      </c>
      <c r="BG328" s="193">
        <f t="shared" si="56"/>
        <v>0</v>
      </c>
      <c r="BH328" s="193">
        <f t="shared" si="57"/>
        <v>0</v>
      </c>
      <c r="BI328" s="193">
        <f t="shared" si="58"/>
        <v>0</v>
      </c>
      <c r="BJ328" s="19" t="s">
        <v>79</v>
      </c>
      <c r="BK328" s="193">
        <f t="shared" si="59"/>
        <v>0</v>
      </c>
      <c r="BL328" s="19" t="s">
        <v>386</v>
      </c>
      <c r="BM328" s="192" t="s">
        <v>4605</v>
      </c>
    </row>
    <row r="329" spans="1:65" s="2" customFormat="1" ht="16.5" customHeight="1">
      <c r="A329" s="36"/>
      <c r="B329" s="37"/>
      <c r="C329" s="227" t="s">
        <v>1432</v>
      </c>
      <c r="D329" s="227" t="s">
        <v>465</v>
      </c>
      <c r="E329" s="228" t="s">
        <v>4606</v>
      </c>
      <c r="F329" s="229" t="s">
        <v>4607</v>
      </c>
      <c r="G329" s="230" t="s">
        <v>641</v>
      </c>
      <c r="H329" s="231">
        <v>20</v>
      </c>
      <c r="I329" s="232"/>
      <c r="J329" s="233">
        <f t="shared" si="50"/>
        <v>0</v>
      </c>
      <c r="K329" s="229" t="s">
        <v>19</v>
      </c>
      <c r="L329" s="234"/>
      <c r="M329" s="235" t="s">
        <v>19</v>
      </c>
      <c r="N329" s="236" t="s">
        <v>43</v>
      </c>
      <c r="O329" s="66"/>
      <c r="P329" s="190">
        <f t="shared" si="51"/>
        <v>0</v>
      </c>
      <c r="Q329" s="190">
        <v>3.2000000000000003E-4</v>
      </c>
      <c r="R329" s="190">
        <f t="shared" si="52"/>
        <v>6.4000000000000003E-3</v>
      </c>
      <c r="S329" s="190">
        <v>0</v>
      </c>
      <c r="T329" s="191">
        <f t="shared" si="53"/>
        <v>0</v>
      </c>
      <c r="U329" s="36"/>
      <c r="V329" s="36"/>
      <c r="W329" s="36"/>
      <c r="X329" s="36"/>
      <c r="Y329" s="36"/>
      <c r="Z329" s="36"/>
      <c r="AA329" s="36"/>
      <c r="AB329" s="36"/>
      <c r="AC329" s="36"/>
      <c r="AD329" s="36"/>
      <c r="AE329" s="36"/>
      <c r="AR329" s="192" t="s">
        <v>424</v>
      </c>
      <c r="AT329" s="192" t="s">
        <v>465</v>
      </c>
      <c r="AU329" s="192" t="s">
        <v>82</v>
      </c>
      <c r="AY329" s="19" t="s">
        <v>380</v>
      </c>
      <c r="BE329" s="193">
        <f t="shared" si="54"/>
        <v>0</v>
      </c>
      <c r="BF329" s="193">
        <f t="shared" si="55"/>
        <v>0</v>
      </c>
      <c r="BG329" s="193">
        <f t="shared" si="56"/>
        <v>0</v>
      </c>
      <c r="BH329" s="193">
        <f t="shared" si="57"/>
        <v>0</v>
      </c>
      <c r="BI329" s="193">
        <f t="shared" si="58"/>
        <v>0</v>
      </c>
      <c r="BJ329" s="19" t="s">
        <v>79</v>
      </c>
      <c r="BK329" s="193">
        <f t="shared" si="59"/>
        <v>0</v>
      </c>
      <c r="BL329" s="19" t="s">
        <v>386</v>
      </c>
      <c r="BM329" s="192" t="s">
        <v>4608</v>
      </c>
    </row>
    <row r="330" spans="1:65" s="14" customFormat="1" ht="11.25">
      <c r="B330" s="205"/>
      <c r="C330" s="206"/>
      <c r="D330" s="196" t="s">
        <v>388</v>
      </c>
      <c r="E330" s="207" t="s">
        <v>19</v>
      </c>
      <c r="F330" s="208" t="s">
        <v>4609</v>
      </c>
      <c r="G330" s="206"/>
      <c r="H330" s="209">
        <v>20</v>
      </c>
      <c r="I330" s="210"/>
      <c r="J330" s="206"/>
      <c r="K330" s="206"/>
      <c r="L330" s="211"/>
      <c r="M330" s="212"/>
      <c r="N330" s="213"/>
      <c r="O330" s="213"/>
      <c r="P330" s="213"/>
      <c r="Q330" s="213"/>
      <c r="R330" s="213"/>
      <c r="S330" s="213"/>
      <c r="T330" s="214"/>
      <c r="AT330" s="215" t="s">
        <v>388</v>
      </c>
      <c r="AU330" s="215" t="s">
        <v>82</v>
      </c>
      <c r="AV330" s="14" t="s">
        <v>82</v>
      </c>
      <c r="AW330" s="14" t="s">
        <v>33</v>
      </c>
      <c r="AX330" s="14" t="s">
        <v>72</v>
      </c>
      <c r="AY330" s="215" t="s">
        <v>380</v>
      </c>
    </row>
    <row r="331" spans="1:65" s="15" customFormat="1" ht="11.25">
      <c r="B331" s="216"/>
      <c r="C331" s="217"/>
      <c r="D331" s="196" t="s">
        <v>388</v>
      </c>
      <c r="E331" s="218" t="s">
        <v>19</v>
      </c>
      <c r="F331" s="219" t="s">
        <v>419</v>
      </c>
      <c r="G331" s="217"/>
      <c r="H331" s="220">
        <v>20</v>
      </c>
      <c r="I331" s="221"/>
      <c r="J331" s="217"/>
      <c r="K331" s="217"/>
      <c r="L331" s="222"/>
      <c r="M331" s="223"/>
      <c r="N331" s="224"/>
      <c r="O331" s="224"/>
      <c r="P331" s="224"/>
      <c r="Q331" s="224"/>
      <c r="R331" s="224"/>
      <c r="S331" s="224"/>
      <c r="T331" s="225"/>
      <c r="AT331" s="226" t="s">
        <v>388</v>
      </c>
      <c r="AU331" s="226" t="s">
        <v>82</v>
      </c>
      <c r="AV331" s="15" t="s">
        <v>386</v>
      </c>
      <c r="AW331" s="15" t="s">
        <v>33</v>
      </c>
      <c r="AX331" s="15" t="s">
        <v>79</v>
      </c>
      <c r="AY331" s="226" t="s">
        <v>380</v>
      </c>
    </row>
    <row r="332" spans="1:65" s="2" customFormat="1" ht="16.5" customHeight="1">
      <c r="A332" s="36"/>
      <c r="B332" s="37"/>
      <c r="C332" s="181" t="s">
        <v>1446</v>
      </c>
      <c r="D332" s="181" t="s">
        <v>382</v>
      </c>
      <c r="E332" s="182" t="s">
        <v>4610</v>
      </c>
      <c r="F332" s="183" t="s">
        <v>4611</v>
      </c>
      <c r="G332" s="184" t="s">
        <v>641</v>
      </c>
      <c r="H332" s="185">
        <v>60</v>
      </c>
      <c r="I332" s="186"/>
      <c r="J332" s="187">
        <f t="shared" ref="J332:J341" si="60">ROUND(I332*H332,2)</f>
        <v>0</v>
      </c>
      <c r="K332" s="183" t="s">
        <v>19</v>
      </c>
      <c r="L332" s="41"/>
      <c r="M332" s="188" t="s">
        <v>19</v>
      </c>
      <c r="N332" s="189" t="s">
        <v>43</v>
      </c>
      <c r="O332" s="66"/>
      <c r="P332" s="190">
        <f t="shared" ref="P332:P341" si="61">O332*H332</f>
        <v>0</v>
      </c>
      <c r="Q332" s="190">
        <v>0</v>
      </c>
      <c r="R332" s="190">
        <f t="shared" ref="R332:R341" si="62">Q332*H332</f>
        <v>0</v>
      </c>
      <c r="S332" s="190">
        <v>0</v>
      </c>
      <c r="T332" s="191">
        <f t="shared" ref="T332:T341" si="63">S332*H332</f>
        <v>0</v>
      </c>
      <c r="U332" s="36"/>
      <c r="V332" s="36"/>
      <c r="W332" s="36"/>
      <c r="X332" s="36"/>
      <c r="Y332" s="36"/>
      <c r="Z332" s="36"/>
      <c r="AA332" s="36"/>
      <c r="AB332" s="36"/>
      <c r="AC332" s="36"/>
      <c r="AD332" s="36"/>
      <c r="AE332" s="36"/>
      <c r="AR332" s="192" t="s">
        <v>386</v>
      </c>
      <c r="AT332" s="192" t="s">
        <v>382</v>
      </c>
      <c r="AU332" s="192" t="s">
        <v>82</v>
      </c>
      <c r="AY332" s="19" t="s">
        <v>380</v>
      </c>
      <c r="BE332" s="193">
        <f t="shared" ref="BE332:BE341" si="64">IF(N332="základní",J332,0)</f>
        <v>0</v>
      </c>
      <c r="BF332" s="193">
        <f t="shared" ref="BF332:BF341" si="65">IF(N332="snížená",J332,0)</f>
        <v>0</v>
      </c>
      <c r="BG332" s="193">
        <f t="shared" ref="BG332:BG341" si="66">IF(N332="zákl. přenesená",J332,0)</f>
        <v>0</v>
      </c>
      <c r="BH332" s="193">
        <f t="shared" ref="BH332:BH341" si="67">IF(N332="sníž. přenesená",J332,0)</f>
        <v>0</v>
      </c>
      <c r="BI332" s="193">
        <f t="shared" ref="BI332:BI341" si="68">IF(N332="nulová",J332,0)</f>
        <v>0</v>
      </c>
      <c r="BJ332" s="19" t="s">
        <v>79</v>
      </c>
      <c r="BK332" s="193">
        <f t="shared" ref="BK332:BK341" si="69">ROUND(I332*H332,2)</f>
        <v>0</v>
      </c>
      <c r="BL332" s="19" t="s">
        <v>386</v>
      </c>
      <c r="BM332" s="192" t="s">
        <v>4612</v>
      </c>
    </row>
    <row r="333" spans="1:65" s="2" customFormat="1" ht="16.5" customHeight="1">
      <c r="A333" s="36"/>
      <c r="B333" s="37"/>
      <c r="C333" s="227" t="s">
        <v>1459</v>
      </c>
      <c r="D333" s="227" t="s">
        <v>465</v>
      </c>
      <c r="E333" s="228" t="s">
        <v>4613</v>
      </c>
      <c r="F333" s="229" t="s">
        <v>4614</v>
      </c>
      <c r="G333" s="230" t="s">
        <v>452</v>
      </c>
      <c r="H333" s="231">
        <v>60</v>
      </c>
      <c r="I333" s="232"/>
      <c r="J333" s="233">
        <f t="shared" si="60"/>
        <v>0</v>
      </c>
      <c r="K333" s="229" t="s">
        <v>19</v>
      </c>
      <c r="L333" s="234"/>
      <c r="M333" s="235" t="s">
        <v>19</v>
      </c>
      <c r="N333" s="236" t="s">
        <v>43</v>
      </c>
      <c r="O333" s="66"/>
      <c r="P333" s="190">
        <f t="shared" si="61"/>
        <v>0</v>
      </c>
      <c r="Q333" s="190">
        <v>0</v>
      </c>
      <c r="R333" s="190">
        <f t="shared" si="62"/>
        <v>0</v>
      </c>
      <c r="S333" s="190">
        <v>0</v>
      </c>
      <c r="T333" s="191">
        <f t="shared" si="63"/>
        <v>0</v>
      </c>
      <c r="U333" s="36"/>
      <c r="V333" s="36"/>
      <c r="W333" s="36"/>
      <c r="X333" s="36"/>
      <c r="Y333" s="36"/>
      <c r="Z333" s="36"/>
      <c r="AA333" s="36"/>
      <c r="AB333" s="36"/>
      <c r="AC333" s="36"/>
      <c r="AD333" s="36"/>
      <c r="AE333" s="36"/>
      <c r="AR333" s="192" t="s">
        <v>424</v>
      </c>
      <c r="AT333" s="192" t="s">
        <v>465</v>
      </c>
      <c r="AU333" s="192" t="s">
        <v>82</v>
      </c>
      <c r="AY333" s="19" t="s">
        <v>380</v>
      </c>
      <c r="BE333" s="193">
        <f t="shared" si="64"/>
        <v>0</v>
      </c>
      <c r="BF333" s="193">
        <f t="shared" si="65"/>
        <v>0</v>
      </c>
      <c r="BG333" s="193">
        <f t="shared" si="66"/>
        <v>0</v>
      </c>
      <c r="BH333" s="193">
        <f t="shared" si="67"/>
        <v>0</v>
      </c>
      <c r="BI333" s="193">
        <f t="shared" si="68"/>
        <v>0</v>
      </c>
      <c r="BJ333" s="19" t="s">
        <v>79</v>
      </c>
      <c r="BK333" s="193">
        <f t="shared" si="69"/>
        <v>0</v>
      </c>
      <c r="BL333" s="19" t="s">
        <v>386</v>
      </c>
      <c r="BM333" s="192" t="s">
        <v>4615</v>
      </c>
    </row>
    <row r="334" spans="1:65" s="2" customFormat="1" ht="16.5" customHeight="1">
      <c r="A334" s="36"/>
      <c r="B334" s="37"/>
      <c r="C334" s="181" t="s">
        <v>1464</v>
      </c>
      <c r="D334" s="181" t="s">
        <v>382</v>
      </c>
      <c r="E334" s="182" t="s">
        <v>4616</v>
      </c>
      <c r="F334" s="183" t="s">
        <v>4617</v>
      </c>
      <c r="G334" s="184" t="s">
        <v>641</v>
      </c>
      <c r="H334" s="185">
        <v>4</v>
      </c>
      <c r="I334" s="186"/>
      <c r="J334" s="187">
        <f t="shared" si="60"/>
        <v>0</v>
      </c>
      <c r="K334" s="183" t="s">
        <v>19</v>
      </c>
      <c r="L334" s="41"/>
      <c r="M334" s="188" t="s">
        <v>19</v>
      </c>
      <c r="N334" s="189" t="s">
        <v>43</v>
      </c>
      <c r="O334" s="66"/>
      <c r="P334" s="190">
        <f t="shared" si="61"/>
        <v>0</v>
      </c>
      <c r="Q334" s="190">
        <v>0</v>
      </c>
      <c r="R334" s="190">
        <f t="shared" si="62"/>
        <v>0</v>
      </c>
      <c r="S334" s="190">
        <v>0</v>
      </c>
      <c r="T334" s="191">
        <f t="shared" si="63"/>
        <v>0</v>
      </c>
      <c r="U334" s="36"/>
      <c r="V334" s="36"/>
      <c r="W334" s="36"/>
      <c r="X334" s="36"/>
      <c r="Y334" s="36"/>
      <c r="Z334" s="36"/>
      <c r="AA334" s="36"/>
      <c r="AB334" s="36"/>
      <c r="AC334" s="36"/>
      <c r="AD334" s="36"/>
      <c r="AE334" s="36"/>
      <c r="AR334" s="192" t="s">
        <v>386</v>
      </c>
      <c r="AT334" s="192" t="s">
        <v>382</v>
      </c>
      <c r="AU334" s="192" t="s">
        <v>82</v>
      </c>
      <c r="AY334" s="19" t="s">
        <v>380</v>
      </c>
      <c r="BE334" s="193">
        <f t="shared" si="64"/>
        <v>0</v>
      </c>
      <c r="BF334" s="193">
        <f t="shared" si="65"/>
        <v>0</v>
      </c>
      <c r="BG334" s="193">
        <f t="shared" si="66"/>
        <v>0</v>
      </c>
      <c r="BH334" s="193">
        <f t="shared" si="67"/>
        <v>0</v>
      </c>
      <c r="BI334" s="193">
        <f t="shared" si="68"/>
        <v>0</v>
      </c>
      <c r="BJ334" s="19" t="s">
        <v>79</v>
      </c>
      <c r="BK334" s="193">
        <f t="shared" si="69"/>
        <v>0</v>
      </c>
      <c r="BL334" s="19" t="s">
        <v>386</v>
      </c>
      <c r="BM334" s="192" t="s">
        <v>4618</v>
      </c>
    </row>
    <row r="335" spans="1:65" s="2" customFormat="1" ht="16.5" customHeight="1">
      <c r="A335" s="36"/>
      <c r="B335" s="37"/>
      <c r="C335" s="227" t="s">
        <v>1472</v>
      </c>
      <c r="D335" s="227" t="s">
        <v>465</v>
      </c>
      <c r="E335" s="228" t="s">
        <v>4619</v>
      </c>
      <c r="F335" s="229" t="s">
        <v>4620</v>
      </c>
      <c r="G335" s="230" t="s">
        <v>2393</v>
      </c>
      <c r="H335" s="231">
        <v>4</v>
      </c>
      <c r="I335" s="232"/>
      <c r="J335" s="233">
        <f t="shared" si="60"/>
        <v>0</v>
      </c>
      <c r="K335" s="229" t="s">
        <v>19</v>
      </c>
      <c r="L335" s="234"/>
      <c r="M335" s="235" t="s">
        <v>19</v>
      </c>
      <c r="N335" s="236" t="s">
        <v>43</v>
      </c>
      <c r="O335" s="66"/>
      <c r="P335" s="190">
        <f t="shared" si="61"/>
        <v>0</v>
      </c>
      <c r="Q335" s="190">
        <v>0</v>
      </c>
      <c r="R335" s="190">
        <f t="shared" si="62"/>
        <v>0</v>
      </c>
      <c r="S335" s="190">
        <v>0</v>
      </c>
      <c r="T335" s="191">
        <f t="shared" si="63"/>
        <v>0</v>
      </c>
      <c r="U335" s="36"/>
      <c r="V335" s="36"/>
      <c r="W335" s="36"/>
      <c r="X335" s="36"/>
      <c r="Y335" s="36"/>
      <c r="Z335" s="36"/>
      <c r="AA335" s="36"/>
      <c r="AB335" s="36"/>
      <c r="AC335" s="36"/>
      <c r="AD335" s="36"/>
      <c r="AE335" s="36"/>
      <c r="AR335" s="192" t="s">
        <v>424</v>
      </c>
      <c r="AT335" s="192" t="s">
        <v>465</v>
      </c>
      <c r="AU335" s="192" t="s">
        <v>82</v>
      </c>
      <c r="AY335" s="19" t="s">
        <v>380</v>
      </c>
      <c r="BE335" s="193">
        <f t="shared" si="64"/>
        <v>0</v>
      </c>
      <c r="BF335" s="193">
        <f t="shared" si="65"/>
        <v>0</v>
      </c>
      <c r="BG335" s="193">
        <f t="shared" si="66"/>
        <v>0</v>
      </c>
      <c r="BH335" s="193">
        <f t="shared" si="67"/>
        <v>0</v>
      </c>
      <c r="BI335" s="193">
        <f t="shared" si="68"/>
        <v>0</v>
      </c>
      <c r="BJ335" s="19" t="s">
        <v>79</v>
      </c>
      <c r="BK335" s="193">
        <f t="shared" si="69"/>
        <v>0</v>
      </c>
      <c r="BL335" s="19" t="s">
        <v>386</v>
      </c>
      <c r="BM335" s="192" t="s">
        <v>4621</v>
      </c>
    </row>
    <row r="336" spans="1:65" s="2" customFormat="1" ht="16.5" customHeight="1">
      <c r="A336" s="36"/>
      <c r="B336" s="37"/>
      <c r="C336" s="181" t="s">
        <v>1476</v>
      </c>
      <c r="D336" s="181" t="s">
        <v>382</v>
      </c>
      <c r="E336" s="182" t="s">
        <v>4622</v>
      </c>
      <c r="F336" s="183" t="s">
        <v>4623</v>
      </c>
      <c r="G336" s="184" t="s">
        <v>641</v>
      </c>
      <c r="H336" s="185">
        <v>14</v>
      </c>
      <c r="I336" s="186"/>
      <c r="J336" s="187">
        <f t="shared" si="60"/>
        <v>0</v>
      </c>
      <c r="K336" s="183" t="s">
        <v>19</v>
      </c>
      <c r="L336" s="41"/>
      <c r="M336" s="188" t="s">
        <v>19</v>
      </c>
      <c r="N336" s="189" t="s">
        <v>43</v>
      </c>
      <c r="O336" s="66"/>
      <c r="P336" s="190">
        <f t="shared" si="61"/>
        <v>0</v>
      </c>
      <c r="Q336" s="190">
        <v>0</v>
      </c>
      <c r="R336" s="190">
        <f t="shared" si="62"/>
        <v>0</v>
      </c>
      <c r="S336" s="190">
        <v>0</v>
      </c>
      <c r="T336" s="191">
        <f t="shared" si="63"/>
        <v>0</v>
      </c>
      <c r="U336" s="36"/>
      <c r="V336" s="36"/>
      <c r="W336" s="36"/>
      <c r="X336" s="36"/>
      <c r="Y336" s="36"/>
      <c r="Z336" s="36"/>
      <c r="AA336" s="36"/>
      <c r="AB336" s="36"/>
      <c r="AC336" s="36"/>
      <c r="AD336" s="36"/>
      <c r="AE336" s="36"/>
      <c r="AR336" s="192" t="s">
        <v>386</v>
      </c>
      <c r="AT336" s="192" t="s">
        <v>382</v>
      </c>
      <c r="AU336" s="192" t="s">
        <v>82</v>
      </c>
      <c r="AY336" s="19" t="s">
        <v>380</v>
      </c>
      <c r="BE336" s="193">
        <f t="shared" si="64"/>
        <v>0</v>
      </c>
      <c r="BF336" s="193">
        <f t="shared" si="65"/>
        <v>0</v>
      </c>
      <c r="BG336" s="193">
        <f t="shared" si="66"/>
        <v>0</v>
      </c>
      <c r="BH336" s="193">
        <f t="shared" si="67"/>
        <v>0</v>
      </c>
      <c r="BI336" s="193">
        <f t="shared" si="68"/>
        <v>0</v>
      </c>
      <c r="BJ336" s="19" t="s">
        <v>79</v>
      </c>
      <c r="BK336" s="193">
        <f t="shared" si="69"/>
        <v>0</v>
      </c>
      <c r="BL336" s="19" t="s">
        <v>386</v>
      </c>
      <c r="BM336" s="192" t="s">
        <v>4624</v>
      </c>
    </row>
    <row r="337" spans="1:65" s="2" customFormat="1" ht="16.5" customHeight="1">
      <c r="A337" s="36"/>
      <c r="B337" s="37"/>
      <c r="C337" s="227" t="s">
        <v>1480</v>
      </c>
      <c r="D337" s="227" t="s">
        <v>465</v>
      </c>
      <c r="E337" s="228" t="s">
        <v>4625</v>
      </c>
      <c r="F337" s="229" t="s">
        <v>4626</v>
      </c>
      <c r="G337" s="230" t="s">
        <v>641</v>
      </c>
      <c r="H337" s="231">
        <v>14</v>
      </c>
      <c r="I337" s="232"/>
      <c r="J337" s="233">
        <f t="shared" si="60"/>
        <v>0</v>
      </c>
      <c r="K337" s="229" t="s">
        <v>19</v>
      </c>
      <c r="L337" s="234"/>
      <c r="M337" s="235" t="s">
        <v>19</v>
      </c>
      <c r="N337" s="236" t="s">
        <v>43</v>
      </c>
      <c r="O337" s="66"/>
      <c r="P337" s="190">
        <f t="shared" si="61"/>
        <v>0</v>
      </c>
      <c r="Q337" s="190">
        <v>1.0000000000000001E-5</v>
      </c>
      <c r="R337" s="190">
        <f t="shared" si="62"/>
        <v>1.4000000000000001E-4</v>
      </c>
      <c r="S337" s="190">
        <v>0</v>
      </c>
      <c r="T337" s="191">
        <f t="shared" si="63"/>
        <v>0</v>
      </c>
      <c r="U337" s="36"/>
      <c r="V337" s="36"/>
      <c r="W337" s="36"/>
      <c r="X337" s="36"/>
      <c r="Y337" s="36"/>
      <c r="Z337" s="36"/>
      <c r="AA337" s="36"/>
      <c r="AB337" s="36"/>
      <c r="AC337" s="36"/>
      <c r="AD337" s="36"/>
      <c r="AE337" s="36"/>
      <c r="AR337" s="192" t="s">
        <v>424</v>
      </c>
      <c r="AT337" s="192" t="s">
        <v>465</v>
      </c>
      <c r="AU337" s="192" t="s">
        <v>82</v>
      </c>
      <c r="AY337" s="19" t="s">
        <v>380</v>
      </c>
      <c r="BE337" s="193">
        <f t="shared" si="64"/>
        <v>0</v>
      </c>
      <c r="BF337" s="193">
        <f t="shared" si="65"/>
        <v>0</v>
      </c>
      <c r="BG337" s="193">
        <f t="shared" si="66"/>
        <v>0</v>
      </c>
      <c r="BH337" s="193">
        <f t="shared" si="67"/>
        <v>0</v>
      </c>
      <c r="BI337" s="193">
        <f t="shared" si="68"/>
        <v>0</v>
      </c>
      <c r="BJ337" s="19" t="s">
        <v>79</v>
      </c>
      <c r="BK337" s="193">
        <f t="shared" si="69"/>
        <v>0</v>
      </c>
      <c r="BL337" s="19" t="s">
        <v>386</v>
      </c>
      <c r="BM337" s="192" t="s">
        <v>4627</v>
      </c>
    </row>
    <row r="338" spans="1:65" s="2" customFormat="1" ht="16.5" customHeight="1">
      <c r="A338" s="36"/>
      <c r="B338" s="37"/>
      <c r="C338" s="181" t="s">
        <v>1490</v>
      </c>
      <c r="D338" s="181" t="s">
        <v>382</v>
      </c>
      <c r="E338" s="182" t="s">
        <v>4628</v>
      </c>
      <c r="F338" s="183" t="s">
        <v>4629</v>
      </c>
      <c r="G338" s="184" t="s">
        <v>641</v>
      </c>
      <c r="H338" s="185">
        <v>10</v>
      </c>
      <c r="I338" s="186"/>
      <c r="J338" s="187">
        <f t="shared" si="60"/>
        <v>0</v>
      </c>
      <c r="K338" s="183" t="s">
        <v>19</v>
      </c>
      <c r="L338" s="41"/>
      <c r="M338" s="188" t="s">
        <v>19</v>
      </c>
      <c r="N338" s="189" t="s">
        <v>43</v>
      </c>
      <c r="O338" s="66"/>
      <c r="P338" s="190">
        <f t="shared" si="61"/>
        <v>0</v>
      </c>
      <c r="Q338" s="190">
        <v>0</v>
      </c>
      <c r="R338" s="190">
        <f t="shared" si="62"/>
        <v>0</v>
      </c>
      <c r="S338" s="190">
        <v>0</v>
      </c>
      <c r="T338" s="191">
        <f t="shared" si="63"/>
        <v>0</v>
      </c>
      <c r="U338" s="36"/>
      <c r="V338" s="36"/>
      <c r="W338" s="36"/>
      <c r="X338" s="36"/>
      <c r="Y338" s="36"/>
      <c r="Z338" s="36"/>
      <c r="AA338" s="36"/>
      <c r="AB338" s="36"/>
      <c r="AC338" s="36"/>
      <c r="AD338" s="36"/>
      <c r="AE338" s="36"/>
      <c r="AR338" s="192" t="s">
        <v>386</v>
      </c>
      <c r="AT338" s="192" t="s">
        <v>382</v>
      </c>
      <c r="AU338" s="192" t="s">
        <v>82</v>
      </c>
      <c r="AY338" s="19" t="s">
        <v>380</v>
      </c>
      <c r="BE338" s="193">
        <f t="shared" si="64"/>
        <v>0</v>
      </c>
      <c r="BF338" s="193">
        <f t="shared" si="65"/>
        <v>0</v>
      </c>
      <c r="BG338" s="193">
        <f t="shared" si="66"/>
        <v>0</v>
      </c>
      <c r="BH338" s="193">
        <f t="shared" si="67"/>
        <v>0</v>
      </c>
      <c r="BI338" s="193">
        <f t="shared" si="68"/>
        <v>0</v>
      </c>
      <c r="BJ338" s="19" t="s">
        <v>79</v>
      </c>
      <c r="BK338" s="193">
        <f t="shared" si="69"/>
        <v>0</v>
      </c>
      <c r="BL338" s="19" t="s">
        <v>386</v>
      </c>
      <c r="BM338" s="192" t="s">
        <v>4630</v>
      </c>
    </row>
    <row r="339" spans="1:65" s="2" customFormat="1" ht="16.5" customHeight="1">
      <c r="A339" s="36"/>
      <c r="B339" s="37"/>
      <c r="C339" s="227" t="s">
        <v>1494</v>
      </c>
      <c r="D339" s="227" t="s">
        <v>465</v>
      </c>
      <c r="E339" s="228" t="s">
        <v>4631</v>
      </c>
      <c r="F339" s="229" t="s">
        <v>4632</v>
      </c>
      <c r="G339" s="230" t="s">
        <v>2393</v>
      </c>
      <c r="H339" s="231">
        <v>10</v>
      </c>
      <c r="I339" s="232"/>
      <c r="J339" s="233">
        <f t="shared" si="60"/>
        <v>0</v>
      </c>
      <c r="K339" s="229" t="s">
        <v>19</v>
      </c>
      <c r="L339" s="234"/>
      <c r="M339" s="235" t="s">
        <v>19</v>
      </c>
      <c r="N339" s="236" t="s">
        <v>43</v>
      </c>
      <c r="O339" s="66"/>
      <c r="P339" s="190">
        <f t="shared" si="61"/>
        <v>0</v>
      </c>
      <c r="Q339" s="190">
        <v>0</v>
      </c>
      <c r="R339" s="190">
        <f t="shared" si="62"/>
        <v>0</v>
      </c>
      <c r="S339" s="190">
        <v>0</v>
      </c>
      <c r="T339" s="191">
        <f t="shared" si="63"/>
        <v>0</v>
      </c>
      <c r="U339" s="36"/>
      <c r="V339" s="36"/>
      <c r="W339" s="36"/>
      <c r="X339" s="36"/>
      <c r="Y339" s="36"/>
      <c r="Z339" s="36"/>
      <c r="AA339" s="36"/>
      <c r="AB339" s="36"/>
      <c r="AC339" s="36"/>
      <c r="AD339" s="36"/>
      <c r="AE339" s="36"/>
      <c r="AR339" s="192" t="s">
        <v>424</v>
      </c>
      <c r="AT339" s="192" t="s">
        <v>465</v>
      </c>
      <c r="AU339" s="192" t="s">
        <v>82</v>
      </c>
      <c r="AY339" s="19" t="s">
        <v>380</v>
      </c>
      <c r="BE339" s="193">
        <f t="shared" si="64"/>
        <v>0</v>
      </c>
      <c r="BF339" s="193">
        <f t="shared" si="65"/>
        <v>0</v>
      </c>
      <c r="BG339" s="193">
        <f t="shared" si="66"/>
        <v>0</v>
      </c>
      <c r="BH339" s="193">
        <f t="shared" si="67"/>
        <v>0</v>
      </c>
      <c r="BI339" s="193">
        <f t="shared" si="68"/>
        <v>0</v>
      </c>
      <c r="BJ339" s="19" t="s">
        <v>79</v>
      </c>
      <c r="BK339" s="193">
        <f t="shared" si="69"/>
        <v>0</v>
      </c>
      <c r="BL339" s="19" t="s">
        <v>386</v>
      </c>
      <c r="BM339" s="192" t="s">
        <v>4633</v>
      </c>
    </row>
    <row r="340" spans="1:65" s="2" customFormat="1" ht="16.5" customHeight="1">
      <c r="A340" s="36"/>
      <c r="B340" s="37"/>
      <c r="C340" s="181" t="s">
        <v>1498</v>
      </c>
      <c r="D340" s="181" t="s">
        <v>382</v>
      </c>
      <c r="E340" s="182" t="s">
        <v>4485</v>
      </c>
      <c r="F340" s="183" t="s">
        <v>4486</v>
      </c>
      <c r="G340" s="184" t="s">
        <v>3014</v>
      </c>
      <c r="H340" s="257"/>
      <c r="I340" s="186"/>
      <c r="J340" s="187">
        <f t="shared" si="60"/>
        <v>0</v>
      </c>
      <c r="K340" s="183" t="s">
        <v>19</v>
      </c>
      <c r="L340" s="41"/>
      <c r="M340" s="188" t="s">
        <v>19</v>
      </c>
      <c r="N340" s="189" t="s">
        <v>43</v>
      </c>
      <c r="O340" s="66"/>
      <c r="P340" s="190">
        <f t="shared" si="61"/>
        <v>0</v>
      </c>
      <c r="Q340" s="190">
        <v>0</v>
      </c>
      <c r="R340" s="190">
        <f t="shared" si="62"/>
        <v>0</v>
      </c>
      <c r="S340" s="190">
        <v>0</v>
      </c>
      <c r="T340" s="191">
        <f t="shared" si="63"/>
        <v>0</v>
      </c>
      <c r="U340" s="36"/>
      <c r="V340" s="36"/>
      <c r="W340" s="36"/>
      <c r="X340" s="36"/>
      <c r="Y340" s="36"/>
      <c r="Z340" s="36"/>
      <c r="AA340" s="36"/>
      <c r="AB340" s="36"/>
      <c r="AC340" s="36"/>
      <c r="AD340" s="36"/>
      <c r="AE340" s="36"/>
      <c r="AR340" s="192" t="s">
        <v>386</v>
      </c>
      <c r="AT340" s="192" t="s">
        <v>382</v>
      </c>
      <c r="AU340" s="192" t="s">
        <v>82</v>
      </c>
      <c r="AY340" s="19" t="s">
        <v>380</v>
      </c>
      <c r="BE340" s="193">
        <f t="shared" si="64"/>
        <v>0</v>
      </c>
      <c r="BF340" s="193">
        <f t="shared" si="65"/>
        <v>0</v>
      </c>
      <c r="BG340" s="193">
        <f t="shared" si="66"/>
        <v>0</v>
      </c>
      <c r="BH340" s="193">
        <f t="shared" si="67"/>
        <v>0</v>
      </c>
      <c r="BI340" s="193">
        <f t="shared" si="68"/>
        <v>0</v>
      </c>
      <c r="BJ340" s="19" t="s">
        <v>79</v>
      </c>
      <c r="BK340" s="193">
        <f t="shared" si="69"/>
        <v>0</v>
      </c>
      <c r="BL340" s="19" t="s">
        <v>386</v>
      </c>
      <c r="BM340" s="192" t="s">
        <v>4634</v>
      </c>
    </row>
    <row r="341" spans="1:65" s="2" customFormat="1" ht="16.5" customHeight="1">
      <c r="A341" s="36"/>
      <c r="B341" s="37"/>
      <c r="C341" s="181" t="s">
        <v>1502</v>
      </c>
      <c r="D341" s="181" t="s">
        <v>382</v>
      </c>
      <c r="E341" s="182" t="s">
        <v>4635</v>
      </c>
      <c r="F341" s="183" t="s">
        <v>4488</v>
      </c>
      <c r="G341" s="184" t="s">
        <v>3014</v>
      </c>
      <c r="H341" s="257"/>
      <c r="I341" s="186"/>
      <c r="J341" s="187">
        <f t="shared" si="60"/>
        <v>0</v>
      </c>
      <c r="K341" s="183" t="s">
        <v>19</v>
      </c>
      <c r="L341" s="41"/>
      <c r="M341" s="188" t="s">
        <v>19</v>
      </c>
      <c r="N341" s="189" t="s">
        <v>43</v>
      </c>
      <c r="O341" s="66"/>
      <c r="P341" s="190">
        <f t="shared" si="61"/>
        <v>0</v>
      </c>
      <c r="Q341" s="190">
        <v>0</v>
      </c>
      <c r="R341" s="190">
        <f t="shared" si="62"/>
        <v>0</v>
      </c>
      <c r="S341" s="190">
        <v>0</v>
      </c>
      <c r="T341" s="191">
        <f t="shared" si="63"/>
        <v>0</v>
      </c>
      <c r="U341" s="36"/>
      <c r="V341" s="36"/>
      <c r="W341" s="36"/>
      <c r="X341" s="36"/>
      <c r="Y341" s="36"/>
      <c r="Z341" s="36"/>
      <c r="AA341" s="36"/>
      <c r="AB341" s="36"/>
      <c r="AC341" s="36"/>
      <c r="AD341" s="36"/>
      <c r="AE341" s="36"/>
      <c r="AR341" s="192" t="s">
        <v>386</v>
      </c>
      <c r="AT341" s="192" t="s">
        <v>382</v>
      </c>
      <c r="AU341" s="192" t="s">
        <v>82</v>
      </c>
      <c r="AY341" s="19" t="s">
        <v>380</v>
      </c>
      <c r="BE341" s="193">
        <f t="shared" si="64"/>
        <v>0</v>
      </c>
      <c r="BF341" s="193">
        <f t="shared" si="65"/>
        <v>0</v>
      </c>
      <c r="BG341" s="193">
        <f t="shared" si="66"/>
        <v>0</v>
      </c>
      <c r="BH341" s="193">
        <f t="shared" si="67"/>
        <v>0</v>
      </c>
      <c r="BI341" s="193">
        <f t="shared" si="68"/>
        <v>0</v>
      </c>
      <c r="BJ341" s="19" t="s">
        <v>79</v>
      </c>
      <c r="BK341" s="193">
        <f t="shared" si="69"/>
        <v>0</v>
      </c>
      <c r="BL341" s="19" t="s">
        <v>386</v>
      </c>
      <c r="BM341" s="192" t="s">
        <v>4636</v>
      </c>
    </row>
    <row r="342" spans="1:65" s="12" customFormat="1" ht="22.9" customHeight="1">
      <c r="B342" s="165"/>
      <c r="C342" s="166"/>
      <c r="D342" s="167" t="s">
        <v>71</v>
      </c>
      <c r="E342" s="179" t="s">
        <v>4637</v>
      </c>
      <c r="F342" s="179" t="s">
        <v>4638</v>
      </c>
      <c r="G342" s="166"/>
      <c r="H342" s="166"/>
      <c r="I342" s="169"/>
      <c r="J342" s="180">
        <f>BK342</f>
        <v>0</v>
      </c>
      <c r="K342" s="166"/>
      <c r="L342" s="171"/>
      <c r="M342" s="172"/>
      <c r="N342" s="173"/>
      <c r="O342" s="173"/>
      <c r="P342" s="174">
        <f>SUM(P343:P348)</f>
        <v>0</v>
      </c>
      <c r="Q342" s="173"/>
      <c r="R342" s="174">
        <f>SUM(R343:R348)</f>
        <v>0.84215790000000013</v>
      </c>
      <c r="S342" s="173"/>
      <c r="T342" s="175">
        <f>SUM(T343:T348)</f>
        <v>0</v>
      </c>
      <c r="AR342" s="176" t="s">
        <v>79</v>
      </c>
      <c r="AT342" s="177" t="s">
        <v>71</v>
      </c>
      <c r="AU342" s="177" t="s">
        <v>79</v>
      </c>
      <c r="AY342" s="176" t="s">
        <v>380</v>
      </c>
      <c r="BK342" s="178">
        <f>SUM(BK343:BK348)</f>
        <v>0</v>
      </c>
    </row>
    <row r="343" spans="1:65" s="2" customFormat="1" ht="16.5" customHeight="1">
      <c r="A343" s="36"/>
      <c r="B343" s="37"/>
      <c r="C343" s="181" t="s">
        <v>1506</v>
      </c>
      <c r="D343" s="181" t="s">
        <v>382</v>
      </c>
      <c r="E343" s="182" t="s">
        <v>4639</v>
      </c>
      <c r="F343" s="183" t="s">
        <v>4640</v>
      </c>
      <c r="G343" s="184" t="s">
        <v>4641</v>
      </c>
      <c r="H343" s="185">
        <v>0.03</v>
      </c>
      <c r="I343" s="186"/>
      <c r="J343" s="187">
        <f t="shared" ref="J343:J348" si="70">ROUND(I343*H343,2)</f>
        <v>0</v>
      </c>
      <c r="K343" s="183" t="s">
        <v>19</v>
      </c>
      <c r="L343" s="41"/>
      <c r="M343" s="188" t="s">
        <v>19</v>
      </c>
      <c r="N343" s="189" t="s">
        <v>43</v>
      </c>
      <c r="O343" s="66"/>
      <c r="P343" s="190">
        <f t="shared" ref="P343:P348" si="71">O343*H343</f>
        <v>0</v>
      </c>
      <c r="Q343" s="190">
        <v>1.9300000000000001E-3</v>
      </c>
      <c r="R343" s="190">
        <f t="shared" ref="R343:R348" si="72">Q343*H343</f>
        <v>5.7899999999999998E-5</v>
      </c>
      <c r="S343" s="190">
        <v>0</v>
      </c>
      <c r="T343" s="191">
        <f t="shared" ref="T343:T348" si="73">S343*H343</f>
        <v>0</v>
      </c>
      <c r="U343" s="36"/>
      <c r="V343" s="36"/>
      <c r="W343" s="36"/>
      <c r="X343" s="36"/>
      <c r="Y343" s="36"/>
      <c r="Z343" s="36"/>
      <c r="AA343" s="36"/>
      <c r="AB343" s="36"/>
      <c r="AC343" s="36"/>
      <c r="AD343" s="36"/>
      <c r="AE343" s="36"/>
      <c r="AR343" s="192" t="s">
        <v>386</v>
      </c>
      <c r="AT343" s="192" t="s">
        <v>382</v>
      </c>
      <c r="AU343" s="192" t="s">
        <v>82</v>
      </c>
      <c r="AY343" s="19" t="s">
        <v>380</v>
      </c>
      <c r="BE343" s="193">
        <f t="shared" ref="BE343:BE348" si="74">IF(N343="základní",J343,0)</f>
        <v>0</v>
      </c>
      <c r="BF343" s="193">
        <f t="shared" ref="BF343:BF348" si="75">IF(N343="snížená",J343,0)</f>
        <v>0</v>
      </c>
      <c r="BG343" s="193">
        <f t="shared" ref="BG343:BG348" si="76">IF(N343="zákl. přenesená",J343,0)</f>
        <v>0</v>
      </c>
      <c r="BH343" s="193">
        <f t="shared" ref="BH343:BH348" si="77">IF(N343="sníž. přenesená",J343,0)</f>
        <v>0</v>
      </c>
      <c r="BI343" s="193">
        <f t="shared" ref="BI343:BI348" si="78">IF(N343="nulová",J343,0)</f>
        <v>0</v>
      </c>
      <c r="BJ343" s="19" t="s">
        <v>79</v>
      </c>
      <c r="BK343" s="193">
        <f t="shared" ref="BK343:BK348" si="79">ROUND(I343*H343,2)</f>
        <v>0</v>
      </c>
      <c r="BL343" s="19" t="s">
        <v>386</v>
      </c>
      <c r="BM343" s="192" t="s">
        <v>4642</v>
      </c>
    </row>
    <row r="344" spans="1:65" s="2" customFormat="1" ht="16.5" customHeight="1">
      <c r="A344" s="36"/>
      <c r="B344" s="37"/>
      <c r="C344" s="181" t="s">
        <v>1510</v>
      </c>
      <c r="D344" s="181" t="s">
        <v>382</v>
      </c>
      <c r="E344" s="182" t="s">
        <v>4643</v>
      </c>
      <c r="F344" s="183" t="s">
        <v>4644</v>
      </c>
      <c r="G344" s="184" t="s">
        <v>452</v>
      </c>
      <c r="H344" s="185">
        <v>30</v>
      </c>
      <c r="I344" s="186"/>
      <c r="J344" s="187">
        <f t="shared" si="70"/>
        <v>0</v>
      </c>
      <c r="K344" s="183" t="s">
        <v>19</v>
      </c>
      <c r="L344" s="41"/>
      <c r="M344" s="188" t="s">
        <v>19</v>
      </c>
      <c r="N344" s="189" t="s">
        <v>43</v>
      </c>
      <c r="O344" s="66"/>
      <c r="P344" s="190">
        <f t="shared" si="71"/>
        <v>0</v>
      </c>
      <c r="Q344" s="190">
        <v>0</v>
      </c>
      <c r="R344" s="190">
        <f t="shared" si="72"/>
        <v>0</v>
      </c>
      <c r="S344" s="190">
        <v>0</v>
      </c>
      <c r="T344" s="191">
        <f t="shared" si="73"/>
        <v>0</v>
      </c>
      <c r="U344" s="36"/>
      <c r="V344" s="36"/>
      <c r="W344" s="36"/>
      <c r="X344" s="36"/>
      <c r="Y344" s="36"/>
      <c r="Z344" s="36"/>
      <c r="AA344" s="36"/>
      <c r="AB344" s="36"/>
      <c r="AC344" s="36"/>
      <c r="AD344" s="36"/>
      <c r="AE344" s="36"/>
      <c r="AR344" s="192" t="s">
        <v>386</v>
      </c>
      <c r="AT344" s="192" t="s">
        <v>382</v>
      </c>
      <c r="AU344" s="192" t="s">
        <v>82</v>
      </c>
      <c r="AY344" s="19" t="s">
        <v>380</v>
      </c>
      <c r="BE344" s="193">
        <f t="shared" si="74"/>
        <v>0</v>
      </c>
      <c r="BF344" s="193">
        <f t="shared" si="75"/>
        <v>0</v>
      </c>
      <c r="BG344" s="193">
        <f t="shared" si="76"/>
        <v>0</v>
      </c>
      <c r="BH344" s="193">
        <f t="shared" si="77"/>
        <v>0</v>
      </c>
      <c r="BI344" s="193">
        <f t="shared" si="78"/>
        <v>0</v>
      </c>
      <c r="BJ344" s="19" t="s">
        <v>79</v>
      </c>
      <c r="BK344" s="193">
        <f t="shared" si="79"/>
        <v>0</v>
      </c>
      <c r="BL344" s="19" t="s">
        <v>386</v>
      </c>
      <c r="BM344" s="192" t="s">
        <v>4645</v>
      </c>
    </row>
    <row r="345" spans="1:65" s="2" customFormat="1" ht="21.75" customHeight="1">
      <c r="A345" s="36"/>
      <c r="B345" s="37"/>
      <c r="C345" s="181" t="s">
        <v>1515</v>
      </c>
      <c r="D345" s="181" t="s">
        <v>382</v>
      </c>
      <c r="E345" s="182" t="s">
        <v>4646</v>
      </c>
      <c r="F345" s="183" t="s">
        <v>4647</v>
      </c>
      <c r="G345" s="184" t="s">
        <v>452</v>
      </c>
      <c r="H345" s="185">
        <v>30</v>
      </c>
      <c r="I345" s="186"/>
      <c r="J345" s="187">
        <f t="shared" si="70"/>
        <v>0</v>
      </c>
      <c r="K345" s="183" t="s">
        <v>19</v>
      </c>
      <c r="L345" s="41"/>
      <c r="M345" s="188" t="s">
        <v>19</v>
      </c>
      <c r="N345" s="189" t="s">
        <v>43</v>
      </c>
      <c r="O345" s="66"/>
      <c r="P345" s="190">
        <f t="shared" si="71"/>
        <v>0</v>
      </c>
      <c r="Q345" s="190">
        <v>2.8070000000000001E-2</v>
      </c>
      <c r="R345" s="190">
        <f t="shared" si="72"/>
        <v>0.84210000000000007</v>
      </c>
      <c r="S345" s="190">
        <v>0</v>
      </c>
      <c r="T345" s="191">
        <f t="shared" si="73"/>
        <v>0</v>
      </c>
      <c r="U345" s="36"/>
      <c r="V345" s="36"/>
      <c r="W345" s="36"/>
      <c r="X345" s="36"/>
      <c r="Y345" s="36"/>
      <c r="Z345" s="36"/>
      <c r="AA345" s="36"/>
      <c r="AB345" s="36"/>
      <c r="AC345" s="36"/>
      <c r="AD345" s="36"/>
      <c r="AE345" s="36"/>
      <c r="AR345" s="192" t="s">
        <v>386</v>
      </c>
      <c r="AT345" s="192" t="s">
        <v>382</v>
      </c>
      <c r="AU345" s="192" t="s">
        <v>82</v>
      </c>
      <c r="AY345" s="19" t="s">
        <v>380</v>
      </c>
      <c r="BE345" s="193">
        <f t="shared" si="74"/>
        <v>0</v>
      </c>
      <c r="BF345" s="193">
        <f t="shared" si="75"/>
        <v>0</v>
      </c>
      <c r="BG345" s="193">
        <f t="shared" si="76"/>
        <v>0</v>
      </c>
      <c r="BH345" s="193">
        <f t="shared" si="77"/>
        <v>0</v>
      </c>
      <c r="BI345" s="193">
        <f t="shared" si="78"/>
        <v>0</v>
      </c>
      <c r="BJ345" s="19" t="s">
        <v>79</v>
      </c>
      <c r="BK345" s="193">
        <f t="shared" si="79"/>
        <v>0</v>
      </c>
      <c r="BL345" s="19" t="s">
        <v>386</v>
      </c>
      <c r="BM345" s="192" t="s">
        <v>4648</v>
      </c>
    </row>
    <row r="346" spans="1:65" s="2" customFormat="1" ht="16.5" customHeight="1">
      <c r="A346" s="36"/>
      <c r="B346" s="37"/>
      <c r="C346" s="181" t="s">
        <v>1519</v>
      </c>
      <c r="D346" s="181" t="s">
        <v>382</v>
      </c>
      <c r="E346" s="182" t="s">
        <v>4649</v>
      </c>
      <c r="F346" s="183" t="s">
        <v>4650</v>
      </c>
      <c r="G346" s="184" t="s">
        <v>452</v>
      </c>
      <c r="H346" s="185">
        <v>30</v>
      </c>
      <c r="I346" s="186"/>
      <c r="J346" s="187">
        <f t="shared" si="70"/>
        <v>0</v>
      </c>
      <c r="K346" s="183" t="s">
        <v>19</v>
      </c>
      <c r="L346" s="41"/>
      <c r="M346" s="188" t="s">
        <v>19</v>
      </c>
      <c r="N346" s="189" t="s">
        <v>43</v>
      </c>
      <c r="O346" s="66"/>
      <c r="P346" s="190">
        <f t="shared" si="71"/>
        <v>0</v>
      </c>
      <c r="Q346" s="190">
        <v>0</v>
      </c>
      <c r="R346" s="190">
        <f t="shared" si="72"/>
        <v>0</v>
      </c>
      <c r="S346" s="190">
        <v>0</v>
      </c>
      <c r="T346" s="191">
        <f t="shared" si="73"/>
        <v>0</v>
      </c>
      <c r="U346" s="36"/>
      <c r="V346" s="36"/>
      <c r="W346" s="36"/>
      <c r="X346" s="36"/>
      <c r="Y346" s="36"/>
      <c r="Z346" s="36"/>
      <c r="AA346" s="36"/>
      <c r="AB346" s="36"/>
      <c r="AC346" s="36"/>
      <c r="AD346" s="36"/>
      <c r="AE346" s="36"/>
      <c r="AR346" s="192" t="s">
        <v>386</v>
      </c>
      <c r="AT346" s="192" t="s">
        <v>382</v>
      </c>
      <c r="AU346" s="192" t="s">
        <v>82</v>
      </c>
      <c r="AY346" s="19" t="s">
        <v>380</v>
      </c>
      <c r="BE346" s="193">
        <f t="shared" si="74"/>
        <v>0</v>
      </c>
      <c r="BF346" s="193">
        <f t="shared" si="75"/>
        <v>0</v>
      </c>
      <c r="BG346" s="193">
        <f t="shared" si="76"/>
        <v>0</v>
      </c>
      <c r="BH346" s="193">
        <f t="shared" si="77"/>
        <v>0</v>
      </c>
      <c r="BI346" s="193">
        <f t="shared" si="78"/>
        <v>0</v>
      </c>
      <c r="BJ346" s="19" t="s">
        <v>79</v>
      </c>
      <c r="BK346" s="193">
        <f t="shared" si="79"/>
        <v>0</v>
      </c>
      <c r="BL346" s="19" t="s">
        <v>386</v>
      </c>
      <c r="BM346" s="192" t="s">
        <v>4651</v>
      </c>
    </row>
    <row r="347" spans="1:65" s="2" customFormat="1" ht="16.5" customHeight="1">
      <c r="A347" s="36"/>
      <c r="B347" s="37"/>
      <c r="C347" s="181" t="s">
        <v>1525</v>
      </c>
      <c r="D347" s="181" t="s">
        <v>382</v>
      </c>
      <c r="E347" s="182" t="s">
        <v>4652</v>
      </c>
      <c r="F347" s="183" t="s">
        <v>4653</v>
      </c>
      <c r="G347" s="184" t="s">
        <v>398</v>
      </c>
      <c r="H347" s="185">
        <v>31.5</v>
      </c>
      <c r="I347" s="186"/>
      <c r="J347" s="187">
        <f t="shared" si="70"/>
        <v>0</v>
      </c>
      <c r="K347" s="183" t="s">
        <v>19</v>
      </c>
      <c r="L347" s="41"/>
      <c r="M347" s="188" t="s">
        <v>19</v>
      </c>
      <c r="N347" s="189" t="s">
        <v>43</v>
      </c>
      <c r="O347" s="66"/>
      <c r="P347" s="190">
        <f t="shared" si="71"/>
        <v>0</v>
      </c>
      <c r="Q347" s="190">
        <v>0</v>
      </c>
      <c r="R347" s="190">
        <f t="shared" si="72"/>
        <v>0</v>
      </c>
      <c r="S347" s="190">
        <v>0</v>
      </c>
      <c r="T347" s="191">
        <f t="shared" si="73"/>
        <v>0</v>
      </c>
      <c r="U347" s="36"/>
      <c r="V347" s="36"/>
      <c r="W347" s="36"/>
      <c r="X347" s="36"/>
      <c r="Y347" s="36"/>
      <c r="Z347" s="36"/>
      <c r="AA347" s="36"/>
      <c r="AB347" s="36"/>
      <c r="AC347" s="36"/>
      <c r="AD347" s="36"/>
      <c r="AE347" s="36"/>
      <c r="AR347" s="192" t="s">
        <v>386</v>
      </c>
      <c r="AT347" s="192" t="s">
        <v>382</v>
      </c>
      <c r="AU347" s="192" t="s">
        <v>82</v>
      </c>
      <c r="AY347" s="19" t="s">
        <v>380</v>
      </c>
      <c r="BE347" s="193">
        <f t="shared" si="74"/>
        <v>0</v>
      </c>
      <c r="BF347" s="193">
        <f t="shared" si="75"/>
        <v>0</v>
      </c>
      <c r="BG347" s="193">
        <f t="shared" si="76"/>
        <v>0</v>
      </c>
      <c r="BH347" s="193">
        <f t="shared" si="77"/>
        <v>0</v>
      </c>
      <c r="BI347" s="193">
        <f t="shared" si="78"/>
        <v>0</v>
      </c>
      <c r="BJ347" s="19" t="s">
        <v>79</v>
      </c>
      <c r="BK347" s="193">
        <f t="shared" si="79"/>
        <v>0</v>
      </c>
      <c r="BL347" s="19" t="s">
        <v>386</v>
      </c>
      <c r="BM347" s="192" t="s">
        <v>4654</v>
      </c>
    </row>
    <row r="348" spans="1:65" s="2" customFormat="1" ht="16.5" customHeight="1">
      <c r="A348" s="36"/>
      <c r="B348" s="37"/>
      <c r="C348" s="181" t="s">
        <v>1538</v>
      </c>
      <c r="D348" s="181" t="s">
        <v>382</v>
      </c>
      <c r="E348" s="182" t="s">
        <v>4655</v>
      </c>
      <c r="F348" s="183" t="s">
        <v>4656</v>
      </c>
      <c r="G348" s="184" t="s">
        <v>3014</v>
      </c>
      <c r="H348" s="257"/>
      <c r="I348" s="186"/>
      <c r="J348" s="187">
        <f t="shared" si="70"/>
        <v>0</v>
      </c>
      <c r="K348" s="183" t="s">
        <v>19</v>
      </c>
      <c r="L348" s="41"/>
      <c r="M348" s="188" t="s">
        <v>19</v>
      </c>
      <c r="N348" s="189" t="s">
        <v>43</v>
      </c>
      <c r="O348" s="66"/>
      <c r="P348" s="190">
        <f t="shared" si="71"/>
        <v>0</v>
      </c>
      <c r="Q348" s="190">
        <v>0</v>
      </c>
      <c r="R348" s="190">
        <f t="shared" si="72"/>
        <v>0</v>
      </c>
      <c r="S348" s="190">
        <v>0</v>
      </c>
      <c r="T348" s="191">
        <f t="shared" si="73"/>
        <v>0</v>
      </c>
      <c r="U348" s="36"/>
      <c r="V348" s="36"/>
      <c r="W348" s="36"/>
      <c r="X348" s="36"/>
      <c r="Y348" s="36"/>
      <c r="Z348" s="36"/>
      <c r="AA348" s="36"/>
      <c r="AB348" s="36"/>
      <c r="AC348" s="36"/>
      <c r="AD348" s="36"/>
      <c r="AE348" s="36"/>
      <c r="AR348" s="192" t="s">
        <v>386</v>
      </c>
      <c r="AT348" s="192" t="s">
        <v>382</v>
      </c>
      <c r="AU348" s="192" t="s">
        <v>82</v>
      </c>
      <c r="AY348" s="19" t="s">
        <v>380</v>
      </c>
      <c r="BE348" s="193">
        <f t="shared" si="74"/>
        <v>0</v>
      </c>
      <c r="BF348" s="193">
        <f t="shared" si="75"/>
        <v>0</v>
      </c>
      <c r="BG348" s="193">
        <f t="shared" si="76"/>
        <v>0</v>
      </c>
      <c r="BH348" s="193">
        <f t="shared" si="77"/>
        <v>0</v>
      </c>
      <c r="BI348" s="193">
        <f t="shared" si="78"/>
        <v>0</v>
      </c>
      <c r="BJ348" s="19" t="s">
        <v>79</v>
      </c>
      <c r="BK348" s="193">
        <f t="shared" si="79"/>
        <v>0</v>
      </c>
      <c r="BL348" s="19" t="s">
        <v>386</v>
      </c>
      <c r="BM348" s="192" t="s">
        <v>4657</v>
      </c>
    </row>
    <row r="349" spans="1:65" s="12" customFormat="1" ht="22.9" customHeight="1">
      <c r="B349" s="165"/>
      <c r="C349" s="166"/>
      <c r="D349" s="167" t="s">
        <v>71</v>
      </c>
      <c r="E349" s="179" t="s">
        <v>4658</v>
      </c>
      <c r="F349" s="179" t="s">
        <v>4659</v>
      </c>
      <c r="G349" s="166"/>
      <c r="H349" s="166"/>
      <c r="I349" s="169"/>
      <c r="J349" s="180">
        <f>BK349</f>
        <v>0</v>
      </c>
      <c r="K349" s="166"/>
      <c r="L349" s="171"/>
      <c r="M349" s="172"/>
      <c r="N349" s="173"/>
      <c r="O349" s="173"/>
      <c r="P349" s="174">
        <f>SUM(P350:P355)</f>
        <v>0</v>
      </c>
      <c r="Q349" s="173"/>
      <c r="R349" s="174">
        <f>SUM(R350:R355)</f>
        <v>0</v>
      </c>
      <c r="S349" s="173"/>
      <c r="T349" s="175">
        <f>SUM(T350:T355)</f>
        <v>0</v>
      </c>
      <c r="AR349" s="176" t="s">
        <v>79</v>
      </c>
      <c r="AT349" s="177" t="s">
        <v>71</v>
      </c>
      <c r="AU349" s="177" t="s">
        <v>79</v>
      </c>
      <c r="AY349" s="176" t="s">
        <v>380</v>
      </c>
      <c r="BK349" s="178">
        <f>SUM(BK350:BK355)</f>
        <v>0</v>
      </c>
    </row>
    <row r="350" spans="1:65" s="2" customFormat="1" ht="16.5" customHeight="1">
      <c r="A350" s="36"/>
      <c r="B350" s="37"/>
      <c r="C350" s="181" t="s">
        <v>1543</v>
      </c>
      <c r="D350" s="181" t="s">
        <v>382</v>
      </c>
      <c r="E350" s="182" t="s">
        <v>4660</v>
      </c>
      <c r="F350" s="183" t="s">
        <v>4661</v>
      </c>
      <c r="G350" s="184" t="s">
        <v>4662</v>
      </c>
      <c r="H350" s="185">
        <v>50</v>
      </c>
      <c r="I350" s="186"/>
      <c r="J350" s="187">
        <f t="shared" ref="J350:J355" si="80">ROUND(I350*H350,2)</f>
        <v>0</v>
      </c>
      <c r="K350" s="183" t="s">
        <v>19</v>
      </c>
      <c r="L350" s="41"/>
      <c r="M350" s="188" t="s">
        <v>19</v>
      </c>
      <c r="N350" s="189" t="s">
        <v>43</v>
      </c>
      <c r="O350" s="66"/>
      <c r="P350" s="190">
        <f t="shared" ref="P350:P355" si="81">O350*H350</f>
        <v>0</v>
      </c>
      <c r="Q350" s="190">
        <v>0</v>
      </c>
      <c r="R350" s="190">
        <f t="shared" ref="R350:R355" si="82">Q350*H350</f>
        <v>0</v>
      </c>
      <c r="S350" s="190">
        <v>0</v>
      </c>
      <c r="T350" s="191">
        <f t="shared" ref="T350:T355" si="83">S350*H350</f>
        <v>0</v>
      </c>
      <c r="U350" s="36"/>
      <c r="V350" s="36"/>
      <c r="W350" s="36"/>
      <c r="X350" s="36"/>
      <c r="Y350" s="36"/>
      <c r="Z350" s="36"/>
      <c r="AA350" s="36"/>
      <c r="AB350" s="36"/>
      <c r="AC350" s="36"/>
      <c r="AD350" s="36"/>
      <c r="AE350" s="36"/>
      <c r="AR350" s="192" t="s">
        <v>386</v>
      </c>
      <c r="AT350" s="192" t="s">
        <v>382</v>
      </c>
      <c r="AU350" s="192" t="s">
        <v>82</v>
      </c>
      <c r="AY350" s="19" t="s">
        <v>380</v>
      </c>
      <c r="BE350" s="193">
        <f t="shared" ref="BE350:BE355" si="84">IF(N350="základní",J350,0)</f>
        <v>0</v>
      </c>
      <c r="BF350" s="193">
        <f t="shared" ref="BF350:BF355" si="85">IF(N350="snížená",J350,0)</f>
        <v>0</v>
      </c>
      <c r="BG350" s="193">
        <f t="shared" ref="BG350:BG355" si="86">IF(N350="zákl. přenesená",J350,0)</f>
        <v>0</v>
      </c>
      <c r="BH350" s="193">
        <f t="shared" ref="BH350:BH355" si="87">IF(N350="sníž. přenesená",J350,0)</f>
        <v>0</v>
      </c>
      <c r="BI350" s="193">
        <f t="shared" ref="BI350:BI355" si="88">IF(N350="nulová",J350,0)</f>
        <v>0</v>
      </c>
      <c r="BJ350" s="19" t="s">
        <v>79</v>
      </c>
      <c r="BK350" s="193">
        <f t="shared" ref="BK350:BK355" si="89">ROUND(I350*H350,2)</f>
        <v>0</v>
      </c>
      <c r="BL350" s="19" t="s">
        <v>386</v>
      </c>
      <c r="BM350" s="192" t="s">
        <v>4663</v>
      </c>
    </row>
    <row r="351" spans="1:65" s="2" customFormat="1" ht="16.5" customHeight="1">
      <c r="A351" s="36"/>
      <c r="B351" s="37"/>
      <c r="C351" s="181" t="s">
        <v>1548</v>
      </c>
      <c r="D351" s="181" t="s">
        <v>382</v>
      </c>
      <c r="E351" s="182" t="s">
        <v>4664</v>
      </c>
      <c r="F351" s="183" t="s">
        <v>4665</v>
      </c>
      <c r="G351" s="184" t="s">
        <v>4662</v>
      </c>
      <c r="H351" s="185">
        <v>24</v>
      </c>
      <c r="I351" s="186"/>
      <c r="J351" s="187">
        <f t="shared" si="80"/>
        <v>0</v>
      </c>
      <c r="K351" s="183" t="s">
        <v>19</v>
      </c>
      <c r="L351" s="41"/>
      <c r="M351" s="188" t="s">
        <v>19</v>
      </c>
      <c r="N351" s="189" t="s">
        <v>43</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386</v>
      </c>
      <c r="AT351" s="192" t="s">
        <v>382</v>
      </c>
      <c r="AU351" s="192" t="s">
        <v>82</v>
      </c>
      <c r="AY351" s="19" t="s">
        <v>380</v>
      </c>
      <c r="BE351" s="193">
        <f t="shared" si="84"/>
        <v>0</v>
      </c>
      <c r="BF351" s="193">
        <f t="shared" si="85"/>
        <v>0</v>
      </c>
      <c r="BG351" s="193">
        <f t="shared" si="86"/>
        <v>0</v>
      </c>
      <c r="BH351" s="193">
        <f t="shared" si="87"/>
        <v>0</v>
      </c>
      <c r="BI351" s="193">
        <f t="shared" si="88"/>
        <v>0</v>
      </c>
      <c r="BJ351" s="19" t="s">
        <v>79</v>
      </c>
      <c r="BK351" s="193">
        <f t="shared" si="89"/>
        <v>0</v>
      </c>
      <c r="BL351" s="19" t="s">
        <v>386</v>
      </c>
      <c r="BM351" s="192" t="s">
        <v>4666</v>
      </c>
    </row>
    <row r="352" spans="1:65" s="2" customFormat="1" ht="16.5" customHeight="1">
      <c r="A352" s="36"/>
      <c r="B352" s="37"/>
      <c r="C352" s="181" t="s">
        <v>1553</v>
      </c>
      <c r="D352" s="181" t="s">
        <v>382</v>
      </c>
      <c r="E352" s="182" t="s">
        <v>4667</v>
      </c>
      <c r="F352" s="183" t="s">
        <v>4668</v>
      </c>
      <c r="G352" s="184" t="s">
        <v>4662</v>
      </c>
      <c r="H352" s="185">
        <v>24</v>
      </c>
      <c r="I352" s="186"/>
      <c r="J352" s="187">
        <f t="shared" si="80"/>
        <v>0</v>
      </c>
      <c r="K352" s="183" t="s">
        <v>19</v>
      </c>
      <c r="L352" s="41"/>
      <c r="M352" s="188" t="s">
        <v>19</v>
      </c>
      <c r="N352" s="189" t="s">
        <v>43</v>
      </c>
      <c r="O352" s="66"/>
      <c r="P352" s="190">
        <f t="shared" si="81"/>
        <v>0</v>
      </c>
      <c r="Q352" s="190">
        <v>0</v>
      </c>
      <c r="R352" s="190">
        <f t="shared" si="82"/>
        <v>0</v>
      </c>
      <c r="S352" s="190">
        <v>0</v>
      </c>
      <c r="T352" s="191">
        <f t="shared" si="83"/>
        <v>0</v>
      </c>
      <c r="U352" s="36"/>
      <c r="V352" s="36"/>
      <c r="W352" s="36"/>
      <c r="X352" s="36"/>
      <c r="Y352" s="36"/>
      <c r="Z352" s="36"/>
      <c r="AA352" s="36"/>
      <c r="AB352" s="36"/>
      <c r="AC352" s="36"/>
      <c r="AD352" s="36"/>
      <c r="AE352" s="36"/>
      <c r="AR352" s="192" t="s">
        <v>386</v>
      </c>
      <c r="AT352" s="192" t="s">
        <v>382</v>
      </c>
      <c r="AU352" s="192" t="s">
        <v>82</v>
      </c>
      <c r="AY352" s="19" t="s">
        <v>380</v>
      </c>
      <c r="BE352" s="193">
        <f t="shared" si="84"/>
        <v>0</v>
      </c>
      <c r="BF352" s="193">
        <f t="shared" si="85"/>
        <v>0</v>
      </c>
      <c r="BG352" s="193">
        <f t="shared" si="86"/>
        <v>0</v>
      </c>
      <c r="BH352" s="193">
        <f t="shared" si="87"/>
        <v>0</v>
      </c>
      <c r="BI352" s="193">
        <f t="shared" si="88"/>
        <v>0</v>
      </c>
      <c r="BJ352" s="19" t="s">
        <v>79</v>
      </c>
      <c r="BK352" s="193">
        <f t="shared" si="89"/>
        <v>0</v>
      </c>
      <c r="BL352" s="19" t="s">
        <v>386</v>
      </c>
      <c r="BM352" s="192" t="s">
        <v>4669</v>
      </c>
    </row>
    <row r="353" spans="1:65" s="2" customFormat="1" ht="16.5" customHeight="1">
      <c r="A353" s="36"/>
      <c r="B353" s="37"/>
      <c r="C353" s="181" t="s">
        <v>1558</v>
      </c>
      <c r="D353" s="181" t="s">
        <v>382</v>
      </c>
      <c r="E353" s="182" t="s">
        <v>4670</v>
      </c>
      <c r="F353" s="183" t="s">
        <v>4671</v>
      </c>
      <c r="G353" s="184" t="s">
        <v>4662</v>
      </c>
      <c r="H353" s="185">
        <v>60</v>
      </c>
      <c r="I353" s="186"/>
      <c r="J353" s="187">
        <f t="shared" si="80"/>
        <v>0</v>
      </c>
      <c r="K353" s="183" t="s">
        <v>19</v>
      </c>
      <c r="L353" s="41"/>
      <c r="M353" s="188" t="s">
        <v>19</v>
      </c>
      <c r="N353" s="189" t="s">
        <v>43</v>
      </c>
      <c r="O353" s="66"/>
      <c r="P353" s="190">
        <f t="shared" si="81"/>
        <v>0</v>
      </c>
      <c r="Q353" s="190">
        <v>0</v>
      </c>
      <c r="R353" s="190">
        <f t="shared" si="82"/>
        <v>0</v>
      </c>
      <c r="S353" s="190">
        <v>0</v>
      </c>
      <c r="T353" s="191">
        <f t="shared" si="83"/>
        <v>0</v>
      </c>
      <c r="U353" s="36"/>
      <c r="V353" s="36"/>
      <c r="W353" s="36"/>
      <c r="X353" s="36"/>
      <c r="Y353" s="36"/>
      <c r="Z353" s="36"/>
      <c r="AA353" s="36"/>
      <c r="AB353" s="36"/>
      <c r="AC353" s="36"/>
      <c r="AD353" s="36"/>
      <c r="AE353" s="36"/>
      <c r="AR353" s="192" t="s">
        <v>386</v>
      </c>
      <c r="AT353" s="192" t="s">
        <v>382</v>
      </c>
      <c r="AU353" s="192" t="s">
        <v>82</v>
      </c>
      <c r="AY353" s="19" t="s">
        <v>380</v>
      </c>
      <c r="BE353" s="193">
        <f t="shared" si="84"/>
        <v>0</v>
      </c>
      <c r="BF353" s="193">
        <f t="shared" si="85"/>
        <v>0</v>
      </c>
      <c r="BG353" s="193">
        <f t="shared" si="86"/>
        <v>0</v>
      </c>
      <c r="BH353" s="193">
        <f t="shared" si="87"/>
        <v>0</v>
      </c>
      <c r="BI353" s="193">
        <f t="shared" si="88"/>
        <v>0</v>
      </c>
      <c r="BJ353" s="19" t="s">
        <v>79</v>
      </c>
      <c r="BK353" s="193">
        <f t="shared" si="89"/>
        <v>0</v>
      </c>
      <c r="BL353" s="19" t="s">
        <v>386</v>
      </c>
      <c r="BM353" s="192" t="s">
        <v>4672</v>
      </c>
    </row>
    <row r="354" spans="1:65" s="2" customFormat="1" ht="16.5" customHeight="1">
      <c r="A354" s="36"/>
      <c r="B354" s="37"/>
      <c r="C354" s="181" t="s">
        <v>1563</v>
      </c>
      <c r="D354" s="181" t="s">
        <v>382</v>
      </c>
      <c r="E354" s="182" t="s">
        <v>4673</v>
      </c>
      <c r="F354" s="183" t="s">
        <v>4674</v>
      </c>
      <c r="G354" s="184" t="s">
        <v>4662</v>
      </c>
      <c r="H354" s="185">
        <v>8</v>
      </c>
      <c r="I354" s="186"/>
      <c r="J354" s="187">
        <f t="shared" si="80"/>
        <v>0</v>
      </c>
      <c r="K354" s="183" t="s">
        <v>19</v>
      </c>
      <c r="L354" s="41"/>
      <c r="M354" s="188" t="s">
        <v>19</v>
      </c>
      <c r="N354" s="189" t="s">
        <v>43</v>
      </c>
      <c r="O354" s="66"/>
      <c r="P354" s="190">
        <f t="shared" si="81"/>
        <v>0</v>
      </c>
      <c r="Q354" s="190">
        <v>0</v>
      </c>
      <c r="R354" s="190">
        <f t="shared" si="82"/>
        <v>0</v>
      </c>
      <c r="S354" s="190">
        <v>0</v>
      </c>
      <c r="T354" s="191">
        <f t="shared" si="83"/>
        <v>0</v>
      </c>
      <c r="U354" s="36"/>
      <c r="V354" s="36"/>
      <c r="W354" s="36"/>
      <c r="X354" s="36"/>
      <c r="Y354" s="36"/>
      <c r="Z354" s="36"/>
      <c r="AA354" s="36"/>
      <c r="AB354" s="36"/>
      <c r="AC354" s="36"/>
      <c r="AD354" s="36"/>
      <c r="AE354" s="36"/>
      <c r="AR354" s="192" t="s">
        <v>386</v>
      </c>
      <c r="AT354" s="192" t="s">
        <v>382</v>
      </c>
      <c r="AU354" s="192" t="s">
        <v>82</v>
      </c>
      <c r="AY354" s="19" t="s">
        <v>380</v>
      </c>
      <c r="BE354" s="193">
        <f t="shared" si="84"/>
        <v>0</v>
      </c>
      <c r="BF354" s="193">
        <f t="shared" si="85"/>
        <v>0</v>
      </c>
      <c r="BG354" s="193">
        <f t="shared" si="86"/>
        <v>0</v>
      </c>
      <c r="BH354" s="193">
        <f t="shared" si="87"/>
        <v>0</v>
      </c>
      <c r="BI354" s="193">
        <f t="shared" si="88"/>
        <v>0</v>
      </c>
      <c r="BJ354" s="19" t="s">
        <v>79</v>
      </c>
      <c r="BK354" s="193">
        <f t="shared" si="89"/>
        <v>0</v>
      </c>
      <c r="BL354" s="19" t="s">
        <v>386</v>
      </c>
      <c r="BM354" s="192" t="s">
        <v>4675</v>
      </c>
    </row>
    <row r="355" spans="1:65" s="2" customFormat="1" ht="16.5" customHeight="1">
      <c r="A355" s="36"/>
      <c r="B355" s="37"/>
      <c r="C355" s="181" t="s">
        <v>1576</v>
      </c>
      <c r="D355" s="181" t="s">
        <v>382</v>
      </c>
      <c r="E355" s="182" t="s">
        <v>4676</v>
      </c>
      <c r="F355" s="183" t="s">
        <v>4677</v>
      </c>
      <c r="G355" s="184" t="s">
        <v>4662</v>
      </c>
      <c r="H355" s="185">
        <v>60</v>
      </c>
      <c r="I355" s="186"/>
      <c r="J355" s="187">
        <f t="shared" si="80"/>
        <v>0</v>
      </c>
      <c r="K355" s="183" t="s">
        <v>19</v>
      </c>
      <c r="L355" s="41"/>
      <c r="M355" s="252" t="s">
        <v>19</v>
      </c>
      <c r="N355" s="253" t="s">
        <v>43</v>
      </c>
      <c r="O355" s="254"/>
      <c r="P355" s="255">
        <f t="shared" si="81"/>
        <v>0</v>
      </c>
      <c r="Q355" s="255">
        <v>0</v>
      </c>
      <c r="R355" s="255">
        <f t="shared" si="82"/>
        <v>0</v>
      </c>
      <c r="S355" s="255">
        <v>0</v>
      </c>
      <c r="T355" s="256">
        <f t="shared" si="83"/>
        <v>0</v>
      </c>
      <c r="U355" s="36"/>
      <c r="V355" s="36"/>
      <c r="W355" s="36"/>
      <c r="X355" s="36"/>
      <c r="Y355" s="36"/>
      <c r="Z355" s="36"/>
      <c r="AA355" s="36"/>
      <c r="AB355" s="36"/>
      <c r="AC355" s="36"/>
      <c r="AD355" s="36"/>
      <c r="AE355" s="36"/>
      <c r="AR355" s="192" t="s">
        <v>386</v>
      </c>
      <c r="AT355" s="192" t="s">
        <v>382</v>
      </c>
      <c r="AU355" s="192" t="s">
        <v>82</v>
      </c>
      <c r="AY355" s="19" t="s">
        <v>380</v>
      </c>
      <c r="BE355" s="193">
        <f t="shared" si="84"/>
        <v>0</v>
      </c>
      <c r="BF355" s="193">
        <f t="shared" si="85"/>
        <v>0</v>
      </c>
      <c r="BG355" s="193">
        <f t="shared" si="86"/>
        <v>0</v>
      </c>
      <c r="BH355" s="193">
        <f t="shared" si="87"/>
        <v>0</v>
      </c>
      <c r="BI355" s="193">
        <f t="shared" si="88"/>
        <v>0</v>
      </c>
      <c r="BJ355" s="19" t="s">
        <v>79</v>
      </c>
      <c r="BK355" s="193">
        <f t="shared" si="89"/>
        <v>0</v>
      </c>
      <c r="BL355" s="19" t="s">
        <v>386</v>
      </c>
      <c r="BM355" s="192" t="s">
        <v>4678</v>
      </c>
    </row>
    <row r="356" spans="1:65" s="2" customFormat="1" ht="6.95" customHeight="1">
      <c r="A356" s="36"/>
      <c r="B356" s="49"/>
      <c r="C356" s="50"/>
      <c r="D356" s="50"/>
      <c r="E356" s="50"/>
      <c r="F356" s="50"/>
      <c r="G356" s="50"/>
      <c r="H356" s="50"/>
      <c r="I356" s="50"/>
      <c r="J356" s="50"/>
      <c r="K356" s="50"/>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4fiw5nkp0fThwtteUmGZZDaCehDWayz00Z+7luyhM2OhGUY1rUqvX3A4dk6P+nGNwAWmO9MhTu6CkWZ0ugjzUw==" saltValue="4frBiPKmcHMunr0pb6lxfcaaOTNSj2s4hWCeDaMK84m6QDwWFUPsFDssWpsrFLinvP8kV8dlwzyfcOzb0/bo3Q==" spinCount="100000" sheet="1" objects="1" scenarios="1" formatColumns="0" formatRows="0" autoFilter="0"/>
  <autoFilter ref="C91:K355" xr:uid="{00000000-0009-0000-0000-000011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4679</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4680</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ROUND((SUM(BE97:BE254)),  2)</f>
        <v>0</v>
      </c>
      <c r="G35" s="36"/>
      <c r="H35" s="36"/>
      <c r="I35" s="127">
        <v>0.21</v>
      </c>
      <c r="J35" s="126">
        <f>ROUND(((SUM(BE97:BE254))*I35),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ROUND((SUM(BF97:BF254)),  2)</f>
        <v>0</v>
      </c>
      <c r="G36" s="36"/>
      <c r="H36" s="36"/>
      <c r="I36" s="127">
        <v>0.15</v>
      </c>
      <c r="J36" s="126">
        <f>ROUND(((SUM(BF97:BF254))*I36),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ROUND((SUM(BG97:BG254)),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ROUND((SUM(BH97:BH254)),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ROUND((SUM(BI97:BI254)),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SLP - SLABOPROUD</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J97</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4681</v>
      </c>
      <c r="E64" s="146"/>
      <c r="F64" s="146"/>
      <c r="G64" s="146"/>
      <c r="H64" s="146"/>
      <c r="I64" s="146"/>
      <c r="J64" s="147">
        <f>J98</f>
        <v>0</v>
      </c>
      <c r="K64" s="144"/>
      <c r="L64" s="148"/>
    </row>
    <row r="65" spans="1:31" s="9" customFormat="1" ht="24.95" customHeight="1">
      <c r="B65" s="143"/>
      <c r="C65" s="144"/>
      <c r="D65" s="145" t="s">
        <v>4682</v>
      </c>
      <c r="E65" s="146"/>
      <c r="F65" s="146"/>
      <c r="G65" s="146"/>
      <c r="H65" s="146"/>
      <c r="I65" s="146"/>
      <c r="J65" s="147">
        <f>J127</f>
        <v>0</v>
      </c>
      <c r="K65" s="144"/>
      <c r="L65" s="148"/>
    </row>
    <row r="66" spans="1:31" s="9" customFormat="1" ht="24.95" customHeight="1">
      <c r="B66" s="143"/>
      <c r="C66" s="144"/>
      <c r="D66" s="145" t="s">
        <v>4683</v>
      </c>
      <c r="E66" s="146"/>
      <c r="F66" s="146"/>
      <c r="G66" s="146"/>
      <c r="H66" s="146"/>
      <c r="I66" s="146"/>
      <c r="J66" s="147">
        <f>J139</f>
        <v>0</v>
      </c>
      <c r="K66" s="144"/>
      <c r="L66" s="148"/>
    </row>
    <row r="67" spans="1:31" s="9" customFormat="1" ht="24.95" customHeight="1">
      <c r="B67" s="143"/>
      <c r="C67" s="144"/>
      <c r="D67" s="145" t="s">
        <v>4684</v>
      </c>
      <c r="E67" s="146"/>
      <c r="F67" s="146"/>
      <c r="G67" s="146"/>
      <c r="H67" s="146"/>
      <c r="I67" s="146"/>
      <c r="J67" s="147">
        <f>J150</f>
        <v>0</v>
      </c>
      <c r="K67" s="144"/>
      <c r="L67" s="148"/>
    </row>
    <row r="68" spans="1:31" s="9" customFormat="1" ht="24.95" customHeight="1">
      <c r="B68" s="143"/>
      <c r="C68" s="144"/>
      <c r="D68" s="145" t="s">
        <v>4685</v>
      </c>
      <c r="E68" s="146"/>
      <c r="F68" s="146"/>
      <c r="G68" s="146"/>
      <c r="H68" s="146"/>
      <c r="I68" s="146"/>
      <c r="J68" s="147">
        <f>J154</f>
        <v>0</v>
      </c>
      <c r="K68" s="144"/>
      <c r="L68" s="148"/>
    </row>
    <row r="69" spans="1:31" s="9" customFormat="1" ht="24.95" customHeight="1">
      <c r="B69" s="143"/>
      <c r="C69" s="144"/>
      <c r="D69" s="145" t="s">
        <v>4686</v>
      </c>
      <c r="E69" s="146"/>
      <c r="F69" s="146"/>
      <c r="G69" s="146"/>
      <c r="H69" s="146"/>
      <c r="I69" s="146"/>
      <c r="J69" s="147">
        <f>J175</f>
        <v>0</v>
      </c>
      <c r="K69" s="144"/>
      <c r="L69" s="148"/>
    </row>
    <row r="70" spans="1:31" s="9" customFormat="1" ht="24.95" customHeight="1">
      <c r="B70" s="143"/>
      <c r="C70" s="144"/>
      <c r="D70" s="145" t="s">
        <v>4687</v>
      </c>
      <c r="E70" s="146"/>
      <c r="F70" s="146"/>
      <c r="G70" s="146"/>
      <c r="H70" s="146"/>
      <c r="I70" s="146"/>
      <c r="J70" s="147">
        <f>J187</f>
        <v>0</v>
      </c>
      <c r="K70" s="144"/>
      <c r="L70" s="148"/>
    </row>
    <row r="71" spans="1:31" s="9" customFormat="1" ht="24.95" customHeight="1">
      <c r="B71" s="143"/>
      <c r="C71" s="144"/>
      <c r="D71" s="145" t="s">
        <v>4688</v>
      </c>
      <c r="E71" s="146"/>
      <c r="F71" s="146"/>
      <c r="G71" s="146"/>
      <c r="H71" s="146"/>
      <c r="I71" s="146"/>
      <c r="J71" s="147">
        <f>J206</f>
        <v>0</v>
      </c>
      <c r="K71" s="144"/>
      <c r="L71" s="148"/>
    </row>
    <row r="72" spans="1:31" s="9" customFormat="1" ht="24.95" customHeight="1">
      <c r="B72" s="143"/>
      <c r="C72" s="144"/>
      <c r="D72" s="145" t="s">
        <v>4689</v>
      </c>
      <c r="E72" s="146"/>
      <c r="F72" s="146"/>
      <c r="G72" s="146"/>
      <c r="H72" s="146"/>
      <c r="I72" s="146"/>
      <c r="J72" s="147">
        <f>J214</f>
        <v>0</v>
      </c>
      <c r="K72" s="144"/>
      <c r="L72" s="148"/>
    </row>
    <row r="73" spans="1:31" s="9" customFormat="1" ht="24.95" customHeight="1">
      <c r="B73" s="143"/>
      <c r="C73" s="144"/>
      <c r="D73" s="145" t="s">
        <v>4690</v>
      </c>
      <c r="E73" s="146"/>
      <c r="F73" s="146"/>
      <c r="G73" s="146"/>
      <c r="H73" s="146"/>
      <c r="I73" s="146"/>
      <c r="J73" s="147">
        <f>J233</f>
        <v>0</v>
      </c>
      <c r="K73" s="144"/>
      <c r="L73" s="148"/>
    </row>
    <row r="74" spans="1:31" s="9" customFormat="1" ht="24.95" customHeight="1">
      <c r="B74" s="143"/>
      <c r="C74" s="144"/>
      <c r="D74" s="145" t="s">
        <v>4691</v>
      </c>
      <c r="E74" s="146"/>
      <c r="F74" s="146"/>
      <c r="G74" s="146"/>
      <c r="H74" s="146"/>
      <c r="I74" s="146"/>
      <c r="J74" s="147">
        <f>J246</f>
        <v>0</v>
      </c>
      <c r="K74" s="144"/>
      <c r="L74" s="148"/>
    </row>
    <row r="75" spans="1:31" s="9" customFormat="1" ht="24.95" customHeight="1">
      <c r="B75" s="143"/>
      <c r="C75" s="144"/>
      <c r="D75" s="145" t="s">
        <v>4692</v>
      </c>
      <c r="E75" s="146"/>
      <c r="F75" s="146"/>
      <c r="G75" s="146"/>
      <c r="H75" s="146"/>
      <c r="I75" s="146"/>
      <c r="J75" s="147">
        <f>J251</f>
        <v>0</v>
      </c>
      <c r="K75" s="144"/>
      <c r="L75" s="148"/>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365</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416" t="str">
        <f>E7</f>
        <v>ARCHIV UP V OLOMOUCI - BEZ VYBAVENÍ INTERIÉRU</v>
      </c>
      <c r="F85" s="417"/>
      <c r="G85" s="417"/>
      <c r="H85" s="417"/>
      <c r="I85" s="38"/>
      <c r="J85" s="38"/>
      <c r="K85" s="38"/>
      <c r="L85" s="116"/>
      <c r="S85" s="36"/>
      <c r="T85" s="36"/>
      <c r="U85" s="36"/>
      <c r="V85" s="36"/>
      <c r="W85" s="36"/>
      <c r="X85" s="36"/>
      <c r="Y85" s="36"/>
      <c r="Z85" s="36"/>
      <c r="AA85" s="36"/>
      <c r="AB85" s="36"/>
      <c r="AC85" s="36"/>
      <c r="AD85" s="36"/>
      <c r="AE85" s="36"/>
    </row>
    <row r="86" spans="1:31" s="1" customFormat="1" ht="12" customHeight="1">
      <c r="B86" s="23"/>
      <c r="C86" s="31" t="s">
        <v>282</v>
      </c>
      <c r="D86" s="24"/>
      <c r="E86" s="24"/>
      <c r="F86" s="24"/>
      <c r="G86" s="24"/>
      <c r="H86" s="24"/>
      <c r="I86" s="24"/>
      <c r="J86" s="24"/>
      <c r="K86" s="24"/>
      <c r="L86" s="22"/>
    </row>
    <row r="87" spans="1:31" s="2" customFormat="1" ht="16.5" customHeight="1">
      <c r="A87" s="36"/>
      <c r="B87" s="37"/>
      <c r="C87" s="38"/>
      <c r="D87" s="38"/>
      <c r="E87" s="416" t="s">
        <v>285</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288</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E11</f>
        <v>SLP - SLABOPROUD</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 xml:space="preserve"> </v>
      </c>
      <c r="G91" s="38"/>
      <c r="H91" s="38"/>
      <c r="I91" s="31" t="s">
        <v>23</v>
      </c>
      <c r="J91" s="61" t="str">
        <f>IF(J14="","",J14)</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E17</f>
        <v>UP V OLOMOUCI, KŘÍŽOVSKÉHO 511/8, 779 00</v>
      </c>
      <c r="G93" s="38"/>
      <c r="H93" s="38"/>
      <c r="I93" s="31" t="s">
        <v>31</v>
      </c>
      <c r="J93" s="34" t="str">
        <f>E23</f>
        <v>ALFAPROJEKT OLOMOUC a.s.</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IF(E20="","",E20)</f>
        <v>Vyplň údaj</v>
      </c>
      <c r="G94" s="38"/>
      <c r="H94" s="38"/>
      <c r="I94" s="31" t="s">
        <v>34</v>
      </c>
      <c r="J94" s="34" t="str">
        <f>E26</f>
        <v>PROPOS LIBEREC s.r.o.</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P98+P127+P139+P150+P154+P175+P187+P206+P214+P233+P246+P251</f>
        <v>0</v>
      </c>
      <c r="Q97" s="74"/>
      <c r="R97" s="162">
        <f>R98+R127+R139+R150+R154+R175+R187+R206+R214+R233+R246+R251</f>
        <v>0</v>
      </c>
      <c r="S97" s="74"/>
      <c r="T97" s="163">
        <f>T98+T127+T139+T150+T154+T175+T187+T206+T214+T233+T246+T251</f>
        <v>0</v>
      </c>
      <c r="U97" s="36"/>
      <c r="V97" s="36"/>
      <c r="W97" s="36"/>
      <c r="X97" s="36"/>
      <c r="Y97" s="36"/>
      <c r="Z97" s="36"/>
      <c r="AA97" s="36"/>
      <c r="AB97" s="36"/>
      <c r="AC97" s="36"/>
      <c r="AD97" s="36"/>
      <c r="AE97" s="36"/>
      <c r="AT97" s="19" t="s">
        <v>71</v>
      </c>
      <c r="AU97" s="19" t="s">
        <v>335</v>
      </c>
      <c r="BK97" s="164">
        <f>BK98+BK127+BK139+BK150+BK154+BK175+BK187+BK206+BK214+BK233+BK246+BK251</f>
        <v>0</v>
      </c>
    </row>
    <row r="98" spans="1:65" s="12" customFormat="1" ht="25.9" customHeight="1">
      <c r="B98" s="165"/>
      <c r="C98" s="166"/>
      <c r="D98" s="167" t="s">
        <v>71</v>
      </c>
      <c r="E98" s="168" t="s">
        <v>4693</v>
      </c>
      <c r="F98" s="168" t="s">
        <v>4694</v>
      </c>
      <c r="G98" s="166"/>
      <c r="H98" s="166"/>
      <c r="I98" s="169"/>
      <c r="J98" s="170">
        <f>BK98</f>
        <v>0</v>
      </c>
      <c r="K98" s="166"/>
      <c r="L98" s="171"/>
      <c r="M98" s="172"/>
      <c r="N98" s="173"/>
      <c r="O98" s="173"/>
      <c r="P98" s="174">
        <f>SUM(P99:P126)</f>
        <v>0</v>
      </c>
      <c r="Q98" s="173"/>
      <c r="R98" s="174">
        <f>SUM(R99:R126)</f>
        <v>0</v>
      </c>
      <c r="S98" s="173"/>
      <c r="T98" s="175">
        <f>SUM(T99:T126)</f>
        <v>0</v>
      </c>
      <c r="AR98" s="176" t="s">
        <v>79</v>
      </c>
      <c r="AT98" s="177" t="s">
        <v>71</v>
      </c>
      <c r="AU98" s="177" t="s">
        <v>72</v>
      </c>
      <c r="AY98" s="176" t="s">
        <v>380</v>
      </c>
      <c r="BK98" s="178">
        <f>SUM(BK99:BK126)</f>
        <v>0</v>
      </c>
    </row>
    <row r="99" spans="1:65" s="2" customFormat="1" ht="21.75" customHeight="1">
      <c r="A99" s="36"/>
      <c r="B99" s="37"/>
      <c r="C99" s="181" t="s">
        <v>79</v>
      </c>
      <c r="D99" s="181" t="s">
        <v>382</v>
      </c>
      <c r="E99" s="182" t="s">
        <v>4695</v>
      </c>
      <c r="F99" s="183" t="s">
        <v>4696</v>
      </c>
      <c r="G99" s="184" t="s">
        <v>2393</v>
      </c>
      <c r="H99" s="185">
        <v>1</v>
      </c>
      <c r="I99" s="186"/>
      <c r="J99" s="187">
        <f t="shared" ref="J99:J126" si="0">ROUND(I99*H99,2)</f>
        <v>0</v>
      </c>
      <c r="K99" s="183" t="s">
        <v>19</v>
      </c>
      <c r="L99" s="41"/>
      <c r="M99" s="188" t="s">
        <v>19</v>
      </c>
      <c r="N99" s="189" t="s">
        <v>43</v>
      </c>
      <c r="O99" s="66"/>
      <c r="P99" s="190">
        <f t="shared" ref="P99:P126" si="1">O99*H99</f>
        <v>0</v>
      </c>
      <c r="Q99" s="190">
        <v>0</v>
      </c>
      <c r="R99" s="190">
        <f t="shared" ref="R99:R126" si="2">Q99*H99</f>
        <v>0</v>
      </c>
      <c r="S99" s="190">
        <v>0</v>
      </c>
      <c r="T99" s="191">
        <f t="shared" ref="T99:T126" si="3">S99*H99</f>
        <v>0</v>
      </c>
      <c r="U99" s="36"/>
      <c r="V99" s="36"/>
      <c r="W99" s="36"/>
      <c r="X99" s="36"/>
      <c r="Y99" s="36"/>
      <c r="Z99" s="36"/>
      <c r="AA99" s="36"/>
      <c r="AB99" s="36"/>
      <c r="AC99" s="36"/>
      <c r="AD99" s="36"/>
      <c r="AE99" s="36"/>
      <c r="AR99" s="192" t="s">
        <v>281</v>
      </c>
      <c r="AT99" s="192" t="s">
        <v>382</v>
      </c>
      <c r="AU99" s="192" t="s">
        <v>79</v>
      </c>
      <c r="AY99" s="19" t="s">
        <v>380</v>
      </c>
      <c r="BE99" s="193">
        <f t="shared" ref="BE99:BE126" si="4">IF(N99="základní",J99,0)</f>
        <v>0</v>
      </c>
      <c r="BF99" s="193">
        <f t="shared" ref="BF99:BF126" si="5">IF(N99="snížená",J99,0)</f>
        <v>0</v>
      </c>
      <c r="BG99" s="193">
        <f t="shared" ref="BG99:BG126" si="6">IF(N99="zákl. přenesená",J99,0)</f>
        <v>0</v>
      </c>
      <c r="BH99" s="193">
        <f t="shared" ref="BH99:BH126" si="7">IF(N99="sníž. přenesená",J99,0)</f>
        <v>0</v>
      </c>
      <c r="BI99" s="193">
        <f t="shared" ref="BI99:BI126" si="8">IF(N99="nulová",J99,0)</f>
        <v>0</v>
      </c>
      <c r="BJ99" s="19" t="s">
        <v>79</v>
      </c>
      <c r="BK99" s="193">
        <f t="shared" ref="BK99:BK126" si="9">ROUND(I99*H99,2)</f>
        <v>0</v>
      </c>
      <c r="BL99" s="19" t="s">
        <v>281</v>
      </c>
      <c r="BM99" s="192" t="s">
        <v>82</v>
      </c>
    </row>
    <row r="100" spans="1:65" s="2" customFormat="1" ht="16.5" customHeight="1">
      <c r="A100" s="36"/>
      <c r="B100" s="37"/>
      <c r="C100" s="181" t="s">
        <v>82</v>
      </c>
      <c r="D100" s="181" t="s">
        <v>382</v>
      </c>
      <c r="E100" s="182" t="s">
        <v>4697</v>
      </c>
      <c r="F100" s="183" t="s">
        <v>4698</v>
      </c>
      <c r="G100" s="184" t="s">
        <v>2393</v>
      </c>
      <c r="H100" s="185">
        <v>1</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281</v>
      </c>
      <c r="AT100" s="192" t="s">
        <v>382</v>
      </c>
      <c r="AU100" s="192" t="s">
        <v>79</v>
      </c>
      <c r="AY100" s="19" t="s">
        <v>380</v>
      </c>
      <c r="BE100" s="193">
        <f t="shared" si="4"/>
        <v>0</v>
      </c>
      <c r="BF100" s="193">
        <f t="shared" si="5"/>
        <v>0</v>
      </c>
      <c r="BG100" s="193">
        <f t="shared" si="6"/>
        <v>0</v>
      </c>
      <c r="BH100" s="193">
        <f t="shared" si="7"/>
        <v>0</v>
      </c>
      <c r="BI100" s="193">
        <f t="shared" si="8"/>
        <v>0</v>
      </c>
      <c r="BJ100" s="19" t="s">
        <v>79</v>
      </c>
      <c r="BK100" s="193">
        <f t="shared" si="9"/>
        <v>0</v>
      </c>
      <c r="BL100" s="19" t="s">
        <v>281</v>
      </c>
      <c r="BM100" s="192" t="s">
        <v>386</v>
      </c>
    </row>
    <row r="101" spans="1:65" s="2" customFormat="1" ht="16.5" customHeight="1">
      <c r="A101" s="36"/>
      <c r="B101" s="37"/>
      <c r="C101" s="181" t="s">
        <v>99</v>
      </c>
      <c r="D101" s="181" t="s">
        <v>382</v>
      </c>
      <c r="E101" s="182" t="s">
        <v>4699</v>
      </c>
      <c r="F101" s="183" t="s">
        <v>4700</v>
      </c>
      <c r="G101" s="184" t="s">
        <v>2393</v>
      </c>
      <c r="H101" s="185">
        <v>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281</v>
      </c>
      <c r="AT101" s="192" t="s">
        <v>382</v>
      </c>
      <c r="AU101" s="192" t="s">
        <v>79</v>
      </c>
      <c r="AY101" s="19" t="s">
        <v>380</v>
      </c>
      <c r="BE101" s="193">
        <f t="shared" si="4"/>
        <v>0</v>
      </c>
      <c r="BF101" s="193">
        <f t="shared" si="5"/>
        <v>0</v>
      </c>
      <c r="BG101" s="193">
        <f t="shared" si="6"/>
        <v>0</v>
      </c>
      <c r="BH101" s="193">
        <f t="shared" si="7"/>
        <v>0</v>
      </c>
      <c r="BI101" s="193">
        <f t="shared" si="8"/>
        <v>0</v>
      </c>
      <c r="BJ101" s="19" t="s">
        <v>79</v>
      </c>
      <c r="BK101" s="193">
        <f t="shared" si="9"/>
        <v>0</v>
      </c>
      <c r="BL101" s="19" t="s">
        <v>281</v>
      </c>
      <c r="BM101" s="192" t="s">
        <v>411</v>
      </c>
    </row>
    <row r="102" spans="1:65" s="2" customFormat="1" ht="16.5" customHeight="1">
      <c r="A102" s="36"/>
      <c r="B102" s="37"/>
      <c r="C102" s="181" t="s">
        <v>386</v>
      </c>
      <c r="D102" s="181" t="s">
        <v>382</v>
      </c>
      <c r="E102" s="182" t="s">
        <v>4701</v>
      </c>
      <c r="F102" s="183" t="s">
        <v>4702</v>
      </c>
      <c r="G102" s="184" t="s">
        <v>2393</v>
      </c>
      <c r="H102" s="185">
        <v>30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281</v>
      </c>
      <c r="AT102" s="192" t="s">
        <v>382</v>
      </c>
      <c r="AU102" s="192" t="s">
        <v>79</v>
      </c>
      <c r="AY102" s="19" t="s">
        <v>380</v>
      </c>
      <c r="BE102" s="193">
        <f t="shared" si="4"/>
        <v>0</v>
      </c>
      <c r="BF102" s="193">
        <f t="shared" si="5"/>
        <v>0</v>
      </c>
      <c r="BG102" s="193">
        <f t="shared" si="6"/>
        <v>0</v>
      </c>
      <c r="BH102" s="193">
        <f t="shared" si="7"/>
        <v>0</v>
      </c>
      <c r="BI102" s="193">
        <f t="shared" si="8"/>
        <v>0</v>
      </c>
      <c r="BJ102" s="19" t="s">
        <v>79</v>
      </c>
      <c r="BK102" s="193">
        <f t="shared" si="9"/>
        <v>0</v>
      </c>
      <c r="BL102" s="19" t="s">
        <v>281</v>
      </c>
      <c r="BM102" s="192" t="s">
        <v>424</v>
      </c>
    </row>
    <row r="103" spans="1:65" s="2" customFormat="1" ht="16.5" customHeight="1">
      <c r="A103" s="36"/>
      <c r="B103" s="37"/>
      <c r="C103" s="181" t="s">
        <v>405</v>
      </c>
      <c r="D103" s="181" t="s">
        <v>382</v>
      </c>
      <c r="E103" s="182" t="s">
        <v>4703</v>
      </c>
      <c r="F103" s="183" t="s">
        <v>4704</v>
      </c>
      <c r="G103" s="184" t="s">
        <v>2393</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281</v>
      </c>
      <c r="AT103" s="192" t="s">
        <v>382</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281</v>
      </c>
      <c r="BM103" s="192" t="s">
        <v>122</v>
      </c>
    </row>
    <row r="104" spans="1:65" s="2" customFormat="1" ht="16.5" customHeight="1">
      <c r="A104" s="36"/>
      <c r="B104" s="37"/>
      <c r="C104" s="181" t="s">
        <v>411</v>
      </c>
      <c r="D104" s="181" t="s">
        <v>382</v>
      </c>
      <c r="E104" s="182" t="s">
        <v>4705</v>
      </c>
      <c r="F104" s="183" t="s">
        <v>4706</v>
      </c>
      <c r="G104" s="184" t="s">
        <v>2393</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281</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281</v>
      </c>
      <c r="BM104" s="192" t="s">
        <v>128</v>
      </c>
    </row>
    <row r="105" spans="1:65" s="2" customFormat="1" ht="16.5" customHeight="1">
      <c r="A105" s="36"/>
      <c r="B105" s="37"/>
      <c r="C105" s="181" t="s">
        <v>420</v>
      </c>
      <c r="D105" s="181" t="s">
        <v>382</v>
      </c>
      <c r="E105" s="182" t="s">
        <v>4707</v>
      </c>
      <c r="F105" s="183" t="s">
        <v>4708</v>
      </c>
      <c r="G105" s="184" t="s">
        <v>2393</v>
      </c>
      <c r="H105" s="185">
        <v>1</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281</v>
      </c>
      <c r="AT105" s="192" t="s">
        <v>382</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281</v>
      </c>
      <c r="BM105" s="192" t="s">
        <v>134</v>
      </c>
    </row>
    <row r="106" spans="1:65" s="2" customFormat="1" ht="21.75" customHeight="1">
      <c r="A106" s="36"/>
      <c r="B106" s="37"/>
      <c r="C106" s="181" t="s">
        <v>424</v>
      </c>
      <c r="D106" s="181" t="s">
        <v>382</v>
      </c>
      <c r="E106" s="182" t="s">
        <v>4709</v>
      </c>
      <c r="F106" s="183" t="s">
        <v>4710</v>
      </c>
      <c r="G106" s="184" t="s">
        <v>2393</v>
      </c>
      <c r="H106" s="185">
        <v>10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281</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281</v>
      </c>
    </row>
    <row r="107" spans="1:65" s="2" customFormat="1" ht="16.5" customHeight="1">
      <c r="A107" s="36"/>
      <c r="B107" s="37"/>
      <c r="C107" s="181" t="s">
        <v>430</v>
      </c>
      <c r="D107" s="181" t="s">
        <v>382</v>
      </c>
      <c r="E107" s="182" t="s">
        <v>4711</v>
      </c>
      <c r="F107" s="183" t="s">
        <v>4712</v>
      </c>
      <c r="G107" s="184" t="s">
        <v>2393</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281</v>
      </c>
      <c r="AT107" s="192" t="s">
        <v>382</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281</v>
      </c>
      <c r="BM107" s="192" t="s">
        <v>477</v>
      </c>
    </row>
    <row r="108" spans="1:65" s="2" customFormat="1" ht="16.5" customHeight="1">
      <c r="A108" s="36"/>
      <c r="B108" s="37"/>
      <c r="C108" s="181" t="s">
        <v>122</v>
      </c>
      <c r="D108" s="181" t="s">
        <v>382</v>
      </c>
      <c r="E108" s="182" t="s">
        <v>4713</v>
      </c>
      <c r="F108" s="183" t="s">
        <v>4714</v>
      </c>
      <c r="G108" s="184" t="s">
        <v>2393</v>
      </c>
      <c r="H108" s="185">
        <v>6</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281</v>
      </c>
      <c r="AT108" s="192" t="s">
        <v>382</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281</v>
      </c>
      <c r="BM108" s="192" t="s">
        <v>486</v>
      </c>
    </row>
    <row r="109" spans="1:65" s="2" customFormat="1" ht="16.5" customHeight="1">
      <c r="A109" s="36"/>
      <c r="B109" s="37"/>
      <c r="C109" s="181" t="s">
        <v>125</v>
      </c>
      <c r="D109" s="181" t="s">
        <v>382</v>
      </c>
      <c r="E109" s="182" t="s">
        <v>4715</v>
      </c>
      <c r="F109" s="183" t="s">
        <v>4716</v>
      </c>
      <c r="G109" s="184" t="s">
        <v>2393</v>
      </c>
      <c r="H109" s="185">
        <v>1</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281</v>
      </c>
      <c r="AT109" s="192" t="s">
        <v>382</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281</v>
      </c>
      <c r="BM109" s="192" t="s">
        <v>495</v>
      </c>
    </row>
    <row r="110" spans="1:65" s="2" customFormat="1" ht="21.75" customHeight="1">
      <c r="A110" s="36"/>
      <c r="B110" s="37"/>
      <c r="C110" s="181" t="s">
        <v>128</v>
      </c>
      <c r="D110" s="181" t="s">
        <v>382</v>
      </c>
      <c r="E110" s="182" t="s">
        <v>4717</v>
      </c>
      <c r="F110" s="183" t="s">
        <v>4718</v>
      </c>
      <c r="G110" s="184" t="s">
        <v>2393</v>
      </c>
      <c r="H110" s="185">
        <v>240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281</v>
      </c>
      <c r="AT110" s="192" t="s">
        <v>382</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281</v>
      </c>
      <c r="BM110" s="192" t="s">
        <v>505</v>
      </c>
    </row>
    <row r="111" spans="1:65" s="2" customFormat="1" ht="16.5" customHeight="1">
      <c r="A111" s="36"/>
      <c r="B111" s="37"/>
      <c r="C111" s="181" t="s">
        <v>131</v>
      </c>
      <c r="D111" s="181" t="s">
        <v>382</v>
      </c>
      <c r="E111" s="182" t="s">
        <v>4719</v>
      </c>
      <c r="F111" s="183" t="s">
        <v>4720</v>
      </c>
      <c r="G111" s="184" t="s">
        <v>452</v>
      </c>
      <c r="H111" s="185">
        <v>11300</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281</v>
      </c>
      <c r="AT111" s="192" t="s">
        <v>382</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281</v>
      </c>
      <c r="BM111" s="192" t="s">
        <v>514</v>
      </c>
    </row>
    <row r="112" spans="1:65" s="2" customFormat="1" ht="16.5" customHeight="1">
      <c r="A112" s="36"/>
      <c r="B112" s="37"/>
      <c r="C112" s="181" t="s">
        <v>134</v>
      </c>
      <c r="D112" s="181" t="s">
        <v>382</v>
      </c>
      <c r="E112" s="182" t="s">
        <v>4721</v>
      </c>
      <c r="F112" s="183" t="s">
        <v>4722</v>
      </c>
      <c r="G112" s="184" t="s">
        <v>2393</v>
      </c>
      <c r="H112" s="185">
        <v>69</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281</v>
      </c>
      <c r="AT112" s="192" t="s">
        <v>382</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281</v>
      </c>
      <c r="BM112" s="192" t="s">
        <v>525</v>
      </c>
    </row>
    <row r="113" spans="1:65" s="2" customFormat="1" ht="16.5" customHeight="1">
      <c r="A113" s="36"/>
      <c r="B113" s="37"/>
      <c r="C113" s="181" t="s">
        <v>8</v>
      </c>
      <c r="D113" s="181" t="s">
        <v>382</v>
      </c>
      <c r="E113" s="182" t="s">
        <v>4723</v>
      </c>
      <c r="F113" s="183" t="s">
        <v>4724</v>
      </c>
      <c r="G113" s="184" t="s">
        <v>2393</v>
      </c>
      <c r="H113" s="185">
        <v>38</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281</v>
      </c>
      <c r="AT113" s="192" t="s">
        <v>382</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281</v>
      </c>
      <c r="BM113" s="192" t="s">
        <v>534</v>
      </c>
    </row>
    <row r="114" spans="1:65" s="2" customFormat="1" ht="16.5" customHeight="1">
      <c r="A114" s="36"/>
      <c r="B114" s="37"/>
      <c r="C114" s="181" t="s">
        <v>281</v>
      </c>
      <c r="D114" s="181" t="s">
        <v>382</v>
      </c>
      <c r="E114" s="182" t="s">
        <v>4725</v>
      </c>
      <c r="F114" s="183" t="s">
        <v>4726</v>
      </c>
      <c r="G114" s="184" t="s">
        <v>2393</v>
      </c>
      <c r="H114" s="185">
        <v>2</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281</v>
      </c>
      <c r="AT114" s="192" t="s">
        <v>382</v>
      </c>
      <c r="AU114" s="192" t="s">
        <v>79</v>
      </c>
      <c r="AY114" s="19" t="s">
        <v>380</v>
      </c>
      <c r="BE114" s="193">
        <f t="shared" si="4"/>
        <v>0</v>
      </c>
      <c r="BF114" s="193">
        <f t="shared" si="5"/>
        <v>0</v>
      </c>
      <c r="BG114" s="193">
        <f t="shared" si="6"/>
        <v>0</v>
      </c>
      <c r="BH114" s="193">
        <f t="shared" si="7"/>
        <v>0</v>
      </c>
      <c r="BI114" s="193">
        <f t="shared" si="8"/>
        <v>0</v>
      </c>
      <c r="BJ114" s="19" t="s">
        <v>79</v>
      </c>
      <c r="BK114" s="193">
        <f t="shared" si="9"/>
        <v>0</v>
      </c>
      <c r="BL114" s="19" t="s">
        <v>281</v>
      </c>
      <c r="BM114" s="192" t="s">
        <v>546</v>
      </c>
    </row>
    <row r="115" spans="1:65" s="2" customFormat="1" ht="16.5" customHeight="1">
      <c r="A115" s="36"/>
      <c r="B115" s="37"/>
      <c r="C115" s="181" t="s">
        <v>471</v>
      </c>
      <c r="D115" s="181" t="s">
        <v>382</v>
      </c>
      <c r="E115" s="182" t="s">
        <v>4727</v>
      </c>
      <c r="F115" s="183" t="s">
        <v>4728</v>
      </c>
      <c r="G115" s="184" t="s">
        <v>2393</v>
      </c>
      <c r="H115" s="185">
        <v>1</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281</v>
      </c>
      <c r="AT115" s="192" t="s">
        <v>382</v>
      </c>
      <c r="AU115" s="192" t="s">
        <v>79</v>
      </c>
      <c r="AY115" s="19" t="s">
        <v>380</v>
      </c>
      <c r="BE115" s="193">
        <f t="shared" si="4"/>
        <v>0</v>
      </c>
      <c r="BF115" s="193">
        <f t="shared" si="5"/>
        <v>0</v>
      </c>
      <c r="BG115" s="193">
        <f t="shared" si="6"/>
        <v>0</v>
      </c>
      <c r="BH115" s="193">
        <f t="shared" si="7"/>
        <v>0</v>
      </c>
      <c r="BI115" s="193">
        <f t="shared" si="8"/>
        <v>0</v>
      </c>
      <c r="BJ115" s="19" t="s">
        <v>79</v>
      </c>
      <c r="BK115" s="193">
        <f t="shared" si="9"/>
        <v>0</v>
      </c>
      <c r="BL115" s="19" t="s">
        <v>281</v>
      </c>
      <c r="BM115" s="192" t="s">
        <v>556</v>
      </c>
    </row>
    <row r="116" spans="1:65" s="2" customFormat="1" ht="16.5" customHeight="1">
      <c r="A116" s="36"/>
      <c r="B116" s="37"/>
      <c r="C116" s="181" t="s">
        <v>477</v>
      </c>
      <c r="D116" s="181" t="s">
        <v>382</v>
      </c>
      <c r="E116" s="182" t="s">
        <v>4729</v>
      </c>
      <c r="F116" s="183" t="s">
        <v>4730</v>
      </c>
      <c r="G116" s="184" t="s">
        <v>2393</v>
      </c>
      <c r="H116" s="185">
        <v>1</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281</v>
      </c>
      <c r="AT116" s="192" t="s">
        <v>382</v>
      </c>
      <c r="AU116" s="192" t="s">
        <v>79</v>
      </c>
      <c r="AY116" s="19" t="s">
        <v>380</v>
      </c>
      <c r="BE116" s="193">
        <f t="shared" si="4"/>
        <v>0</v>
      </c>
      <c r="BF116" s="193">
        <f t="shared" si="5"/>
        <v>0</v>
      </c>
      <c r="BG116" s="193">
        <f t="shared" si="6"/>
        <v>0</v>
      </c>
      <c r="BH116" s="193">
        <f t="shared" si="7"/>
        <v>0</v>
      </c>
      <c r="BI116" s="193">
        <f t="shared" si="8"/>
        <v>0</v>
      </c>
      <c r="BJ116" s="19" t="s">
        <v>79</v>
      </c>
      <c r="BK116" s="193">
        <f t="shared" si="9"/>
        <v>0</v>
      </c>
      <c r="BL116" s="19" t="s">
        <v>281</v>
      </c>
      <c r="BM116" s="192" t="s">
        <v>579</v>
      </c>
    </row>
    <row r="117" spans="1:65" s="2" customFormat="1" ht="16.5" customHeight="1">
      <c r="A117" s="36"/>
      <c r="B117" s="37"/>
      <c r="C117" s="181" t="s">
        <v>284</v>
      </c>
      <c r="D117" s="181" t="s">
        <v>382</v>
      </c>
      <c r="E117" s="182" t="s">
        <v>4731</v>
      </c>
      <c r="F117" s="183" t="s">
        <v>4732</v>
      </c>
      <c r="G117" s="184" t="s">
        <v>2393</v>
      </c>
      <c r="H117" s="185">
        <v>1</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281</v>
      </c>
      <c r="AT117" s="192" t="s">
        <v>382</v>
      </c>
      <c r="AU117" s="192" t="s">
        <v>79</v>
      </c>
      <c r="AY117" s="19" t="s">
        <v>380</v>
      </c>
      <c r="BE117" s="193">
        <f t="shared" si="4"/>
        <v>0</v>
      </c>
      <c r="BF117" s="193">
        <f t="shared" si="5"/>
        <v>0</v>
      </c>
      <c r="BG117" s="193">
        <f t="shared" si="6"/>
        <v>0</v>
      </c>
      <c r="BH117" s="193">
        <f t="shared" si="7"/>
        <v>0</v>
      </c>
      <c r="BI117" s="193">
        <f t="shared" si="8"/>
        <v>0</v>
      </c>
      <c r="BJ117" s="19" t="s">
        <v>79</v>
      </c>
      <c r="BK117" s="193">
        <f t="shared" si="9"/>
        <v>0</v>
      </c>
      <c r="BL117" s="19" t="s">
        <v>281</v>
      </c>
      <c r="BM117" s="192" t="s">
        <v>619</v>
      </c>
    </row>
    <row r="118" spans="1:65" s="2" customFormat="1" ht="16.5" customHeight="1">
      <c r="A118" s="36"/>
      <c r="B118" s="37"/>
      <c r="C118" s="181" t="s">
        <v>486</v>
      </c>
      <c r="D118" s="181" t="s">
        <v>382</v>
      </c>
      <c r="E118" s="182" t="s">
        <v>4733</v>
      </c>
      <c r="F118" s="183" t="s">
        <v>4734</v>
      </c>
      <c r="G118" s="184" t="s">
        <v>2393</v>
      </c>
      <c r="H118" s="185">
        <v>52</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281</v>
      </c>
      <c r="AT118" s="192" t="s">
        <v>382</v>
      </c>
      <c r="AU118" s="192" t="s">
        <v>79</v>
      </c>
      <c r="AY118" s="19" t="s">
        <v>380</v>
      </c>
      <c r="BE118" s="193">
        <f t="shared" si="4"/>
        <v>0</v>
      </c>
      <c r="BF118" s="193">
        <f t="shared" si="5"/>
        <v>0</v>
      </c>
      <c r="BG118" s="193">
        <f t="shared" si="6"/>
        <v>0</v>
      </c>
      <c r="BH118" s="193">
        <f t="shared" si="7"/>
        <v>0</v>
      </c>
      <c r="BI118" s="193">
        <f t="shared" si="8"/>
        <v>0</v>
      </c>
      <c r="BJ118" s="19" t="s">
        <v>79</v>
      </c>
      <c r="BK118" s="193">
        <f t="shared" si="9"/>
        <v>0</v>
      </c>
      <c r="BL118" s="19" t="s">
        <v>281</v>
      </c>
      <c r="BM118" s="192" t="s">
        <v>631</v>
      </c>
    </row>
    <row r="119" spans="1:65" s="2" customFormat="1" ht="16.5" customHeight="1">
      <c r="A119" s="36"/>
      <c r="B119" s="37"/>
      <c r="C119" s="181" t="s">
        <v>7</v>
      </c>
      <c r="D119" s="181" t="s">
        <v>382</v>
      </c>
      <c r="E119" s="182" t="s">
        <v>4735</v>
      </c>
      <c r="F119" s="183" t="s">
        <v>4736</v>
      </c>
      <c r="G119" s="184" t="s">
        <v>2393</v>
      </c>
      <c r="H119" s="185">
        <v>25</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281</v>
      </c>
      <c r="AT119" s="192" t="s">
        <v>382</v>
      </c>
      <c r="AU119" s="192" t="s">
        <v>79</v>
      </c>
      <c r="AY119" s="19" t="s">
        <v>380</v>
      </c>
      <c r="BE119" s="193">
        <f t="shared" si="4"/>
        <v>0</v>
      </c>
      <c r="BF119" s="193">
        <f t="shared" si="5"/>
        <v>0</v>
      </c>
      <c r="BG119" s="193">
        <f t="shared" si="6"/>
        <v>0</v>
      </c>
      <c r="BH119" s="193">
        <f t="shared" si="7"/>
        <v>0</v>
      </c>
      <c r="BI119" s="193">
        <f t="shared" si="8"/>
        <v>0</v>
      </c>
      <c r="BJ119" s="19" t="s">
        <v>79</v>
      </c>
      <c r="BK119" s="193">
        <f t="shared" si="9"/>
        <v>0</v>
      </c>
      <c r="BL119" s="19" t="s">
        <v>281</v>
      </c>
      <c r="BM119" s="192" t="s">
        <v>644</v>
      </c>
    </row>
    <row r="120" spans="1:65" s="2" customFormat="1" ht="16.5" customHeight="1">
      <c r="A120" s="36"/>
      <c r="B120" s="37"/>
      <c r="C120" s="181" t="s">
        <v>495</v>
      </c>
      <c r="D120" s="181" t="s">
        <v>382</v>
      </c>
      <c r="E120" s="182" t="s">
        <v>4737</v>
      </c>
      <c r="F120" s="183" t="s">
        <v>4738</v>
      </c>
      <c r="G120" s="184" t="s">
        <v>2393</v>
      </c>
      <c r="H120" s="185">
        <v>88</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281</v>
      </c>
      <c r="AT120" s="192" t="s">
        <v>382</v>
      </c>
      <c r="AU120" s="192" t="s">
        <v>79</v>
      </c>
      <c r="AY120" s="19" t="s">
        <v>380</v>
      </c>
      <c r="BE120" s="193">
        <f t="shared" si="4"/>
        <v>0</v>
      </c>
      <c r="BF120" s="193">
        <f t="shared" si="5"/>
        <v>0</v>
      </c>
      <c r="BG120" s="193">
        <f t="shared" si="6"/>
        <v>0</v>
      </c>
      <c r="BH120" s="193">
        <f t="shared" si="7"/>
        <v>0</v>
      </c>
      <c r="BI120" s="193">
        <f t="shared" si="8"/>
        <v>0</v>
      </c>
      <c r="BJ120" s="19" t="s">
        <v>79</v>
      </c>
      <c r="BK120" s="193">
        <f t="shared" si="9"/>
        <v>0</v>
      </c>
      <c r="BL120" s="19" t="s">
        <v>281</v>
      </c>
      <c r="BM120" s="192" t="s">
        <v>652</v>
      </c>
    </row>
    <row r="121" spans="1:65" s="2" customFormat="1" ht="16.5" customHeight="1">
      <c r="A121" s="36"/>
      <c r="B121" s="37"/>
      <c r="C121" s="181" t="s">
        <v>500</v>
      </c>
      <c r="D121" s="181" t="s">
        <v>382</v>
      </c>
      <c r="E121" s="182" t="s">
        <v>4739</v>
      </c>
      <c r="F121" s="183" t="s">
        <v>4740</v>
      </c>
      <c r="G121" s="184" t="s">
        <v>2393</v>
      </c>
      <c r="H121" s="185">
        <v>88</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281</v>
      </c>
      <c r="AT121" s="192" t="s">
        <v>382</v>
      </c>
      <c r="AU121" s="192" t="s">
        <v>79</v>
      </c>
      <c r="AY121" s="19" t="s">
        <v>380</v>
      </c>
      <c r="BE121" s="193">
        <f t="shared" si="4"/>
        <v>0</v>
      </c>
      <c r="BF121" s="193">
        <f t="shared" si="5"/>
        <v>0</v>
      </c>
      <c r="BG121" s="193">
        <f t="shared" si="6"/>
        <v>0</v>
      </c>
      <c r="BH121" s="193">
        <f t="shared" si="7"/>
        <v>0</v>
      </c>
      <c r="BI121" s="193">
        <f t="shared" si="8"/>
        <v>0</v>
      </c>
      <c r="BJ121" s="19" t="s">
        <v>79</v>
      </c>
      <c r="BK121" s="193">
        <f t="shared" si="9"/>
        <v>0</v>
      </c>
      <c r="BL121" s="19" t="s">
        <v>281</v>
      </c>
      <c r="BM121" s="192" t="s">
        <v>660</v>
      </c>
    </row>
    <row r="122" spans="1:65" s="2" customFormat="1" ht="16.5" customHeight="1">
      <c r="A122" s="36"/>
      <c r="B122" s="37"/>
      <c r="C122" s="181" t="s">
        <v>505</v>
      </c>
      <c r="D122" s="181" t="s">
        <v>382</v>
      </c>
      <c r="E122" s="182" t="s">
        <v>4741</v>
      </c>
      <c r="F122" s="183" t="s">
        <v>4742</v>
      </c>
      <c r="G122" s="184" t="s">
        <v>2393</v>
      </c>
      <c r="H122" s="185">
        <v>88</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281</v>
      </c>
      <c r="AT122" s="192" t="s">
        <v>382</v>
      </c>
      <c r="AU122" s="192" t="s">
        <v>79</v>
      </c>
      <c r="AY122" s="19" t="s">
        <v>380</v>
      </c>
      <c r="BE122" s="193">
        <f t="shared" si="4"/>
        <v>0</v>
      </c>
      <c r="BF122" s="193">
        <f t="shared" si="5"/>
        <v>0</v>
      </c>
      <c r="BG122" s="193">
        <f t="shared" si="6"/>
        <v>0</v>
      </c>
      <c r="BH122" s="193">
        <f t="shared" si="7"/>
        <v>0</v>
      </c>
      <c r="BI122" s="193">
        <f t="shared" si="8"/>
        <v>0</v>
      </c>
      <c r="BJ122" s="19" t="s">
        <v>79</v>
      </c>
      <c r="BK122" s="193">
        <f t="shared" si="9"/>
        <v>0</v>
      </c>
      <c r="BL122" s="19" t="s">
        <v>281</v>
      </c>
      <c r="BM122" s="192" t="s">
        <v>668</v>
      </c>
    </row>
    <row r="123" spans="1:65" s="2" customFormat="1" ht="16.5" customHeight="1">
      <c r="A123" s="36"/>
      <c r="B123" s="37"/>
      <c r="C123" s="181" t="s">
        <v>509</v>
      </c>
      <c r="D123" s="181" t="s">
        <v>382</v>
      </c>
      <c r="E123" s="182" t="s">
        <v>4743</v>
      </c>
      <c r="F123" s="183" t="s">
        <v>4744</v>
      </c>
      <c r="G123" s="184" t="s">
        <v>452</v>
      </c>
      <c r="H123" s="185">
        <v>75</v>
      </c>
      <c r="I123" s="186"/>
      <c r="J123" s="187">
        <f t="shared" si="0"/>
        <v>0</v>
      </c>
      <c r="K123" s="183" t="s">
        <v>19</v>
      </c>
      <c r="L123" s="41"/>
      <c r="M123" s="188" t="s">
        <v>19</v>
      </c>
      <c r="N123" s="189" t="s">
        <v>43</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281</v>
      </c>
      <c r="AT123" s="192" t="s">
        <v>382</v>
      </c>
      <c r="AU123" s="192" t="s">
        <v>79</v>
      </c>
      <c r="AY123" s="19" t="s">
        <v>380</v>
      </c>
      <c r="BE123" s="193">
        <f t="shared" si="4"/>
        <v>0</v>
      </c>
      <c r="BF123" s="193">
        <f t="shared" si="5"/>
        <v>0</v>
      </c>
      <c r="BG123" s="193">
        <f t="shared" si="6"/>
        <v>0</v>
      </c>
      <c r="BH123" s="193">
        <f t="shared" si="7"/>
        <v>0</v>
      </c>
      <c r="BI123" s="193">
        <f t="shared" si="8"/>
        <v>0</v>
      </c>
      <c r="BJ123" s="19" t="s">
        <v>79</v>
      </c>
      <c r="BK123" s="193">
        <f t="shared" si="9"/>
        <v>0</v>
      </c>
      <c r="BL123" s="19" t="s">
        <v>281</v>
      </c>
      <c r="BM123" s="192" t="s">
        <v>677</v>
      </c>
    </row>
    <row r="124" spans="1:65" s="2" customFormat="1" ht="16.5" customHeight="1">
      <c r="A124" s="36"/>
      <c r="B124" s="37"/>
      <c r="C124" s="181" t="s">
        <v>514</v>
      </c>
      <c r="D124" s="181" t="s">
        <v>382</v>
      </c>
      <c r="E124" s="182" t="s">
        <v>4745</v>
      </c>
      <c r="F124" s="183" t="s">
        <v>4746</v>
      </c>
      <c r="G124" s="184" t="s">
        <v>2393</v>
      </c>
      <c r="H124" s="185">
        <v>110</v>
      </c>
      <c r="I124" s="186"/>
      <c r="J124" s="187">
        <f t="shared" si="0"/>
        <v>0</v>
      </c>
      <c r="K124" s="183" t="s">
        <v>19</v>
      </c>
      <c r="L124" s="41"/>
      <c r="M124" s="188" t="s">
        <v>19</v>
      </c>
      <c r="N124" s="189" t="s">
        <v>43</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281</v>
      </c>
      <c r="AT124" s="192" t="s">
        <v>382</v>
      </c>
      <c r="AU124" s="192" t="s">
        <v>79</v>
      </c>
      <c r="AY124" s="19" t="s">
        <v>380</v>
      </c>
      <c r="BE124" s="193">
        <f t="shared" si="4"/>
        <v>0</v>
      </c>
      <c r="BF124" s="193">
        <f t="shared" si="5"/>
        <v>0</v>
      </c>
      <c r="BG124" s="193">
        <f t="shared" si="6"/>
        <v>0</v>
      </c>
      <c r="BH124" s="193">
        <f t="shared" si="7"/>
        <v>0</v>
      </c>
      <c r="BI124" s="193">
        <f t="shared" si="8"/>
        <v>0</v>
      </c>
      <c r="BJ124" s="19" t="s">
        <v>79</v>
      </c>
      <c r="BK124" s="193">
        <f t="shared" si="9"/>
        <v>0</v>
      </c>
      <c r="BL124" s="19" t="s">
        <v>281</v>
      </c>
      <c r="BM124" s="192" t="s">
        <v>699</v>
      </c>
    </row>
    <row r="125" spans="1:65" s="2" customFormat="1" ht="16.5" customHeight="1">
      <c r="A125" s="36"/>
      <c r="B125" s="37"/>
      <c r="C125" s="181" t="s">
        <v>520</v>
      </c>
      <c r="D125" s="181" t="s">
        <v>382</v>
      </c>
      <c r="E125" s="182" t="s">
        <v>4747</v>
      </c>
      <c r="F125" s="183" t="s">
        <v>4748</v>
      </c>
      <c r="G125" s="184" t="s">
        <v>2393</v>
      </c>
      <c r="H125" s="185">
        <v>1500</v>
      </c>
      <c r="I125" s="186"/>
      <c r="J125" s="187">
        <f t="shared" si="0"/>
        <v>0</v>
      </c>
      <c r="K125" s="183" t="s">
        <v>19</v>
      </c>
      <c r="L125" s="41"/>
      <c r="M125" s="188" t="s">
        <v>19</v>
      </c>
      <c r="N125" s="189" t="s">
        <v>43</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281</v>
      </c>
      <c r="AT125" s="192" t="s">
        <v>382</v>
      </c>
      <c r="AU125" s="192" t="s">
        <v>79</v>
      </c>
      <c r="AY125" s="19" t="s">
        <v>380</v>
      </c>
      <c r="BE125" s="193">
        <f t="shared" si="4"/>
        <v>0</v>
      </c>
      <c r="BF125" s="193">
        <f t="shared" si="5"/>
        <v>0</v>
      </c>
      <c r="BG125" s="193">
        <f t="shared" si="6"/>
        <v>0</v>
      </c>
      <c r="BH125" s="193">
        <f t="shared" si="7"/>
        <v>0</v>
      </c>
      <c r="BI125" s="193">
        <f t="shared" si="8"/>
        <v>0</v>
      </c>
      <c r="BJ125" s="19" t="s">
        <v>79</v>
      </c>
      <c r="BK125" s="193">
        <f t="shared" si="9"/>
        <v>0</v>
      </c>
      <c r="BL125" s="19" t="s">
        <v>281</v>
      </c>
      <c r="BM125" s="192" t="s">
        <v>709</v>
      </c>
    </row>
    <row r="126" spans="1:65" s="2" customFormat="1" ht="16.5" customHeight="1">
      <c r="A126" s="36"/>
      <c r="B126" s="37"/>
      <c r="C126" s="181" t="s">
        <v>525</v>
      </c>
      <c r="D126" s="181" t="s">
        <v>382</v>
      </c>
      <c r="E126" s="182" t="s">
        <v>4749</v>
      </c>
      <c r="F126" s="183" t="s">
        <v>4750</v>
      </c>
      <c r="G126" s="184" t="s">
        <v>2393</v>
      </c>
      <c r="H126" s="185">
        <v>1</v>
      </c>
      <c r="I126" s="186"/>
      <c r="J126" s="187">
        <f t="shared" si="0"/>
        <v>0</v>
      </c>
      <c r="K126" s="183" t="s">
        <v>19</v>
      </c>
      <c r="L126" s="41"/>
      <c r="M126" s="188" t="s">
        <v>19</v>
      </c>
      <c r="N126" s="189" t="s">
        <v>43</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281</v>
      </c>
      <c r="AT126" s="192" t="s">
        <v>382</v>
      </c>
      <c r="AU126" s="192" t="s">
        <v>79</v>
      </c>
      <c r="AY126" s="19" t="s">
        <v>380</v>
      </c>
      <c r="BE126" s="193">
        <f t="shared" si="4"/>
        <v>0</v>
      </c>
      <c r="BF126" s="193">
        <f t="shared" si="5"/>
        <v>0</v>
      </c>
      <c r="BG126" s="193">
        <f t="shared" si="6"/>
        <v>0</v>
      </c>
      <c r="BH126" s="193">
        <f t="shared" si="7"/>
        <v>0</v>
      </c>
      <c r="BI126" s="193">
        <f t="shared" si="8"/>
        <v>0</v>
      </c>
      <c r="BJ126" s="19" t="s">
        <v>79</v>
      </c>
      <c r="BK126" s="193">
        <f t="shared" si="9"/>
        <v>0</v>
      </c>
      <c r="BL126" s="19" t="s">
        <v>281</v>
      </c>
      <c r="BM126" s="192" t="s">
        <v>753</v>
      </c>
    </row>
    <row r="127" spans="1:65" s="12" customFormat="1" ht="25.9" customHeight="1">
      <c r="B127" s="165"/>
      <c r="C127" s="166"/>
      <c r="D127" s="167" t="s">
        <v>71</v>
      </c>
      <c r="E127" s="168" t="s">
        <v>4751</v>
      </c>
      <c r="F127" s="168" t="s">
        <v>4752</v>
      </c>
      <c r="G127" s="166"/>
      <c r="H127" s="166"/>
      <c r="I127" s="169"/>
      <c r="J127" s="170">
        <f>BK127</f>
        <v>0</v>
      </c>
      <c r="K127" s="166"/>
      <c r="L127" s="171"/>
      <c r="M127" s="172"/>
      <c r="N127" s="173"/>
      <c r="O127" s="173"/>
      <c r="P127" s="174">
        <f>SUM(P128:P138)</f>
        <v>0</v>
      </c>
      <c r="Q127" s="173"/>
      <c r="R127" s="174">
        <f>SUM(R128:R138)</f>
        <v>0</v>
      </c>
      <c r="S127" s="173"/>
      <c r="T127" s="175">
        <f>SUM(T128:T138)</f>
        <v>0</v>
      </c>
      <c r="AR127" s="176" t="s">
        <v>79</v>
      </c>
      <c r="AT127" s="177" t="s">
        <v>71</v>
      </c>
      <c r="AU127" s="177" t="s">
        <v>72</v>
      </c>
      <c r="AY127" s="176" t="s">
        <v>380</v>
      </c>
      <c r="BK127" s="178">
        <f>SUM(BK128:BK138)</f>
        <v>0</v>
      </c>
    </row>
    <row r="128" spans="1:65" s="2" customFormat="1" ht="16.5" customHeight="1">
      <c r="A128" s="36"/>
      <c r="B128" s="37"/>
      <c r="C128" s="181" t="s">
        <v>529</v>
      </c>
      <c r="D128" s="181" t="s">
        <v>382</v>
      </c>
      <c r="E128" s="182" t="s">
        <v>4753</v>
      </c>
      <c r="F128" s="183" t="s">
        <v>4754</v>
      </c>
      <c r="G128" s="184" t="s">
        <v>2393</v>
      </c>
      <c r="H128" s="185">
        <v>1</v>
      </c>
      <c r="I128" s="186"/>
      <c r="J128" s="187">
        <f t="shared" ref="J128:J138" si="10">ROUND(I128*H128,2)</f>
        <v>0</v>
      </c>
      <c r="K128" s="183" t="s">
        <v>19</v>
      </c>
      <c r="L128" s="41"/>
      <c r="M128" s="188" t="s">
        <v>19</v>
      </c>
      <c r="N128" s="189" t="s">
        <v>43</v>
      </c>
      <c r="O128" s="66"/>
      <c r="P128" s="190">
        <f t="shared" ref="P128:P138" si="11">O128*H128</f>
        <v>0</v>
      </c>
      <c r="Q128" s="190">
        <v>0</v>
      </c>
      <c r="R128" s="190">
        <f t="shared" ref="R128:R138" si="12">Q128*H128</f>
        <v>0</v>
      </c>
      <c r="S128" s="190">
        <v>0</v>
      </c>
      <c r="T128" s="191">
        <f t="shared" ref="T128:T138" si="13">S128*H128</f>
        <v>0</v>
      </c>
      <c r="U128" s="36"/>
      <c r="V128" s="36"/>
      <c r="W128" s="36"/>
      <c r="X128" s="36"/>
      <c r="Y128" s="36"/>
      <c r="Z128" s="36"/>
      <c r="AA128" s="36"/>
      <c r="AB128" s="36"/>
      <c r="AC128" s="36"/>
      <c r="AD128" s="36"/>
      <c r="AE128" s="36"/>
      <c r="AR128" s="192" t="s">
        <v>281</v>
      </c>
      <c r="AT128" s="192" t="s">
        <v>382</v>
      </c>
      <c r="AU128" s="192" t="s">
        <v>79</v>
      </c>
      <c r="AY128" s="19" t="s">
        <v>380</v>
      </c>
      <c r="BE128" s="193">
        <f t="shared" ref="BE128:BE138" si="14">IF(N128="základní",J128,0)</f>
        <v>0</v>
      </c>
      <c r="BF128" s="193">
        <f t="shared" ref="BF128:BF138" si="15">IF(N128="snížená",J128,0)</f>
        <v>0</v>
      </c>
      <c r="BG128" s="193">
        <f t="shared" ref="BG128:BG138" si="16">IF(N128="zákl. přenesená",J128,0)</f>
        <v>0</v>
      </c>
      <c r="BH128" s="193">
        <f t="shared" ref="BH128:BH138" si="17">IF(N128="sníž. přenesená",J128,0)</f>
        <v>0</v>
      </c>
      <c r="BI128" s="193">
        <f t="shared" ref="BI128:BI138" si="18">IF(N128="nulová",J128,0)</f>
        <v>0</v>
      </c>
      <c r="BJ128" s="19" t="s">
        <v>79</v>
      </c>
      <c r="BK128" s="193">
        <f t="shared" ref="BK128:BK138" si="19">ROUND(I128*H128,2)</f>
        <v>0</v>
      </c>
      <c r="BL128" s="19" t="s">
        <v>281</v>
      </c>
      <c r="BM128" s="192" t="s">
        <v>767</v>
      </c>
    </row>
    <row r="129" spans="1:65" s="2" customFormat="1" ht="16.5" customHeight="1">
      <c r="A129" s="36"/>
      <c r="B129" s="37"/>
      <c r="C129" s="181" t="s">
        <v>534</v>
      </c>
      <c r="D129" s="181" t="s">
        <v>382</v>
      </c>
      <c r="E129" s="182" t="s">
        <v>4755</v>
      </c>
      <c r="F129" s="183" t="s">
        <v>4756</v>
      </c>
      <c r="G129" s="184" t="s">
        <v>452</v>
      </c>
      <c r="H129" s="185">
        <v>11300</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281</v>
      </c>
      <c r="AT129" s="192" t="s">
        <v>382</v>
      </c>
      <c r="AU129" s="192" t="s">
        <v>79</v>
      </c>
      <c r="AY129" s="19" t="s">
        <v>380</v>
      </c>
      <c r="BE129" s="193">
        <f t="shared" si="14"/>
        <v>0</v>
      </c>
      <c r="BF129" s="193">
        <f t="shared" si="15"/>
        <v>0</v>
      </c>
      <c r="BG129" s="193">
        <f t="shared" si="16"/>
        <v>0</v>
      </c>
      <c r="BH129" s="193">
        <f t="shared" si="17"/>
        <v>0</v>
      </c>
      <c r="BI129" s="193">
        <f t="shared" si="18"/>
        <v>0</v>
      </c>
      <c r="BJ129" s="19" t="s">
        <v>79</v>
      </c>
      <c r="BK129" s="193">
        <f t="shared" si="19"/>
        <v>0</v>
      </c>
      <c r="BL129" s="19" t="s">
        <v>281</v>
      </c>
      <c r="BM129" s="192" t="s">
        <v>776</v>
      </c>
    </row>
    <row r="130" spans="1:65" s="2" customFormat="1" ht="16.5" customHeight="1">
      <c r="A130" s="36"/>
      <c r="B130" s="37"/>
      <c r="C130" s="181" t="s">
        <v>540</v>
      </c>
      <c r="D130" s="181" t="s">
        <v>382</v>
      </c>
      <c r="E130" s="182" t="s">
        <v>4757</v>
      </c>
      <c r="F130" s="183" t="s">
        <v>4758</v>
      </c>
      <c r="G130" s="184" t="s">
        <v>452</v>
      </c>
      <c r="H130" s="185">
        <v>75</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281</v>
      </c>
      <c r="AT130" s="192" t="s">
        <v>382</v>
      </c>
      <c r="AU130" s="192" t="s">
        <v>79</v>
      </c>
      <c r="AY130" s="19" t="s">
        <v>380</v>
      </c>
      <c r="BE130" s="193">
        <f t="shared" si="14"/>
        <v>0</v>
      </c>
      <c r="BF130" s="193">
        <f t="shared" si="15"/>
        <v>0</v>
      </c>
      <c r="BG130" s="193">
        <f t="shared" si="16"/>
        <v>0</v>
      </c>
      <c r="BH130" s="193">
        <f t="shared" si="17"/>
        <v>0</v>
      </c>
      <c r="BI130" s="193">
        <f t="shared" si="18"/>
        <v>0</v>
      </c>
      <c r="BJ130" s="19" t="s">
        <v>79</v>
      </c>
      <c r="BK130" s="193">
        <f t="shared" si="19"/>
        <v>0</v>
      </c>
      <c r="BL130" s="19" t="s">
        <v>281</v>
      </c>
      <c r="BM130" s="192" t="s">
        <v>787</v>
      </c>
    </row>
    <row r="131" spans="1:65" s="2" customFormat="1" ht="16.5" customHeight="1">
      <c r="A131" s="36"/>
      <c r="B131" s="37"/>
      <c r="C131" s="181" t="s">
        <v>546</v>
      </c>
      <c r="D131" s="181" t="s">
        <v>382</v>
      </c>
      <c r="E131" s="182" t="s">
        <v>4759</v>
      </c>
      <c r="F131" s="183" t="s">
        <v>4760</v>
      </c>
      <c r="G131" s="184" t="s">
        <v>2393</v>
      </c>
      <c r="H131" s="185">
        <v>226</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281</v>
      </c>
      <c r="AT131" s="192" t="s">
        <v>382</v>
      </c>
      <c r="AU131" s="192" t="s">
        <v>79</v>
      </c>
      <c r="AY131" s="19" t="s">
        <v>380</v>
      </c>
      <c r="BE131" s="193">
        <f t="shared" si="14"/>
        <v>0</v>
      </c>
      <c r="BF131" s="193">
        <f t="shared" si="15"/>
        <v>0</v>
      </c>
      <c r="BG131" s="193">
        <f t="shared" si="16"/>
        <v>0</v>
      </c>
      <c r="BH131" s="193">
        <f t="shared" si="17"/>
        <v>0</v>
      </c>
      <c r="BI131" s="193">
        <f t="shared" si="18"/>
        <v>0</v>
      </c>
      <c r="BJ131" s="19" t="s">
        <v>79</v>
      </c>
      <c r="BK131" s="193">
        <f t="shared" si="19"/>
        <v>0</v>
      </c>
      <c r="BL131" s="19" t="s">
        <v>281</v>
      </c>
      <c r="BM131" s="192" t="s">
        <v>795</v>
      </c>
    </row>
    <row r="132" spans="1:65" s="2" customFormat="1" ht="16.5" customHeight="1">
      <c r="A132" s="36"/>
      <c r="B132" s="37"/>
      <c r="C132" s="181" t="s">
        <v>552</v>
      </c>
      <c r="D132" s="181" t="s">
        <v>382</v>
      </c>
      <c r="E132" s="182" t="s">
        <v>4761</v>
      </c>
      <c r="F132" s="183" t="s">
        <v>4762</v>
      </c>
      <c r="G132" s="184" t="s">
        <v>2393</v>
      </c>
      <c r="H132" s="185">
        <v>38</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281</v>
      </c>
      <c r="AT132" s="192" t="s">
        <v>382</v>
      </c>
      <c r="AU132" s="192" t="s">
        <v>79</v>
      </c>
      <c r="AY132" s="19" t="s">
        <v>380</v>
      </c>
      <c r="BE132" s="193">
        <f t="shared" si="14"/>
        <v>0</v>
      </c>
      <c r="BF132" s="193">
        <f t="shared" si="15"/>
        <v>0</v>
      </c>
      <c r="BG132" s="193">
        <f t="shared" si="16"/>
        <v>0</v>
      </c>
      <c r="BH132" s="193">
        <f t="shared" si="17"/>
        <v>0</v>
      </c>
      <c r="BI132" s="193">
        <f t="shared" si="18"/>
        <v>0</v>
      </c>
      <c r="BJ132" s="19" t="s">
        <v>79</v>
      </c>
      <c r="BK132" s="193">
        <f t="shared" si="19"/>
        <v>0</v>
      </c>
      <c r="BL132" s="19" t="s">
        <v>281</v>
      </c>
      <c r="BM132" s="192" t="s">
        <v>804</v>
      </c>
    </row>
    <row r="133" spans="1:65" s="2" customFormat="1" ht="16.5" customHeight="1">
      <c r="A133" s="36"/>
      <c r="B133" s="37"/>
      <c r="C133" s="181" t="s">
        <v>556</v>
      </c>
      <c r="D133" s="181" t="s">
        <v>382</v>
      </c>
      <c r="E133" s="182" t="s">
        <v>4763</v>
      </c>
      <c r="F133" s="183" t="s">
        <v>4764</v>
      </c>
      <c r="G133" s="184" t="s">
        <v>2393</v>
      </c>
      <c r="H133" s="185">
        <v>69</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281</v>
      </c>
      <c r="AT133" s="192" t="s">
        <v>382</v>
      </c>
      <c r="AU133" s="192" t="s">
        <v>79</v>
      </c>
      <c r="AY133" s="19" t="s">
        <v>380</v>
      </c>
      <c r="BE133" s="193">
        <f t="shared" si="14"/>
        <v>0</v>
      </c>
      <c r="BF133" s="193">
        <f t="shared" si="15"/>
        <v>0</v>
      </c>
      <c r="BG133" s="193">
        <f t="shared" si="16"/>
        <v>0</v>
      </c>
      <c r="BH133" s="193">
        <f t="shared" si="17"/>
        <v>0</v>
      </c>
      <c r="BI133" s="193">
        <f t="shared" si="18"/>
        <v>0</v>
      </c>
      <c r="BJ133" s="19" t="s">
        <v>79</v>
      </c>
      <c r="BK133" s="193">
        <f t="shared" si="19"/>
        <v>0</v>
      </c>
      <c r="BL133" s="19" t="s">
        <v>281</v>
      </c>
      <c r="BM133" s="192" t="s">
        <v>831</v>
      </c>
    </row>
    <row r="134" spans="1:65" s="2" customFormat="1" ht="16.5" customHeight="1">
      <c r="A134" s="36"/>
      <c r="B134" s="37"/>
      <c r="C134" s="181" t="s">
        <v>565</v>
      </c>
      <c r="D134" s="181" t="s">
        <v>382</v>
      </c>
      <c r="E134" s="182" t="s">
        <v>4765</v>
      </c>
      <c r="F134" s="183" t="s">
        <v>4766</v>
      </c>
      <c r="G134" s="184" t="s">
        <v>2393</v>
      </c>
      <c r="H134" s="185">
        <v>52</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281</v>
      </c>
      <c r="AT134" s="192" t="s">
        <v>382</v>
      </c>
      <c r="AU134" s="192" t="s">
        <v>79</v>
      </c>
      <c r="AY134" s="19" t="s">
        <v>380</v>
      </c>
      <c r="BE134" s="193">
        <f t="shared" si="14"/>
        <v>0</v>
      </c>
      <c r="BF134" s="193">
        <f t="shared" si="15"/>
        <v>0</v>
      </c>
      <c r="BG134" s="193">
        <f t="shared" si="16"/>
        <v>0</v>
      </c>
      <c r="BH134" s="193">
        <f t="shared" si="17"/>
        <v>0</v>
      </c>
      <c r="BI134" s="193">
        <f t="shared" si="18"/>
        <v>0</v>
      </c>
      <c r="BJ134" s="19" t="s">
        <v>79</v>
      </c>
      <c r="BK134" s="193">
        <f t="shared" si="19"/>
        <v>0</v>
      </c>
      <c r="BL134" s="19" t="s">
        <v>281</v>
      </c>
      <c r="BM134" s="192" t="s">
        <v>841</v>
      </c>
    </row>
    <row r="135" spans="1:65" s="2" customFormat="1" ht="16.5" customHeight="1">
      <c r="A135" s="36"/>
      <c r="B135" s="37"/>
      <c r="C135" s="181" t="s">
        <v>579</v>
      </c>
      <c r="D135" s="181" t="s">
        <v>382</v>
      </c>
      <c r="E135" s="182" t="s">
        <v>4767</v>
      </c>
      <c r="F135" s="183" t="s">
        <v>4768</v>
      </c>
      <c r="G135" s="184" t="s">
        <v>2393</v>
      </c>
      <c r="H135" s="185">
        <v>2</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281</v>
      </c>
      <c r="AT135" s="192" t="s">
        <v>382</v>
      </c>
      <c r="AU135" s="192" t="s">
        <v>79</v>
      </c>
      <c r="AY135" s="19" t="s">
        <v>380</v>
      </c>
      <c r="BE135" s="193">
        <f t="shared" si="14"/>
        <v>0</v>
      </c>
      <c r="BF135" s="193">
        <f t="shared" si="15"/>
        <v>0</v>
      </c>
      <c r="BG135" s="193">
        <f t="shared" si="16"/>
        <v>0</v>
      </c>
      <c r="BH135" s="193">
        <f t="shared" si="17"/>
        <v>0</v>
      </c>
      <c r="BI135" s="193">
        <f t="shared" si="18"/>
        <v>0</v>
      </c>
      <c r="BJ135" s="19" t="s">
        <v>79</v>
      </c>
      <c r="BK135" s="193">
        <f t="shared" si="19"/>
        <v>0</v>
      </c>
      <c r="BL135" s="19" t="s">
        <v>281</v>
      </c>
      <c r="BM135" s="192" t="s">
        <v>851</v>
      </c>
    </row>
    <row r="136" spans="1:65" s="2" customFormat="1" ht="16.5" customHeight="1">
      <c r="A136" s="36"/>
      <c r="B136" s="37"/>
      <c r="C136" s="181" t="s">
        <v>600</v>
      </c>
      <c r="D136" s="181" t="s">
        <v>382</v>
      </c>
      <c r="E136" s="182" t="s">
        <v>4769</v>
      </c>
      <c r="F136" s="183" t="s">
        <v>4770</v>
      </c>
      <c r="G136" s="184" t="s">
        <v>2393</v>
      </c>
      <c r="H136" s="185">
        <v>226</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281</v>
      </c>
      <c r="AT136" s="192" t="s">
        <v>382</v>
      </c>
      <c r="AU136" s="192" t="s">
        <v>79</v>
      </c>
      <c r="AY136" s="19" t="s">
        <v>380</v>
      </c>
      <c r="BE136" s="193">
        <f t="shared" si="14"/>
        <v>0</v>
      </c>
      <c r="BF136" s="193">
        <f t="shared" si="15"/>
        <v>0</v>
      </c>
      <c r="BG136" s="193">
        <f t="shared" si="16"/>
        <v>0</v>
      </c>
      <c r="BH136" s="193">
        <f t="shared" si="17"/>
        <v>0</v>
      </c>
      <c r="BI136" s="193">
        <f t="shared" si="18"/>
        <v>0</v>
      </c>
      <c r="BJ136" s="19" t="s">
        <v>79</v>
      </c>
      <c r="BK136" s="193">
        <f t="shared" si="19"/>
        <v>0</v>
      </c>
      <c r="BL136" s="19" t="s">
        <v>281</v>
      </c>
      <c r="BM136" s="192" t="s">
        <v>859</v>
      </c>
    </row>
    <row r="137" spans="1:65" s="2" customFormat="1" ht="16.5" customHeight="1">
      <c r="A137" s="36"/>
      <c r="B137" s="37"/>
      <c r="C137" s="181" t="s">
        <v>619</v>
      </c>
      <c r="D137" s="181" t="s">
        <v>382</v>
      </c>
      <c r="E137" s="182" t="s">
        <v>4771</v>
      </c>
      <c r="F137" s="183" t="s">
        <v>4772</v>
      </c>
      <c r="G137" s="184" t="s">
        <v>2393</v>
      </c>
      <c r="H137" s="185">
        <v>100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281</v>
      </c>
      <c r="AT137" s="192" t="s">
        <v>382</v>
      </c>
      <c r="AU137" s="192" t="s">
        <v>79</v>
      </c>
      <c r="AY137" s="19" t="s">
        <v>380</v>
      </c>
      <c r="BE137" s="193">
        <f t="shared" si="14"/>
        <v>0</v>
      </c>
      <c r="BF137" s="193">
        <f t="shared" si="15"/>
        <v>0</v>
      </c>
      <c r="BG137" s="193">
        <f t="shared" si="16"/>
        <v>0</v>
      </c>
      <c r="BH137" s="193">
        <f t="shared" si="17"/>
        <v>0</v>
      </c>
      <c r="BI137" s="193">
        <f t="shared" si="18"/>
        <v>0</v>
      </c>
      <c r="BJ137" s="19" t="s">
        <v>79</v>
      </c>
      <c r="BK137" s="193">
        <f t="shared" si="19"/>
        <v>0</v>
      </c>
      <c r="BL137" s="19" t="s">
        <v>281</v>
      </c>
      <c r="BM137" s="192" t="s">
        <v>867</v>
      </c>
    </row>
    <row r="138" spans="1:65" s="2" customFormat="1" ht="16.5" customHeight="1">
      <c r="A138" s="36"/>
      <c r="B138" s="37"/>
      <c r="C138" s="181" t="s">
        <v>623</v>
      </c>
      <c r="D138" s="181" t="s">
        <v>382</v>
      </c>
      <c r="E138" s="182" t="s">
        <v>4773</v>
      </c>
      <c r="F138" s="183" t="s">
        <v>4774</v>
      </c>
      <c r="G138" s="184" t="s">
        <v>2393</v>
      </c>
      <c r="H138" s="185">
        <v>110</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281</v>
      </c>
      <c r="AT138" s="192" t="s">
        <v>382</v>
      </c>
      <c r="AU138" s="192" t="s">
        <v>79</v>
      </c>
      <c r="AY138" s="19" t="s">
        <v>380</v>
      </c>
      <c r="BE138" s="193">
        <f t="shared" si="14"/>
        <v>0</v>
      </c>
      <c r="BF138" s="193">
        <f t="shared" si="15"/>
        <v>0</v>
      </c>
      <c r="BG138" s="193">
        <f t="shared" si="16"/>
        <v>0</v>
      </c>
      <c r="BH138" s="193">
        <f t="shared" si="17"/>
        <v>0</v>
      </c>
      <c r="BI138" s="193">
        <f t="shared" si="18"/>
        <v>0</v>
      </c>
      <c r="BJ138" s="19" t="s">
        <v>79</v>
      </c>
      <c r="BK138" s="193">
        <f t="shared" si="19"/>
        <v>0</v>
      </c>
      <c r="BL138" s="19" t="s">
        <v>281</v>
      </c>
      <c r="BM138" s="192" t="s">
        <v>884</v>
      </c>
    </row>
    <row r="139" spans="1:65" s="12" customFormat="1" ht="25.9" customHeight="1">
      <c r="B139" s="165"/>
      <c r="C139" s="166"/>
      <c r="D139" s="167" t="s">
        <v>71</v>
      </c>
      <c r="E139" s="168" t="s">
        <v>82</v>
      </c>
      <c r="F139" s="168" t="s">
        <v>4775</v>
      </c>
      <c r="G139" s="166"/>
      <c r="H139" s="166"/>
      <c r="I139" s="169"/>
      <c r="J139" s="170">
        <f>BK139</f>
        <v>0</v>
      </c>
      <c r="K139" s="166"/>
      <c r="L139" s="171"/>
      <c r="M139" s="172"/>
      <c r="N139" s="173"/>
      <c r="O139" s="173"/>
      <c r="P139" s="174">
        <f>SUM(P140:P149)</f>
        <v>0</v>
      </c>
      <c r="Q139" s="173"/>
      <c r="R139" s="174">
        <f>SUM(R140:R149)</f>
        <v>0</v>
      </c>
      <c r="S139" s="173"/>
      <c r="T139" s="175">
        <f>SUM(T140:T149)</f>
        <v>0</v>
      </c>
      <c r="AR139" s="176" t="s">
        <v>79</v>
      </c>
      <c r="AT139" s="177" t="s">
        <v>71</v>
      </c>
      <c r="AU139" s="177" t="s">
        <v>72</v>
      </c>
      <c r="AY139" s="176" t="s">
        <v>380</v>
      </c>
      <c r="BK139" s="178">
        <f>SUM(BK140:BK149)</f>
        <v>0</v>
      </c>
    </row>
    <row r="140" spans="1:65" s="2" customFormat="1" ht="78" customHeight="1">
      <c r="A140" s="36"/>
      <c r="B140" s="37"/>
      <c r="C140" s="181" t="s">
        <v>631</v>
      </c>
      <c r="D140" s="181" t="s">
        <v>382</v>
      </c>
      <c r="E140" s="182" t="s">
        <v>4776</v>
      </c>
      <c r="F140" s="183" t="s">
        <v>4777</v>
      </c>
      <c r="G140" s="184" t="s">
        <v>2393</v>
      </c>
      <c r="H140" s="185">
        <v>4</v>
      </c>
      <c r="I140" s="186"/>
      <c r="J140" s="187">
        <f t="shared" ref="J140:J149" si="20">ROUND(I140*H140,2)</f>
        <v>0</v>
      </c>
      <c r="K140" s="183" t="s">
        <v>19</v>
      </c>
      <c r="L140" s="41"/>
      <c r="M140" s="188" t="s">
        <v>19</v>
      </c>
      <c r="N140" s="189" t="s">
        <v>43</v>
      </c>
      <c r="O140" s="66"/>
      <c r="P140" s="190">
        <f t="shared" ref="P140:P149" si="21">O140*H140</f>
        <v>0</v>
      </c>
      <c r="Q140" s="190">
        <v>0</v>
      </c>
      <c r="R140" s="190">
        <f t="shared" ref="R140:R149" si="22">Q140*H140</f>
        <v>0</v>
      </c>
      <c r="S140" s="190">
        <v>0</v>
      </c>
      <c r="T140" s="191">
        <f t="shared" ref="T140:T149" si="23">S140*H140</f>
        <v>0</v>
      </c>
      <c r="U140" s="36"/>
      <c r="V140" s="36"/>
      <c r="W140" s="36"/>
      <c r="X140" s="36"/>
      <c r="Y140" s="36"/>
      <c r="Z140" s="36"/>
      <c r="AA140" s="36"/>
      <c r="AB140" s="36"/>
      <c r="AC140" s="36"/>
      <c r="AD140" s="36"/>
      <c r="AE140" s="36"/>
      <c r="AR140" s="192" t="s">
        <v>281</v>
      </c>
      <c r="AT140" s="192" t="s">
        <v>382</v>
      </c>
      <c r="AU140" s="192" t="s">
        <v>79</v>
      </c>
      <c r="AY140" s="19" t="s">
        <v>380</v>
      </c>
      <c r="BE140" s="193">
        <f t="shared" ref="BE140:BE149" si="24">IF(N140="základní",J140,0)</f>
        <v>0</v>
      </c>
      <c r="BF140" s="193">
        <f t="shared" ref="BF140:BF149" si="25">IF(N140="snížená",J140,0)</f>
        <v>0</v>
      </c>
      <c r="BG140" s="193">
        <f t="shared" ref="BG140:BG149" si="26">IF(N140="zákl. přenesená",J140,0)</f>
        <v>0</v>
      </c>
      <c r="BH140" s="193">
        <f t="shared" ref="BH140:BH149" si="27">IF(N140="sníž. přenesená",J140,0)</f>
        <v>0</v>
      </c>
      <c r="BI140" s="193">
        <f t="shared" ref="BI140:BI149" si="28">IF(N140="nulová",J140,0)</f>
        <v>0</v>
      </c>
      <c r="BJ140" s="19" t="s">
        <v>79</v>
      </c>
      <c r="BK140" s="193">
        <f t="shared" ref="BK140:BK149" si="29">ROUND(I140*H140,2)</f>
        <v>0</v>
      </c>
      <c r="BL140" s="19" t="s">
        <v>281</v>
      </c>
      <c r="BM140" s="192" t="s">
        <v>910</v>
      </c>
    </row>
    <row r="141" spans="1:65" s="2" customFormat="1" ht="21.75" customHeight="1">
      <c r="A141" s="36"/>
      <c r="B141" s="37"/>
      <c r="C141" s="181" t="s">
        <v>638</v>
      </c>
      <c r="D141" s="181" t="s">
        <v>382</v>
      </c>
      <c r="E141" s="182" t="s">
        <v>4778</v>
      </c>
      <c r="F141" s="183" t="s">
        <v>4779</v>
      </c>
      <c r="G141" s="184" t="s">
        <v>2393</v>
      </c>
      <c r="H141" s="185">
        <v>4</v>
      </c>
      <c r="I141" s="186"/>
      <c r="J141" s="187">
        <f t="shared" si="20"/>
        <v>0</v>
      </c>
      <c r="K141" s="183" t="s">
        <v>19</v>
      </c>
      <c r="L141" s="41"/>
      <c r="M141" s="188" t="s">
        <v>19</v>
      </c>
      <c r="N141" s="189" t="s">
        <v>43</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281</v>
      </c>
      <c r="AT141" s="192" t="s">
        <v>382</v>
      </c>
      <c r="AU141" s="192" t="s">
        <v>79</v>
      </c>
      <c r="AY141" s="19" t="s">
        <v>380</v>
      </c>
      <c r="BE141" s="193">
        <f t="shared" si="24"/>
        <v>0</v>
      </c>
      <c r="BF141" s="193">
        <f t="shared" si="25"/>
        <v>0</v>
      </c>
      <c r="BG141" s="193">
        <f t="shared" si="26"/>
        <v>0</v>
      </c>
      <c r="BH141" s="193">
        <f t="shared" si="27"/>
        <v>0</v>
      </c>
      <c r="BI141" s="193">
        <f t="shared" si="28"/>
        <v>0</v>
      </c>
      <c r="BJ141" s="19" t="s">
        <v>79</v>
      </c>
      <c r="BK141" s="193">
        <f t="shared" si="29"/>
        <v>0</v>
      </c>
      <c r="BL141" s="19" t="s">
        <v>281</v>
      </c>
      <c r="BM141" s="192" t="s">
        <v>927</v>
      </c>
    </row>
    <row r="142" spans="1:65" s="2" customFormat="1" ht="37.9" customHeight="1">
      <c r="A142" s="36"/>
      <c r="B142" s="37"/>
      <c r="C142" s="181" t="s">
        <v>644</v>
      </c>
      <c r="D142" s="181" t="s">
        <v>382</v>
      </c>
      <c r="E142" s="182" t="s">
        <v>4780</v>
      </c>
      <c r="F142" s="183" t="s">
        <v>4781</v>
      </c>
      <c r="G142" s="184" t="s">
        <v>2393</v>
      </c>
      <c r="H142" s="185">
        <v>15</v>
      </c>
      <c r="I142" s="186"/>
      <c r="J142" s="187">
        <f t="shared" si="20"/>
        <v>0</v>
      </c>
      <c r="K142" s="183" t="s">
        <v>19</v>
      </c>
      <c r="L142" s="41"/>
      <c r="M142" s="188" t="s">
        <v>19</v>
      </c>
      <c r="N142" s="189" t="s">
        <v>43</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281</v>
      </c>
      <c r="AT142" s="192" t="s">
        <v>382</v>
      </c>
      <c r="AU142" s="192" t="s">
        <v>79</v>
      </c>
      <c r="AY142" s="19" t="s">
        <v>380</v>
      </c>
      <c r="BE142" s="193">
        <f t="shared" si="24"/>
        <v>0</v>
      </c>
      <c r="BF142" s="193">
        <f t="shared" si="25"/>
        <v>0</v>
      </c>
      <c r="BG142" s="193">
        <f t="shared" si="26"/>
        <v>0</v>
      </c>
      <c r="BH142" s="193">
        <f t="shared" si="27"/>
        <v>0</v>
      </c>
      <c r="BI142" s="193">
        <f t="shared" si="28"/>
        <v>0</v>
      </c>
      <c r="BJ142" s="19" t="s">
        <v>79</v>
      </c>
      <c r="BK142" s="193">
        <f t="shared" si="29"/>
        <v>0</v>
      </c>
      <c r="BL142" s="19" t="s">
        <v>281</v>
      </c>
      <c r="BM142" s="192" t="s">
        <v>936</v>
      </c>
    </row>
    <row r="143" spans="1:65" s="2" customFormat="1" ht="168" customHeight="1">
      <c r="A143" s="36"/>
      <c r="B143" s="37"/>
      <c r="C143" s="181" t="s">
        <v>648</v>
      </c>
      <c r="D143" s="181" t="s">
        <v>382</v>
      </c>
      <c r="E143" s="182" t="s">
        <v>4782</v>
      </c>
      <c r="F143" s="183" t="s">
        <v>4783</v>
      </c>
      <c r="G143" s="184" t="s">
        <v>2393</v>
      </c>
      <c r="H143" s="185">
        <v>4</v>
      </c>
      <c r="I143" s="186"/>
      <c r="J143" s="187">
        <f t="shared" si="20"/>
        <v>0</v>
      </c>
      <c r="K143" s="183" t="s">
        <v>19</v>
      </c>
      <c r="L143" s="41"/>
      <c r="M143" s="188" t="s">
        <v>19</v>
      </c>
      <c r="N143" s="189" t="s">
        <v>43</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281</v>
      </c>
      <c r="AT143" s="192" t="s">
        <v>382</v>
      </c>
      <c r="AU143" s="192" t="s">
        <v>79</v>
      </c>
      <c r="AY143" s="19" t="s">
        <v>380</v>
      </c>
      <c r="BE143" s="193">
        <f t="shared" si="24"/>
        <v>0</v>
      </c>
      <c r="BF143" s="193">
        <f t="shared" si="25"/>
        <v>0</v>
      </c>
      <c r="BG143" s="193">
        <f t="shared" si="26"/>
        <v>0</v>
      </c>
      <c r="BH143" s="193">
        <f t="shared" si="27"/>
        <v>0</v>
      </c>
      <c r="BI143" s="193">
        <f t="shared" si="28"/>
        <v>0</v>
      </c>
      <c r="BJ143" s="19" t="s">
        <v>79</v>
      </c>
      <c r="BK143" s="193">
        <f t="shared" si="29"/>
        <v>0</v>
      </c>
      <c r="BL143" s="19" t="s">
        <v>281</v>
      </c>
      <c r="BM143" s="192" t="s">
        <v>946</v>
      </c>
    </row>
    <row r="144" spans="1:65" s="2" customFormat="1" ht="180.75" customHeight="1">
      <c r="A144" s="36"/>
      <c r="B144" s="37"/>
      <c r="C144" s="181" t="s">
        <v>652</v>
      </c>
      <c r="D144" s="181" t="s">
        <v>382</v>
      </c>
      <c r="E144" s="182" t="s">
        <v>4784</v>
      </c>
      <c r="F144" s="183" t="s">
        <v>4785</v>
      </c>
      <c r="G144" s="184" t="s">
        <v>2393</v>
      </c>
      <c r="H144" s="185">
        <v>1</v>
      </c>
      <c r="I144" s="186"/>
      <c r="J144" s="187">
        <f t="shared" si="20"/>
        <v>0</v>
      </c>
      <c r="K144" s="183" t="s">
        <v>19</v>
      </c>
      <c r="L144" s="41"/>
      <c r="M144" s="188" t="s">
        <v>19</v>
      </c>
      <c r="N144" s="189" t="s">
        <v>43</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281</v>
      </c>
      <c r="AT144" s="192" t="s">
        <v>382</v>
      </c>
      <c r="AU144" s="192" t="s">
        <v>79</v>
      </c>
      <c r="AY144" s="19" t="s">
        <v>380</v>
      </c>
      <c r="BE144" s="193">
        <f t="shared" si="24"/>
        <v>0</v>
      </c>
      <c r="BF144" s="193">
        <f t="shared" si="25"/>
        <v>0</v>
      </c>
      <c r="BG144" s="193">
        <f t="shared" si="26"/>
        <v>0</v>
      </c>
      <c r="BH144" s="193">
        <f t="shared" si="27"/>
        <v>0</v>
      </c>
      <c r="BI144" s="193">
        <f t="shared" si="28"/>
        <v>0</v>
      </c>
      <c r="BJ144" s="19" t="s">
        <v>79</v>
      </c>
      <c r="BK144" s="193">
        <f t="shared" si="29"/>
        <v>0</v>
      </c>
      <c r="BL144" s="19" t="s">
        <v>281</v>
      </c>
      <c r="BM144" s="192" t="s">
        <v>955</v>
      </c>
    </row>
    <row r="145" spans="1:65" s="2" customFormat="1" ht="16.5" customHeight="1">
      <c r="A145" s="36"/>
      <c r="B145" s="37"/>
      <c r="C145" s="181" t="s">
        <v>656</v>
      </c>
      <c r="D145" s="181" t="s">
        <v>382</v>
      </c>
      <c r="E145" s="182" t="s">
        <v>4786</v>
      </c>
      <c r="F145" s="183" t="s">
        <v>4787</v>
      </c>
      <c r="G145" s="184" t="s">
        <v>2393</v>
      </c>
      <c r="H145" s="185">
        <v>2</v>
      </c>
      <c r="I145" s="186"/>
      <c r="J145" s="187">
        <f t="shared" si="20"/>
        <v>0</v>
      </c>
      <c r="K145" s="183" t="s">
        <v>19</v>
      </c>
      <c r="L145" s="41"/>
      <c r="M145" s="188" t="s">
        <v>19</v>
      </c>
      <c r="N145" s="189" t="s">
        <v>43</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281</v>
      </c>
      <c r="AT145" s="192" t="s">
        <v>382</v>
      </c>
      <c r="AU145" s="192" t="s">
        <v>79</v>
      </c>
      <c r="AY145" s="19" t="s">
        <v>380</v>
      </c>
      <c r="BE145" s="193">
        <f t="shared" si="24"/>
        <v>0</v>
      </c>
      <c r="BF145" s="193">
        <f t="shared" si="25"/>
        <v>0</v>
      </c>
      <c r="BG145" s="193">
        <f t="shared" si="26"/>
        <v>0</v>
      </c>
      <c r="BH145" s="193">
        <f t="shared" si="27"/>
        <v>0</v>
      </c>
      <c r="BI145" s="193">
        <f t="shared" si="28"/>
        <v>0</v>
      </c>
      <c r="BJ145" s="19" t="s">
        <v>79</v>
      </c>
      <c r="BK145" s="193">
        <f t="shared" si="29"/>
        <v>0</v>
      </c>
      <c r="BL145" s="19" t="s">
        <v>281</v>
      </c>
      <c r="BM145" s="192" t="s">
        <v>963</v>
      </c>
    </row>
    <row r="146" spans="1:65" s="2" customFormat="1" ht="21.75" customHeight="1">
      <c r="A146" s="36"/>
      <c r="B146" s="37"/>
      <c r="C146" s="181" t="s">
        <v>660</v>
      </c>
      <c r="D146" s="181" t="s">
        <v>382</v>
      </c>
      <c r="E146" s="182" t="s">
        <v>4788</v>
      </c>
      <c r="F146" s="183" t="s">
        <v>4789</v>
      </c>
      <c r="G146" s="184" t="s">
        <v>2393</v>
      </c>
      <c r="H146" s="185">
        <v>4</v>
      </c>
      <c r="I146" s="186"/>
      <c r="J146" s="187">
        <f t="shared" si="20"/>
        <v>0</v>
      </c>
      <c r="K146" s="183" t="s">
        <v>19</v>
      </c>
      <c r="L146" s="41"/>
      <c r="M146" s="188" t="s">
        <v>19</v>
      </c>
      <c r="N146" s="189" t="s">
        <v>43</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281</v>
      </c>
      <c r="AT146" s="192" t="s">
        <v>382</v>
      </c>
      <c r="AU146" s="192" t="s">
        <v>79</v>
      </c>
      <c r="AY146" s="19" t="s">
        <v>380</v>
      </c>
      <c r="BE146" s="193">
        <f t="shared" si="24"/>
        <v>0</v>
      </c>
      <c r="BF146" s="193">
        <f t="shared" si="25"/>
        <v>0</v>
      </c>
      <c r="BG146" s="193">
        <f t="shared" si="26"/>
        <v>0</v>
      </c>
      <c r="BH146" s="193">
        <f t="shared" si="27"/>
        <v>0</v>
      </c>
      <c r="BI146" s="193">
        <f t="shared" si="28"/>
        <v>0</v>
      </c>
      <c r="BJ146" s="19" t="s">
        <v>79</v>
      </c>
      <c r="BK146" s="193">
        <f t="shared" si="29"/>
        <v>0</v>
      </c>
      <c r="BL146" s="19" t="s">
        <v>281</v>
      </c>
      <c r="BM146" s="192" t="s">
        <v>971</v>
      </c>
    </row>
    <row r="147" spans="1:65" s="2" customFormat="1" ht="16.5" customHeight="1">
      <c r="A147" s="36"/>
      <c r="B147" s="37"/>
      <c r="C147" s="181" t="s">
        <v>664</v>
      </c>
      <c r="D147" s="181" t="s">
        <v>382</v>
      </c>
      <c r="E147" s="182" t="s">
        <v>4790</v>
      </c>
      <c r="F147" s="183" t="s">
        <v>4791</v>
      </c>
      <c r="G147" s="184" t="s">
        <v>2393</v>
      </c>
      <c r="H147" s="185">
        <v>2</v>
      </c>
      <c r="I147" s="186"/>
      <c r="J147" s="187">
        <f t="shared" si="20"/>
        <v>0</v>
      </c>
      <c r="K147" s="183" t="s">
        <v>19</v>
      </c>
      <c r="L147" s="41"/>
      <c r="M147" s="188" t="s">
        <v>19</v>
      </c>
      <c r="N147" s="189" t="s">
        <v>43</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281</v>
      </c>
      <c r="AT147" s="192" t="s">
        <v>382</v>
      </c>
      <c r="AU147" s="192" t="s">
        <v>79</v>
      </c>
      <c r="AY147" s="19" t="s">
        <v>380</v>
      </c>
      <c r="BE147" s="193">
        <f t="shared" si="24"/>
        <v>0</v>
      </c>
      <c r="BF147" s="193">
        <f t="shared" si="25"/>
        <v>0</v>
      </c>
      <c r="BG147" s="193">
        <f t="shared" si="26"/>
        <v>0</v>
      </c>
      <c r="BH147" s="193">
        <f t="shared" si="27"/>
        <v>0</v>
      </c>
      <c r="BI147" s="193">
        <f t="shared" si="28"/>
        <v>0</v>
      </c>
      <c r="BJ147" s="19" t="s">
        <v>79</v>
      </c>
      <c r="BK147" s="193">
        <f t="shared" si="29"/>
        <v>0</v>
      </c>
      <c r="BL147" s="19" t="s">
        <v>281</v>
      </c>
      <c r="BM147" s="192" t="s">
        <v>979</v>
      </c>
    </row>
    <row r="148" spans="1:65" s="2" customFormat="1" ht="16.5" customHeight="1">
      <c r="A148" s="36"/>
      <c r="B148" s="37"/>
      <c r="C148" s="181" t="s">
        <v>668</v>
      </c>
      <c r="D148" s="181" t="s">
        <v>382</v>
      </c>
      <c r="E148" s="182" t="s">
        <v>4792</v>
      </c>
      <c r="F148" s="183" t="s">
        <v>4793</v>
      </c>
      <c r="G148" s="184" t="s">
        <v>2393</v>
      </c>
      <c r="H148" s="185">
        <v>1</v>
      </c>
      <c r="I148" s="186"/>
      <c r="J148" s="187">
        <f t="shared" si="20"/>
        <v>0</v>
      </c>
      <c r="K148" s="183" t="s">
        <v>19</v>
      </c>
      <c r="L148" s="41"/>
      <c r="M148" s="188" t="s">
        <v>19</v>
      </c>
      <c r="N148" s="189" t="s">
        <v>43</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281</v>
      </c>
      <c r="AT148" s="192" t="s">
        <v>382</v>
      </c>
      <c r="AU148" s="192" t="s">
        <v>79</v>
      </c>
      <c r="AY148" s="19" t="s">
        <v>380</v>
      </c>
      <c r="BE148" s="193">
        <f t="shared" si="24"/>
        <v>0</v>
      </c>
      <c r="BF148" s="193">
        <f t="shared" si="25"/>
        <v>0</v>
      </c>
      <c r="BG148" s="193">
        <f t="shared" si="26"/>
        <v>0</v>
      </c>
      <c r="BH148" s="193">
        <f t="shared" si="27"/>
        <v>0</v>
      </c>
      <c r="BI148" s="193">
        <f t="shared" si="28"/>
        <v>0</v>
      </c>
      <c r="BJ148" s="19" t="s">
        <v>79</v>
      </c>
      <c r="BK148" s="193">
        <f t="shared" si="29"/>
        <v>0</v>
      </c>
      <c r="BL148" s="19" t="s">
        <v>281</v>
      </c>
      <c r="BM148" s="192" t="s">
        <v>987</v>
      </c>
    </row>
    <row r="149" spans="1:65" s="2" customFormat="1" ht="37.9" customHeight="1">
      <c r="A149" s="36"/>
      <c r="B149" s="37"/>
      <c r="C149" s="181" t="s">
        <v>672</v>
      </c>
      <c r="D149" s="181" t="s">
        <v>382</v>
      </c>
      <c r="E149" s="182" t="s">
        <v>4794</v>
      </c>
      <c r="F149" s="183" t="s">
        <v>4795</v>
      </c>
      <c r="G149" s="184" t="s">
        <v>2393</v>
      </c>
      <c r="H149" s="185">
        <v>1</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281</v>
      </c>
      <c r="AT149" s="192" t="s">
        <v>382</v>
      </c>
      <c r="AU149" s="192" t="s">
        <v>79</v>
      </c>
      <c r="AY149" s="19" t="s">
        <v>380</v>
      </c>
      <c r="BE149" s="193">
        <f t="shared" si="24"/>
        <v>0</v>
      </c>
      <c r="BF149" s="193">
        <f t="shared" si="25"/>
        <v>0</v>
      </c>
      <c r="BG149" s="193">
        <f t="shared" si="26"/>
        <v>0</v>
      </c>
      <c r="BH149" s="193">
        <f t="shared" si="27"/>
        <v>0</v>
      </c>
      <c r="BI149" s="193">
        <f t="shared" si="28"/>
        <v>0</v>
      </c>
      <c r="BJ149" s="19" t="s">
        <v>79</v>
      </c>
      <c r="BK149" s="193">
        <f t="shared" si="29"/>
        <v>0</v>
      </c>
      <c r="BL149" s="19" t="s">
        <v>281</v>
      </c>
      <c r="BM149" s="192" t="s">
        <v>995</v>
      </c>
    </row>
    <row r="150" spans="1:65" s="12" customFormat="1" ht="25.9" customHeight="1">
      <c r="B150" s="165"/>
      <c r="C150" s="166"/>
      <c r="D150" s="167" t="s">
        <v>71</v>
      </c>
      <c r="E150" s="168" t="s">
        <v>4796</v>
      </c>
      <c r="F150" s="168" t="s">
        <v>4797</v>
      </c>
      <c r="G150" s="166"/>
      <c r="H150" s="166"/>
      <c r="I150" s="169"/>
      <c r="J150" s="170">
        <f>BK150</f>
        <v>0</v>
      </c>
      <c r="K150" s="166"/>
      <c r="L150" s="171"/>
      <c r="M150" s="172"/>
      <c r="N150" s="173"/>
      <c r="O150" s="173"/>
      <c r="P150" s="174">
        <f>SUM(P151:P153)</f>
        <v>0</v>
      </c>
      <c r="Q150" s="173"/>
      <c r="R150" s="174">
        <f>SUM(R151:R153)</f>
        <v>0</v>
      </c>
      <c r="S150" s="173"/>
      <c r="T150" s="175">
        <f>SUM(T151:T153)</f>
        <v>0</v>
      </c>
      <c r="AR150" s="176" t="s">
        <v>79</v>
      </c>
      <c r="AT150" s="177" t="s">
        <v>71</v>
      </c>
      <c r="AU150" s="177" t="s">
        <v>72</v>
      </c>
      <c r="AY150" s="176" t="s">
        <v>380</v>
      </c>
      <c r="BK150" s="178">
        <f>SUM(BK151:BK153)</f>
        <v>0</v>
      </c>
    </row>
    <row r="151" spans="1:65" s="2" customFormat="1" ht="16.5" customHeight="1">
      <c r="A151" s="36"/>
      <c r="B151" s="37"/>
      <c r="C151" s="181" t="s">
        <v>677</v>
      </c>
      <c r="D151" s="181" t="s">
        <v>382</v>
      </c>
      <c r="E151" s="182" t="s">
        <v>4798</v>
      </c>
      <c r="F151" s="183" t="s">
        <v>4799</v>
      </c>
      <c r="G151" s="184" t="s">
        <v>2393</v>
      </c>
      <c r="H151" s="185">
        <v>4</v>
      </c>
      <c r="I151" s="186"/>
      <c r="J151" s="187">
        <f>ROUND(I151*H151,2)</f>
        <v>0</v>
      </c>
      <c r="K151" s="183" t="s">
        <v>19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79</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154</v>
      </c>
    </row>
    <row r="152" spans="1:65" s="2" customFormat="1" ht="16.5" customHeight="1">
      <c r="A152" s="36"/>
      <c r="B152" s="37"/>
      <c r="C152" s="181" t="s">
        <v>688</v>
      </c>
      <c r="D152" s="181" t="s">
        <v>382</v>
      </c>
      <c r="E152" s="182" t="s">
        <v>4800</v>
      </c>
      <c r="F152" s="183" t="s">
        <v>4801</v>
      </c>
      <c r="G152" s="184" t="s">
        <v>2393</v>
      </c>
      <c r="H152" s="185">
        <v>15</v>
      </c>
      <c r="I152" s="186"/>
      <c r="J152" s="187">
        <f>ROUND(I152*H152,2)</f>
        <v>0</v>
      </c>
      <c r="K152" s="183" t="s">
        <v>19</v>
      </c>
      <c r="L152" s="41"/>
      <c r="M152" s="188" t="s">
        <v>19</v>
      </c>
      <c r="N152" s="189"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281</v>
      </c>
      <c r="AT152" s="192" t="s">
        <v>382</v>
      </c>
      <c r="AU152" s="192" t="s">
        <v>79</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160</v>
      </c>
    </row>
    <row r="153" spans="1:65" s="2" customFormat="1" ht="16.5" customHeight="1">
      <c r="A153" s="36"/>
      <c r="B153" s="37"/>
      <c r="C153" s="181" t="s">
        <v>699</v>
      </c>
      <c r="D153" s="181" t="s">
        <v>382</v>
      </c>
      <c r="E153" s="182" t="s">
        <v>4802</v>
      </c>
      <c r="F153" s="183" t="s">
        <v>4803</v>
      </c>
      <c r="G153" s="184" t="s">
        <v>2393</v>
      </c>
      <c r="H153" s="185">
        <v>6</v>
      </c>
      <c r="I153" s="186"/>
      <c r="J153" s="187">
        <f>ROUND(I153*H153,2)</f>
        <v>0</v>
      </c>
      <c r="K153" s="183" t="s">
        <v>19</v>
      </c>
      <c r="L153" s="41"/>
      <c r="M153" s="188" t="s">
        <v>19</v>
      </c>
      <c r="N153" s="189"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281</v>
      </c>
      <c r="AT153" s="192" t="s">
        <v>382</v>
      </c>
      <c r="AU153" s="192" t="s">
        <v>79</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163</v>
      </c>
    </row>
    <row r="154" spans="1:65" s="12" customFormat="1" ht="25.9" customHeight="1">
      <c r="B154" s="165"/>
      <c r="C154" s="166"/>
      <c r="D154" s="167" t="s">
        <v>71</v>
      </c>
      <c r="E154" s="168" t="s">
        <v>99</v>
      </c>
      <c r="F154" s="168" t="s">
        <v>4804</v>
      </c>
      <c r="G154" s="166"/>
      <c r="H154" s="166"/>
      <c r="I154" s="169"/>
      <c r="J154" s="170">
        <f>BK154</f>
        <v>0</v>
      </c>
      <c r="K154" s="166"/>
      <c r="L154" s="171"/>
      <c r="M154" s="172"/>
      <c r="N154" s="173"/>
      <c r="O154" s="173"/>
      <c r="P154" s="174">
        <f>SUM(P155:P174)</f>
        <v>0</v>
      </c>
      <c r="Q154" s="173"/>
      <c r="R154" s="174">
        <f>SUM(R155:R174)</f>
        <v>0</v>
      </c>
      <c r="S154" s="173"/>
      <c r="T154" s="175">
        <f>SUM(T155:T174)</f>
        <v>0</v>
      </c>
      <c r="AR154" s="176" t="s">
        <v>79</v>
      </c>
      <c r="AT154" s="177" t="s">
        <v>71</v>
      </c>
      <c r="AU154" s="177" t="s">
        <v>72</v>
      </c>
      <c r="AY154" s="176" t="s">
        <v>380</v>
      </c>
      <c r="BK154" s="178">
        <f>SUM(BK155:BK174)</f>
        <v>0</v>
      </c>
    </row>
    <row r="155" spans="1:65" s="2" customFormat="1" ht="16.5" customHeight="1">
      <c r="A155" s="36"/>
      <c r="B155" s="37"/>
      <c r="C155" s="181" t="s">
        <v>703</v>
      </c>
      <c r="D155" s="181" t="s">
        <v>382</v>
      </c>
      <c r="E155" s="182" t="s">
        <v>4805</v>
      </c>
      <c r="F155" s="183" t="s">
        <v>4806</v>
      </c>
      <c r="G155" s="184" t="s">
        <v>452</v>
      </c>
      <c r="H155" s="185">
        <v>12</v>
      </c>
      <c r="I155" s="186"/>
      <c r="J155" s="187">
        <f t="shared" ref="J155:J174" si="30">ROUND(I155*H155,2)</f>
        <v>0</v>
      </c>
      <c r="K155" s="183" t="s">
        <v>19</v>
      </c>
      <c r="L155" s="41"/>
      <c r="M155" s="188" t="s">
        <v>19</v>
      </c>
      <c r="N155" s="189" t="s">
        <v>43</v>
      </c>
      <c r="O155" s="66"/>
      <c r="P155" s="190">
        <f t="shared" ref="P155:P174" si="31">O155*H155</f>
        <v>0</v>
      </c>
      <c r="Q155" s="190">
        <v>0</v>
      </c>
      <c r="R155" s="190">
        <f t="shared" ref="R155:R174" si="32">Q155*H155</f>
        <v>0</v>
      </c>
      <c r="S155" s="190">
        <v>0</v>
      </c>
      <c r="T155" s="191">
        <f t="shared" ref="T155:T174" si="33">S155*H155</f>
        <v>0</v>
      </c>
      <c r="U155" s="36"/>
      <c r="V155" s="36"/>
      <c r="W155" s="36"/>
      <c r="X155" s="36"/>
      <c r="Y155" s="36"/>
      <c r="Z155" s="36"/>
      <c r="AA155" s="36"/>
      <c r="AB155" s="36"/>
      <c r="AC155" s="36"/>
      <c r="AD155" s="36"/>
      <c r="AE155" s="36"/>
      <c r="AR155" s="192" t="s">
        <v>281</v>
      </c>
      <c r="AT155" s="192" t="s">
        <v>382</v>
      </c>
      <c r="AU155" s="192" t="s">
        <v>79</v>
      </c>
      <c r="AY155" s="19" t="s">
        <v>380</v>
      </c>
      <c r="BE155" s="193">
        <f t="shared" ref="BE155:BE174" si="34">IF(N155="základní",J155,0)</f>
        <v>0</v>
      </c>
      <c r="BF155" s="193">
        <f t="shared" ref="BF155:BF174" si="35">IF(N155="snížená",J155,0)</f>
        <v>0</v>
      </c>
      <c r="BG155" s="193">
        <f t="shared" ref="BG155:BG174" si="36">IF(N155="zákl. přenesená",J155,0)</f>
        <v>0</v>
      </c>
      <c r="BH155" s="193">
        <f t="shared" ref="BH155:BH174" si="37">IF(N155="sníž. přenesená",J155,0)</f>
        <v>0</v>
      </c>
      <c r="BI155" s="193">
        <f t="shared" ref="BI155:BI174" si="38">IF(N155="nulová",J155,0)</f>
        <v>0</v>
      </c>
      <c r="BJ155" s="19" t="s">
        <v>79</v>
      </c>
      <c r="BK155" s="193">
        <f t="shared" ref="BK155:BK174" si="39">ROUND(I155*H155,2)</f>
        <v>0</v>
      </c>
      <c r="BL155" s="19" t="s">
        <v>281</v>
      </c>
      <c r="BM155" s="192" t="s">
        <v>1029</v>
      </c>
    </row>
    <row r="156" spans="1:65" s="2" customFormat="1" ht="16.5" customHeight="1">
      <c r="A156" s="36"/>
      <c r="B156" s="37"/>
      <c r="C156" s="181" t="s">
        <v>709</v>
      </c>
      <c r="D156" s="181" t="s">
        <v>382</v>
      </c>
      <c r="E156" s="182" t="s">
        <v>4807</v>
      </c>
      <c r="F156" s="183" t="s">
        <v>4808</v>
      </c>
      <c r="G156" s="184" t="s">
        <v>452</v>
      </c>
      <c r="H156" s="185">
        <v>10</v>
      </c>
      <c r="I156" s="186"/>
      <c r="J156" s="187">
        <f t="shared" si="30"/>
        <v>0</v>
      </c>
      <c r="K156" s="183" t="s">
        <v>19</v>
      </c>
      <c r="L156" s="41"/>
      <c r="M156" s="188" t="s">
        <v>19</v>
      </c>
      <c r="N156" s="189" t="s">
        <v>43</v>
      </c>
      <c r="O156" s="66"/>
      <c r="P156" s="190">
        <f t="shared" si="31"/>
        <v>0</v>
      </c>
      <c r="Q156" s="190">
        <v>0</v>
      </c>
      <c r="R156" s="190">
        <f t="shared" si="32"/>
        <v>0</v>
      </c>
      <c r="S156" s="190">
        <v>0</v>
      </c>
      <c r="T156" s="191">
        <f t="shared" si="33"/>
        <v>0</v>
      </c>
      <c r="U156" s="36"/>
      <c r="V156" s="36"/>
      <c r="W156" s="36"/>
      <c r="X156" s="36"/>
      <c r="Y156" s="36"/>
      <c r="Z156" s="36"/>
      <c r="AA156" s="36"/>
      <c r="AB156" s="36"/>
      <c r="AC156" s="36"/>
      <c r="AD156" s="36"/>
      <c r="AE156" s="36"/>
      <c r="AR156" s="192" t="s">
        <v>281</v>
      </c>
      <c r="AT156" s="192" t="s">
        <v>382</v>
      </c>
      <c r="AU156" s="192" t="s">
        <v>79</v>
      </c>
      <c r="AY156" s="19" t="s">
        <v>380</v>
      </c>
      <c r="BE156" s="193">
        <f t="shared" si="34"/>
        <v>0</v>
      </c>
      <c r="BF156" s="193">
        <f t="shared" si="35"/>
        <v>0</v>
      </c>
      <c r="BG156" s="193">
        <f t="shared" si="36"/>
        <v>0</v>
      </c>
      <c r="BH156" s="193">
        <f t="shared" si="37"/>
        <v>0</v>
      </c>
      <c r="BI156" s="193">
        <f t="shared" si="38"/>
        <v>0</v>
      </c>
      <c r="BJ156" s="19" t="s">
        <v>79</v>
      </c>
      <c r="BK156" s="193">
        <f t="shared" si="39"/>
        <v>0</v>
      </c>
      <c r="BL156" s="19" t="s">
        <v>281</v>
      </c>
      <c r="BM156" s="192" t="s">
        <v>1039</v>
      </c>
    </row>
    <row r="157" spans="1:65" s="2" customFormat="1" ht="16.5" customHeight="1">
      <c r="A157" s="36"/>
      <c r="B157" s="37"/>
      <c r="C157" s="181" t="s">
        <v>721</v>
      </c>
      <c r="D157" s="181" t="s">
        <v>382</v>
      </c>
      <c r="E157" s="182" t="s">
        <v>4809</v>
      </c>
      <c r="F157" s="183" t="s">
        <v>4810</v>
      </c>
      <c r="G157" s="184" t="s">
        <v>452</v>
      </c>
      <c r="H157" s="185">
        <v>10</v>
      </c>
      <c r="I157" s="186"/>
      <c r="J157" s="187">
        <f t="shared" si="30"/>
        <v>0</v>
      </c>
      <c r="K157" s="183" t="s">
        <v>19</v>
      </c>
      <c r="L157" s="41"/>
      <c r="M157" s="188" t="s">
        <v>19</v>
      </c>
      <c r="N157" s="189" t="s">
        <v>43</v>
      </c>
      <c r="O157" s="66"/>
      <c r="P157" s="190">
        <f t="shared" si="31"/>
        <v>0</v>
      </c>
      <c r="Q157" s="190">
        <v>0</v>
      </c>
      <c r="R157" s="190">
        <f t="shared" si="32"/>
        <v>0</v>
      </c>
      <c r="S157" s="190">
        <v>0</v>
      </c>
      <c r="T157" s="191">
        <f t="shared" si="33"/>
        <v>0</v>
      </c>
      <c r="U157" s="36"/>
      <c r="V157" s="36"/>
      <c r="W157" s="36"/>
      <c r="X157" s="36"/>
      <c r="Y157" s="36"/>
      <c r="Z157" s="36"/>
      <c r="AA157" s="36"/>
      <c r="AB157" s="36"/>
      <c r="AC157" s="36"/>
      <c r="AD157" s="36"/>
      <c r="AE157" s="36"/>
      <c r="AR157" s="192" t="s">
        <v>281</v>
      </c>
      <c r="AT157" s="192" t="s">
        <v>382</v>
      </c>
      <c r="AU157" s="192" t="s">
        <v>79</v>
      </c>
      <c r="AY157" s="19" t="s">
        <v>380</v>
      </c>
      <c r="BE157" s="193">
        <f t="shared" si="34"/>
        <v>0</v>
      </c>
      <c r="BF157" s="193">
        <f t="shared" si="35"/>
        <v>0</v>
      </c>
      <c r="BG157" s="193">
        <f t="shared" si="36"/>
        <v>0</v>
      </c>
      <c r="BH157" s="193">
        <f t="shared" si="37"/>
        <v>0</v>
      </c>
      <c r="BI157" s="193">
        <f t="shared" si="38"/>
        <v>0</v>
      </c>
      <c r="BJ157" s="19" t="s">
        <v>79</v>
      </c>
      <c r="BK157" s="193">
        <f t="shared" si="39"/>
        <v>0</v>
      </c>
      <c r="BL157" s="19" t="s">
        <v>281</v>
      </c>
      <c r="BM157" s="192" t="s">
        <v>1049</v>
      </c>
    </row>
    <row r="158" spans="1:65" s="2" customFormat="1" ht="16.5" customHeight="1">
      <c r="A158" s="36"/>
      <c r="B158" s="37"/>
      <c r="C158" s="181" t="s">
        <v>733</v>
      </c>
      <c r="D158" s="181" t="s">
        <v>382</v>
      </c>
      <c r="E158" s="182" t="s">
        <v>4811</v>
      </c>
      <c r="F158" s="183" t="s">
        <v>4812</v>
      </c>
      <c r="G158" s="184" t="s">
        <v>452</v>
      </c>
      <c r="H158" s="185">
        <v>130</v>
      </c>
      <c r="I158" s="186"/>
      <c r="J158" s="187">
        <f t="shared" si="30"/>
        <v>0</v>
      </c>
      <c r="K158" s="183" t="s">
        <v>19</v>
      </c>
      <c r="L158" s="41"/>
      <c r="M158" s="188" t="s">
        <v>19</v>
      </c>
      <c r="N158" s="189" t="s">
        <v>43</v>
      </c>
      <c r="O158" s="66"/>
      <c r="P158" s="190">
        <f t="shared" si="31"/>
        <v>0</v>
      </c>
      <c r="Q158" s="190">
        <v>0</v>
      </c>
      <c r="R158" s="190">
        <f t="shared" si="32"/>
        <v>0</v>
      </c>
      <c r="S158" s="190">
        <v>0</v>
      </c>
      <c r="T158" s="191">
        <f t="shared" si="33"/>
        <v>0</v>
      </c>
      <c r="U158" s="36"/>
      <c r="V158" s="36"/>
      <c r="W158" s="36"/>
      <c r="X158" s="36"/>
      <c r="Y158" s="36"/>
      <c r="Z158" s="36"/>
      <c r="AA158" s="36"/>
      <c r="AB158" s="36"/>
      <c r="AC158" s="36"/>
      <c r="AD158" s="36"/>
      <c r="AE158" s="36"/>
      <c r="AR158" s="192" t="s">
        <v>281</v>
      </c>
      <c r="AT158" s="192" t="s">
        <v>382</v>
      </c>
      <c r="AU158" s="192" t="s">
        <v>79</v>
      </c>
      <c r="AY158" s="19" t="s">
        <v>380</v>
      </c>
      <c r="BE158" s="193">
        <f t="shared" si="34"/>
        <v>0</v>
      </c>
      <c r="BF158" s="193">
        <f t="shared" si="35"/>
        <v>0</v>
      </c>
      <c r="BG158" s="193">
        <f t="shared" si="36"/>
        <v>0</v>
      </c>
      <c r="BH158" s="193">
        <f t="shared" si="37"/>
        <v>0</v>
      </c>
      <c r="BI158" s="193">
        <f t="shared" si="38"/>
        <v>0</v>
      </c>
      <c r="BJ158" s="19" t="s">
        <v>79</v>
      </c>
      <c r="BK158" s="193">
        <f t="shared" si="39"/>
        <v>0</v>
      </c>
      <c r="BL158" s="19" t="s">
        <v>281</v>
      </c>
      <c r="BM158" s="192" t="s">
        <v>1059</v>
      </c>
    </row>
    <row r="159" spans="1:65" s="2" customFormat="1" ht="16.5" customHeight="1">
      <c r="A159" s="36"/>
      <c r="B159" s="37"/>
      <c r="C159" s="181" t="s">
        <v>744</v>
      </c>
      <c r="D159" s="181" t="s">
        <v>382</v>
      </c>
      <c r="E159" s="182" t="s">
        <v>4813</v>
      </c>
      <c r="F159" s="183" t="s">
        <v>4814</v>
      </c>
      <c r="G159" s="184" t="s">
        <v>2393</v>
      </c>
      <c r="H159" s="185">
        <v>6</v>
      </c>
      <c r="I159" s="186"/>
      <c r="J159" s="187">
        <f t="shared" si="30"/>
        <v>0</v>
      </c>
      <c r="K159" s="183" t="s">
        <v>19</v>
      </c>
      <c r="L159" s="41"/>
      <c r="M159" s="188" t="s">
        <v>19</v>
      </c>
      <c r="N159" s="189" t="s">
        <v>43</v>
      </c>
      <c r="O159" s="66"/>
      <c r="P159" s="190">
        <f t="shared" si="31"/>
        <v>0</v>
      </c>
      <c r="Q159" s="190">
        <v>0</v>
      </c>
      <c r="R159" s="190">
        <f t="shared" si="32"/>
        <v>0</v>
      </c>
      <c r="S159" s="190">
        <v>0</v>
      </c>
      <c r="T159" s="191">
        <f t="shared" si="33"/>
        <v>0</v>
      </c>
      <c r="U159" s="36"/>
      <c r="V159" s="36"/>
      <c r="W159" s="36"/>
      <c r="X159" s="36"/>
      <c r="Y159" s="36"/>
      <c r="Z159" s="36"/>
      <c r="AA159" s="36"/>
      <c r="AB159" s="36"/>
      <c r="AC159" s="36"/>
      <c r="AD159" s="36"/>
      <c r="AE159" s="36"/>
      <c r="AR159" s="192" t="s">
        <v>281</v>
      </c>
      <c r="AT159" s="192" t="s">
        <v>382</v>
      </c>
      <c r="AU159" s="192" t="s">
        <v>79</v>
      </c>
      <c r="AY159" s="19" t="s">
        <v>380</v>
      </c>
      <c r="BE159" s="193">
        <f t="shared" si="34"/>
        <v>0</v>
      </c>
      <c r="BF159" s="193">
        <f t="shared" si="35"/>
        <v>0</v>
      </c>
      <c r="BG159" s="193">
        <f t="shared" si="36"/>
        <v>0</v>
      </c>
      <c r="BH159" s="193">
        <f t="shared" si="37"/>
        <v>0</v>
      </c>
      <c r="BI159" s="193">
        <f t="shared" si="38"/>
        <v>0</v>
      </c>
      <c r="BJ159" s="19" t="s">
        <v>79</v>
      </c>
      <c r="BK159" s="193">
        <f t="shared" si="39"/>
        <v>0</v>
      </c>
      <c r="BL159" s="19" t="s">
        <v>281</v>
      </c>
      <c r="BM159" s="192" t="s">
        <v>1068</v>
      </c>
    </row>
    <row r="160" spans="1:65" s="2" customFormat="1" ht="16.5" customHeight="1">
      <c r="A160" s="36"/>
      <c r="B160" s="37"/>
      <c r="C160" s="181" t="s">
        <v>753</v>
      </c>
      <c r="D160" s="181" t="s">
        <v>382</v>
      </c>
      <c r="E160" s="182" t="s">
        <v>4815</v>
      </c>
      <c r="F160" s="183" t="s">
        <v>4816</v>
      </c>
      <c r="G160" s="184" t="s">
        <v>2393</v>
      </c>
      <c r="H160" s="185">
        <v>6</v>
      </c>
      <c r="I160" s="186"/>
      <c r="J160" s="187">
        <f t="shared" si="30"/>
        <v>0</v>
      </c>
      <c r="K160" s="183" t="s">
        <v>19</v>
      </c>
      <c r="L160" s="41"/>
      <c r="M160" s="188" t="s">
        <v>19</v>
      </c>
      <c r="N160" s="189" t="s">
        <v>43</v>
      </c>
      <c r="O160" s="66"/>
      <c r="P160" s="190">
        <f t="shared" si="31"/>
        <v>0</v>
      </c>
      <c r="Q160" s="190">
        <v>0</v>
      </c>
      <c r="R160" s="190">
        <f t="shared" si="32"/>
        <v>0</v>
      </c>
      <c r="S160" s="190">
        <v>0</v>
      </c>
      <c r="T160" s="191">
        <f t="shared" si="33"/>
        <v>0</v>
      </c>
      <c r="U160" s="36"/>
      <c r="V160" s="36"/>
      <c r="W160" s="36"/>
      <c r="X160" s="36"/>
      <c r="Y160" s="36"/>
      <c r="Z160" s="36"/>
      <c r="AA160" s="36"/>
      <c r="AB160" s="36"/>
      <c r="AC160" s="36"/>
      <c r="AD160" s="36"/>
      <c r="AE160" s="36"/>
      <c r="AR160" s="192" t="s">
        <v>281</v>
      </c>
      <c r="AT160" s="192" t="s">
        <v>382</v>
      </c>
      <c r="AU160" s="192" t="s">
        <v>79</v>
      </c>
      <c r="AY160" s="19" t="s">
        <v>380</v>
      </c>
      <c r="BE160" s="193">
        <f t="shared" si="34"/>
        <v>0</v>
      </c>
      <c r="BF160" s="193">
        <f t="shared" si="35"/>
        <v>0</v>
      </c>
      <c r="BG160" s="193">
        <f t="shared" si="36"/>
        <v>0</v>
      </c>
      <c r="BH160" s="193">
        <f t="shared" si="37"/>
        <v>0</v>
      </c>
      <c r="BI160" s="193">
        <f t="shared" si="38"/>
        <v>0</v>
      </c>
      <c r="BJ160" s="19" t="s">
        <v>79</v>
      </c>
      <c r="BK160" s="193">
        <f t="shared" si="39"/>
        <v>0</v>
      </c>
      <c r="BL160" s="19" t="s">
        <v>281</v>
      </c>
      <c r="BM160" s="192" t="s">
        <v>1079</v>
      </c>
    </row>
    <row r="161" spans="1:65" s="2" customFormat="1" ht="16.5" customHeight="1">
      <c r="A161" s="36"/>
      <c r="B161" s="37"/>
      <c r="C161" s="181" t="s">
        <v>760</v>
      </c>
      <c r="D161" s="181" t="s">
        <v>382</v>
      </c>
      <c r="E161" s="182" t="s">
        <v>4817</v>
      </c>
      <c r="F161" s="183" t="s">
        <v>4818</v>
      </c>
      <c r="G161" s="184" t="s">
        <v>2393</v>
      </c>
      <c r="H161" s="185">
        <v>24</v>
      </c>
      <c r="I161" s="186"/>
      <c r="J161" s="187">
        <f t="shared" si="30"/>
        <v>0</v>
      </c>
      <c r="K161" s="183" t="s">
        <v>19</v>
      </c>
      <c r="L161" s="41"/>
      <c r="M161" s="188" t="s">
        <v>19</v>
      </c>
      <c r="N161" s="189" t="s">
        <v>43</v>
      </c>
      <c r="O161" s="66"/>
      <c r="P161" s="190">
        <f t="shared" si="31"/>
        <v>0</v>
      </c>
      <c r="Q161" s="190">
        <v>0</v>
      </c>
      <c r="R161" s="190">
        <f t="shared" si="32"/>
        <v>0</v>
      </c>
      <c r="S161" s="190">
        <v>0</v>
      </c>
      <c r="T161" s="191">
        <f t="shared" si="33"/>
        <v>0</v>
      </c>
      <c r="U161" s="36"/>
      <c r="V161" s="36"/>
      <c r="W161" s="36"/>
      <c r="X161" s="36"/>
      <c r="Y161" s="36"/>
      <c r="Z161" s="36"/>
      <c r="AA161" s="36"/>
      <c r="AB161" s="36"/>
      <c r="AC161" s="36"/>
      <c r="AD161" s="36"/>
      <c r="AE161" s="36"/>
      <c r="AR161" s="192" t="s">
        <v>281</v>
      </c>
      <c r="AT161" s="192" t="s">
        <v>382</v>
      </c>
      <c r="AU161" s="192" t="s">
        <v>79</v>
      </c>
      <c r="AY161" s="19" t="s">
        <v>380</v>
      </c>
      <c r="BE161" s="193">
        <f t="shared" si="34"/>
        <v>0</v>
      </c>
      <c r="BF161" s="193">
        <f t="shared" si="35"/>
        <v>0</v>
      </c>
      <c r="BG161" s="193">
        <f t="shared" si="36"/>
        <v>0</v>
      </c>
      <c r="BH161" s="193">
        <f t="shared" si="37"/>
        <v>0</v>
      </c>
      <c r="BI161" s="193">
        <f t="shared" si="38"/>
        <v>0</v>
      </c>
      <c r="BJ161" s="19" t="s">
        <v>79</v>
      </c>
      <c r="BK161" s="193">
        <f t="shared" si="39"/>
        <v>0</v>
      </c>
      <c r="BL161" s="19" t="s">
        <v>281</v>
      </c>
      <c r="BM161" s="192" t="s">
        <v>1095</v>
      </c>
    </row>
    <row r="162" spans="1:65" s="2" customFormat="1" ht="16.5" customHeight="1">
      <c r="A162" s="36"/>
      <c r="B162" s="37"/>
      <c r="C162" s="181" t="s">
        <v>767</v>
      </c>
      <c r="D162" s="181" t="s">
        <v>382</v>
      </c>
      <c r="E162" s="182" t="s">
        <v>4819</v>
      </c>
      <c r="F162" s="183" t="s">
        <v>4820</v>
      </c>
      <c r="G162" s="184" t="s">
        <v>2393</v>
      </c>
      <c r="H162" s="185">
        <v>24</v>
      </c>
      <c r="I162" s="186"/>
      <c r="J162" s="187">
        <f t="shared" si="30"/>
        <v>0</v>
      </c>
      <c r="K162" s="183" t="s">
        <v>19</v>
      </c>
      <c r="L162" s="41"/>
      <c r="M162" s="188" t="s">
        <v>19</v>
      </c>
      <c r="N162" s="189" t="s">
        <v>43</v>
      </c>
      <c r="O162" s="66"/>
      <c r="P162" s="190">
        <f t="shared" si="31"/>
        <v>0</v>
      </c>
      <c r="Q162" s="190">
        <v>0</v>
      </c>
      <c r="R162" s="190">
        <f t="shared" si="32"/>
        <v>0</v>
      </c>
      <c r="S162" s="190">
        <v>0</v>
      </c>
      <c r="T162" s="191">
        <f t="shared" si="33"/>
        <v>0</v>
      </c>
      <c r="U162" s="36"/>
      <c r="V162" s="36"/>
      <c r="W162" s="36"/>
      <c r="X162" s="36"/>
      <c r="Y162" s="36"/>
      <c r="Z162" s="36"/>
      <c r="AA162" s="36"/>
      <c r="AB162" s="36"/>
      <c r="AC162" s="36"/>
      <c r="AD162" s="36"/>
      <c r="AE162" s="36"/>
      <c r="AR162" s="192" t="s">
        <v>281</v>
      </c>
      <c r="AT162" s="192" t="s">
        <v>382</v>
      </c>
      <c r="AU162" s="192" t="s">
        <v>79</v>
      </c>
      <c r="AY162" s="19" t="s">
        <v>380</v>
      </c>
      <c r="BE162" s="193">
        <f t="shared" si="34"/>
        <v>0</v>
      </c>
      <c r="BF162" s="193">
        <f t="shared" si="35"/>
        <v>0</v>
      </c>
      <c r="BG162" s="193">
        <f t="shared" si="36"/>
        <v>0</v>
      </c>
      <c r="BH162" s="193">
        <f t="shared" si="37"/>
        <v>0</v>
      </c>
      <c r="BI162" s="193">
        <f t="shared" si="38"/>
        <v>0</v>
      </c>
      <c r="BJ162" s="19" t="s">
        <v>79</v>
      </c>
      <c r="BK162" s="193">
        <f t="shared" si="39"/>
        <v>0</v>
      </c>
      <c r="BL162" s="19" t="s">
        <v>281</v>
      </c>
      <c r="BM162" s="192" t="s">
        <v>1112</v>
      </c>
    </row>
    <row r="163" spans="1:65" s="2" customFormat="1" ht="16.5" customHeight="1">
      <c r="A163" s="36"/>
      <c r="B163" s="37"/>
      <c r="C163" s="181" t="s">
        <v>771</v>
      </c>
      <c r="D163" s="181" t="s">
        <v>382</v>
      </c>
      <c r="E163" s="182" t="s">
        <v>4821</v>
      </c>
      <c r="F163" s="183" t="s">
        <v>4822</v>
      </c>
      <c r="G163" s="184" t="s">
        <v>2393</v>
      </c>
      <c r="H163" s="185">
        <v>10</v>
      </c>
      <c r="I163" s="186"/>
      <c r="J163" s="187">
        <f t="shared" si="30"/>
        <v>0</v>
      </c>
      <c r="K163" s="183" t="s">
        <v>19</v>
      </c>
      <c r="L163" s="41"/>
      <c r="M163" s="188" t="s">
        <v>19</v>
      </c>
      <c r="N163" s="189" t="s">
        <v>43</v>
      </c>
      <c r="O163" s="66"/>
      <c r="P163" s="190">
        <f t="shared" si="31"/>
        <v>0</v>
      </c>
      <c r="Q163" s="190">
        <v>0</v>
      </c>
      <c r="R163" s="190">
        <f t="shared" si="32"/>
        <v>0</v>
      </c>
      <c r="S163" s="190">
        <v>0</v>
      </c>
      <c r="T163" s="191">
        <f t="shared" si="33"/>
        <v>0</v>
      </c>
      <c r="U163" s="36"/>
      <c r="V163" s="36"/>
      <c r="W163" s="36"/>
      <c r="X163" s="36"/>
      <c r="Y163" s="36"/>
      <c r="Z163" s="36"/>
      <c r="AA163" s="36"/>
      <c r="AB163" s="36"/>
      <c r="AC163" s="36"/>
      <c r="AD163" s="36"/>
      <c r="AE163" s="36"/>
      <c r="AR163" s="192" t="s">
        <v>281</v>
      </c>
      <c r="AT163" s="192" t="s">
        <v>382</v>
      </c>
      <c r="AU163" s="192" t="s">
        <v>79</v>
      </c>
      <c r="AY163" s="19" t="s">
        <v>380</v>
      </c>
      <c r="BE163" s="193">
        <f t="shared" si="34"/>
        <v>0</v>
      </c>
      <c r="BF163" s="193">
        <f t="shared" si="35"/>
        <v>0</v>
      </c>
      <c r="BG163" s="193">
        <f t="shared" si="36"/>
        <v>0</v>
      </c>
      <c r="BH163" s="193">
        <f t="shared" si="37"/>
        <v>0</v>
      </c>
      <c r="BI163" s="193">
        <f t="shared" si="38"/>
        <v>0</v>
      </c>
      <c r="BJ163" s="19" t="s">
        <v>79</v>
      </c>
      <c r="BK163" s="193">
        <f t="shared" si="39"/>
        <v>0</v>
      </c>
      <c r="BL163" s="19" t="s">
        <v>281</v>
      </c>
      <c r="BM163" s="192" t="s">
        <v>1122</v>
      </c>
    </row>
    <row r="164" spans="1:65" s="2" customFormat="1" ht="16.5" customHeight="1">
      <c r="A164" s="36"/>
      <c r="B164" s="37"/>
      <c r="C164" s="181" t="s">
        <v>776</v>
      </c>
      <c r="D164" s="181" t="s">
        <v>382</v>
      </c>
      <c r="E164" s="182" t="s">
        <v>4823</v>
      </c>
      <c r="F164" s="183" t="s">
        <v>4824</v>
      </c>
      <c r="G164" s="184" t="s">
        <v>2393</v>
      </c>
      <c r="H164" s="185">
        <v>50</v>
      </c>
      <c r="I164" s="186"/>
      <c r="J164" s="187">
        <f t="shared" si="30"/>
        <v>0</v>
      </c>
      <c r="K164" s="183" t="s">
        <v>19</v>
      </c>
      <c r="L164" s="41"/>
      <c r="M164" s="188" t="s">
        <v>19</v>
      </c>
      <c r="N164" s="189" t="s">
        <v>43</v>
      </c>
      <c r="O164" s="66"/>
      <c r="P164" s="190">
        <f t="shared" si="31"/>
        <v>0</v>
      </c>
      <c r="Q164" s="190">
        <v>0</v>
      </c>
      <c r="R164" s="190">
        <f t="shared" si="32"/>
        <v>0</v>
      </c>
      <c r="S164" s="190">
        <v>0</v>
      </c>
      <c r="T164" s="191">
        <f t="shared" si="33"/>
        <v>0</v>
      </c>
      <c r="U164" s="36"/>
      <c r="V164" s="36"/>
      <c r="W164" s="36"/>
      <c r="X164" s="36"/>
      <c r="Y164" s="36"/>
      <c r="Z164" s="36"/>
      <c r="AA164" s="36"/>
      <c r="AB164" s="36"/>
      <c r="AC164" s="36"/>
      <c r="AD164" s="36"/>
      <c r="AE164" s="36"/>
      <c r="AR164" s="192" t="s">
        <v>281</v>
      </c>
      <c r="AT164" s="192" t="s">
        <v>382</v>
      </c>
      <c r="AU164" s="192" t="s">
        <v>79</v>
      </c>
      <c r="AY164" s="19" t="s">
        <v>380</v>
      </c>
      <c r="BE164" s="193">
        <f t="shared" si="34"/>
        <v>0</v>
      </c>
      <c r="BF164" s="193">
        <f t="shared" si="35"/>
        <v>0</v>
      </c>
      <c r="BG164" s="193">
        <f t="shared" si="36"/>
        <v>0</v>
      </c>
      <c r="BH164" s="193">
        <f t="shared" si="37"/>
        <v>0</v>
      </c>
      <c r="BI164" s="193">
        <f t="shared" si="38"/>
        <v>0</v>
      </c>
      <c r="BJ164" s="19" t="s">
        <v>79</v>
      </c>
      <c r="BK164" s="193">
        <f t="shared" si="39"/>
        <v>0</v>
      </c>
      <c r="BL164" s="19" t="s">
        <v>281</v>
      </c>
      <c r="BM164" s="192" t="s">
        <v>1131</v>
      </c>
    </row>
    <row r="165" spans="1:65" s="2" customFormat="1" ht="16.5" customHeight="1">
      <c r="A165" s="36"/>
      <c r="B165" s="37"/>
      <c r="C165" s="181" t="s">
        <v>782</v>
      </c>
      <c r="D165" s="181" t="s">
        <v>382</v>
      </c>
      <c r="E165" s="182" t="s">
        <v>4825</v>
      </c>
      <c r="F165" s="183" t="s">
        <v>4826</v>
      </c>
      <c r="G165" s="184" t="s">
        <v>452</v>
      </c>
      <c r="H165" s="185">
        <v>495</v>
      </c>
      <c r="I165" s="186"/>
      <c r="J165" s="187">
        <f t="shared" si="30"/>
        <v>0</v>
      </c>
      <c r="K165" s="183" t="s">
        <v>19</v>
      </c>
      <c r="L165" s="41"/>
      <c r="M165" s="188" t="s">
        <v>19</v>
      </c>
      <c r="N165" s="189" t="s">
        <v>43</v>
      </c>
      <c r="O165" s="66"/>
      <c r="P165" s="190">
        <f t="shared" si="31"/>
        <v>0</v>
      </c>
      <c r="Q165" s="190">
        <v>0</v>
      </c>
      <c r="R165" s="190">
        <f t="shared" si="32"/>
        <v>0</v>
      </c>
      <c r="S165" s="190">
        <v>0</v>
      </c>
      <c r="T165" s="191">
        <f t="shared" si="33"/>
        <v>0</v>
      </c>
      <c r="U165" s="36"/>
      <c r="V165" s="36"/>
      <c r="W165" s="36"/>
      <c r="X165" s="36"/>
      <c r="Y165" s="36"/>
      <c r="Z165" s="36"/>
      <c r="AA165" s="36"/>
      <c r="AB165" s="36"/>
      <c r="AC165" s="36"/>
      <c r="AD165" s="36"/>
      <c r="AE165" s="36"/>
      <c r="AR165" s="192" t="s">
        <v>281</v>
      </c>
      <c r="AT165" s="192" t="s">
        <v>382</v>
      </c>
      <c r="AU165" s="192" t="s">
        <v>79</v>
      </c>
      <c r="AY165" s="19" t="s">
        <v>380</v>
      </c>
      <c r="BE165" s="193">
        <f t="shared" si="34"/>
        <v>0</v>
      </c>
      <c r="BF165" s="193">
        <f t="shared" si="35"/>
        <v>0</v>
      </c>
      <c r="BG165" s="193">
        <f t="shared" si="36"/>
        <v>0</v>
      </c>
      <c r="BH165" s="193">
        <f t="shared" si="37"/>
        <v>0</v>
      </c>
      <c r="BI165" s="193">
        <f t="shared" si="38"/>
        <v>0</v>
      </c>
      <c r="BJ165" s="19" t="s">
        <v>79</v>
      </c>
      <c r="BK165" s="193">
        <f t="shared" si="39"/>
        <v>0</v>
      </c>
      <c r="BL165" s="19" t="s">
        <v>281</v>
      </c>
      <c r="BM165" s="192" t="s">
        <v>1140</v>
      </c>
    </row>
    <row r="166" spans="1:65" s="2" customFormat="1" ht="16.5" customHeight="1">
      <c r="A166" s="36"/>
      <c r="B166" s="37"/>
      <c r="C166" s="181" t="s">
        <v>787</v>
      </c>
      <c r="D166" s="181" t="s">
        <v>382</v>
      </c>
      <c r="E166" s="182" t="s">
        <v>4827</v>
      </c>
      <c r="F166" s="183" t="s">
        <v>4828</v>
      </c>
      <c r="G166" s="184" t="s">
        <v>452</v>
      </c>
      <c r="H166" s="185">
        <v>100</v>
      </c>
      <c r="I166" s="186"/>
      <c r="J166" s="187">
        <f t="shared" si="30"/>
        <v>0</v>
      </c>
      <c r="K166" s="183" t="s">
        <v>19</v>
      </c>
      <c r="L166" s="41"/>
      <c r="M166" s="188" t="s">
        <v>19</v>
      </c>
      <c r="N166" s="189" t="s">
        <v>43</v>
      </c>
      <c r="O166" s="66"/>
      <c r="P166" s="190">
        <f t="shared" si="31"/>
        <v>0</v>
      </c>
      <c r="Q166" s="190">
        <v>0</v>
      </c>
      <c r="R166" s="190">
        <f t="shared" si="32"/>
        <v>0</v>
      </c>
      <c r="S166" s="190">
        <v>0</v>
      </c>
      <c r="T166" s="191">
        <f t="shared" si="33"/>
        <v>0</v>
      </c>
      <c r="U166" s="36"/>
      <c r="V166" s="36"/>
      <c r="W166" s="36"/>
      <c r="X166" s="36"/>
      <c r="Y166" s="36"/>
      <c r="Z166" s="36"/>
      <c r="AA166" s="36"/>
      <c r="AB166" s="36"/>
      <c r="AC166" s="36"/>
      <c r="AD166" s="36"/>
      <c r="AE166" s="36"/>
      <c r="AR166" s="192" t="s">
        <v>281</v>
      </c>
      <c r="AT166" s="192" t="s">
        <v>382</v>
      </c>
      <c r="AU166" s="192" t="s">
        <v>79</v>
      </c>
      <c r="AY166" s="19" t="s">
        <v>380</v>
      </c>
      <c r="BE166" s="193">
        <f t="shared" si="34"/>
        <v>0</v>
      </c>
      <c r="BF166" s="193">
        <f t="shared" si="35"/>
        <v>0</v>
      </c>
      <c r="BG166" s="193">
        <f t="shared" si="36"/>
        <v>0</v>
      </c>
      <c r="BH166" s="193">
        <f t="shared" si="37"/>
        <v>0</v>
      </c>
      <c r="BI166" s="193">
        <f t="shared" si="38"/>
        <v>0</v>
      </c>
      <c r="BJ166" s="19" t="s">
        <v>79</v>
      </c>
      <c r="BK166" s="193">
        <f t="shared" si="39"/>
        <v>0</v>
      </c>
      <c r="BL166" s="19" t="s">
        <v>281</v>
      </c>
      <c r="BM166" s="192" t="s">
        <v>1156</v>
      </c>
    </row>
    <row r="167" spans="1:65" s="2" customFormat="1" ht="16.5" customHeight="1">
      <c r="A167" s="36"/>
      <c r="B167" s="37"/>
      <c r="C167" s="181" t="s">
        <v>791</v>
      </c>
      <c r="D167" s="181" t="s">
        <v>382</v>
      </c>
      <c r="E167" s="182" t="s">
        <v>4829</v>
      </c>
      <c r="F167" s="183" t="s">
        <v>4830</v>
      </c>
      <c r="G167" s="184" t="s">
        <v>452</v>
      </c>
      <c r="H167" s="185">
        <v>150</v>
      </c>
      <c r="I167" s="186"/>
      <c r="J167" s="187">
        <f t="shared" si="30"/>
        <v>0</v>
      </c>
      <c r="K167" s="183" t="s">
        <v>19</v>
      </c>
      <c r="L167" s="41"/>
      <c r="M167" s="188" t="s">
        <v>19</v>
      </c>
      <c r="N167" s="189" t="s">
        <v>43</v>
      </c>
      <c r="O167" s="66"/>
      <c r="P167" s="190">
        <f t="shared" si="31"/>
        <v>0</v>
      </c>
      <c r="Q167" s="190">
        <v>0</v>
      </c>
      <c r="R167" s="190">
        <f t="shared" si="32"/>
        <v>0</v>
      </c>
      <c r="S167" s="190">
        <v>0</v>
      </c>
      <c r="T167" s="191">
        <f t="shared" si="33"/>
        <v>0</v>
      </c>
      <c r="U167" s="36"/>
      <c r="V167" s="36"/>
      <c r="W167" s="36"/>
      <c r="X167" s="36"/>
      <c r="Y167" s="36"/>
      <c r="Z167" s="36"/>
      <c r="AA167" s="36"/>
      <c r="AB167" s="36"/>
      <c r="AC167" s="36"/>
      <c r="AD167" s="36"/>
      <c r="AE167" s="36"/>
      <c r="AR167" s="192" t="s">
        <v>281</v>
      </c>
      <c r="AT167" s="192" t="s">
        <v>382</v>
      </c>
      <c r="AU167" s="192" t="s">
        <v>79</v>
      </c>
      <c r="AY167" s="19" t="s">
        <v>380</v>
      </c>
      <c r="BE167" s="193">
        <f t="shared" si="34"/>
        <v>0</v>
      </c>
      <c r="BF167" s="193">
        <f t="shared" si="35"/>
        <v>0</v>
      </c>
      <c r="BG167" s="193">
        <f t="shared" si="36"/>
        <v>0</v>
      </c>
      <c r="BH167" s="193">
        <f t="shared" si="37"/>
        <v>0</v>
      </c>
      <c r="BI167" s="193">
        <f t="shared" si="38"/>
        <v>0</v>
      </c>
      <c r="BJ167" s="19" t="s">
        <v>79</v>
      </c>
      <c r="BK167" s="193">
        <f t="shared" si="39"/>
        <v>0</v>
      </c>
      <c r="BL167" s="19" t="s">
        <v>281</v>
      </c>
      <c r="BM167" s="192" t="s">
        <v>1165</v>
      </c>
    </row>
    <row r="168" spans="1:65" s="2" customFormat="1" ht="16.5" customHeight="1">
      <c r="A168" s="36"/>
      <c r="B168" s="37"/>
      <c r="C168" s="181" t="s">
        <v>795</v>
      </c>
      <c r="D168" s="181" t="s">
        <v>382</v>
      </c>
      <c r="E168" s="182" t="s">
        <v>4831</v>
      </c>
      <c r="F168" s="183" t="s">
        <v>4832</v>
      </c>
      <c r="G168" s="184" t="s">
        <v>452</v>
      </c>
      <c r="H168" s="185">
        <v>50</v>
      </c>
      <c r="I168" s="186"/>
      <c r="J168" s="187">
        <f t="shared" si="30"/>
        <v>0</v>
      </c>
      <c r="K168" s="183" t="s">
        <v>19</v>
      </c>
      <c r="L168" s="41"/>
      <c r="M168" s="188" t="s">
        <v>19</v>
      </c>
      <c r="N168" s="189" t="s">
        <v>43</v>
      </c>
      <c r="O168" s="66"/>
      <c r="P168" s="190">
        <f t="shared" si="31"/>
        <v>0</v>
      </c>
      <c r="Q168" s="190">
        <v>0</v>
      </c>
      <c r="R168" s="190">
        <f t="shared" si="32"/>
        <v>0</v>
      </c>
      <c r="S168" s="190">
        <v>0</v>
      </c>
      <c r="T168" s="191">
        <f t="shared" si="33"/>
        <v>0</v>
      </c>
      <c r="U168" s="36"/>
      <c r="V168" s="36"/>
      <c r="W168" s="36"/>
      <c r="X168" s="36"/>
      <c r="Y168" s="36"/>
      <c r="Z168" s="36"/>
      <c r="AA168" s="36"/>
      <c r="AB168" s="36"/>
      <c r="AC168" s="36"/>
      <c r="AD168" s="36"/>
      <c r="AE168" s="36"/>
      <c r="AR168" s="192" t="s">
        <v>281</v>
      </c>
      <c r="AT168" s="192" t="s">
        <v>382</v>
      </c>
      <c r="AU168" s="192" t="s">
        <v>79</v>
      </c>
      <c r="AY168" s="19" t="s">
        <v>380</v>
      </c>
      <c r="BE168" s="193">
        <f t="shared" si="34"/>
        <v>0</v>
      </c>
      <c r="BF168" s="193">
        <f t="shared" si="35"/>
        <v>0</v>
      </c>
      <c r="BG168" s="193">
        <f t="shared" si="36"/>
        <v>0</v>
      </c>
      <c r="BH168" s="193">
        <f t="shared" si="37"/>
        <v>0</v>
      </c>
      <c r="BI168" s="193">
        <f t="shared" si="38"/>
        <v>0</v>
      </c>
      <c r="BJ168" s="19" t="s">
        <v>79</v>
      </c>
      <c r="BK168" s="193">
        <f t="shared" si="39"/>
        <v>0</v>
      </c>
      <c r="BL168" s="19" t="s">
        <v>281</v>
      </c>
      <c r="BM168" s="192" t="s">
        <v>1183</v>
      </c>
    </row>
    <row r="169" spans="1:65" s="2" customFormat="1" ht="16.5" customHeight="1">
      <c r="A169" s="36"/>
      <c r="B169" s="37"/>
      <c r="C169" s="181" t="s">
        <v>799</v>
      </c>
      <c r="D169" s="181" t="s">
        <v>382</v>
      </c>
      <c r="E169" s="182" t="s">
        <v>4833</v>
      </c>
      <c r="F169" s="183" t="s">
        <v>4834</v>
      </c>
      <c r="G169" s="184" t="s">
        <v>2393</v>
      </c>
      <c r="H169" s="185">
        <v>800</v>
      </c>
      <c r="I169" s="186"/>
      <c r="J169" s="187">
        <f t="shared" si="30"/>
        <v>0</v>
      </c>
      <c r="K169" s="183" t="s">
        <v>19</v>
      </c>
      <c r="L169" s="41"/>
      <c r="M169" s="188" t="s">
        <v>19</v>
      </c>
      <c r="N169" s="189" t="s">
        <v>43</v>
      </c>
      <c r="O169" s="66"/>
      <c r="P169" s="190">
        <f t="shared" si="31"/>
        <v>0</v>
      </c>
      <c r="Q169" s="190">
        <v>0</v>
      </c>
      <c r="R169" s="190">
        <f t="shared" si="32"/>
        <v>0</v>
      </c>
      <c r="S169" s="190">
        <v>0</v>
      </c>
      <c r="T169" s="191">
        <f t="shared" si="33"/>
        <v>0</v>
      </c>
      <c r="U169" s="36"/>
      <c r="V169" s="36"/>
      <c r="W169" s="36"/>
      <c r="X169" s="36"/>
      <c r="Y169" s="36"/>
      <c r="Z169" s="36"/>
      <c r="AA169" s="36"/>
      <c r="AB169" s="36"/>
      <c r="AC169" s="36"/>
      <c r="AD169" s="36"/>
      <c r="AE169" s="36"/>
      <c r="AR169" s="192" t="s">
        <v>281</v>
      </c>
      <c r="AT169" s="192" t="s">
        <v>382</v>
      </c>
      <c r="AU169" s="192" t="s">
        <v>79</v>
      </c>
      <c r="AY169" s="19" t="s">
        <v>380</v>
      </c>
      <c r="BE169" s="193">
        <f t="shared" si="34"/>
        <v>0</v>
      </c>
      <c r="BF169" s="193">
        <f t="shared" si="35"/>
        <v>0</v>
      </c>
      <c r="BG169" s="193">
        <f t="shared" si="36"/>
        <v>0</v>
      </c>
      <c r="BH169" s="193">
        <f t="shared" si="37"/>
        <v>0</v>
      </c>
      <c r="BI169" s="193">
        <f t="shared" si="38"/>
        <v>0</v>
      </c>
      <c r="BJ169" s="19" t="s">
        <v>79</v>
      </c>
      <c r="BK169" s="193">
        <f t="shared" si="39"/>
        <v>0</v>
      </c>
      <c r="BL169" s="19" t="s">
        <v>281</v>
      </c>
      <c r="BM169" s="192" t="s">
        <v>1193</v>
      </c>
    </row>
    <row r="170" spans="1:65" s="2" customFormat="1" ht="16.5" customHeight="1">
      <c r="A170" s="36"/>
      <c r="B170" s="37"/>
      <c r="C170" s="181" t="s">
        <v>804</v>
      </c>
      <c r="D170" s="181" t="s">
        <v>382</v>
      </c>
      <c r="E170" s="182" t="s">
        <v>4835</v>
      </c>
      <c r="F170" s="183" t="s">
        <v>4836</v>
      </c>
      <c r="G170" s="184" t="s">
        <v>2393</v>
      </c>
      <c r="H170" s="185">
        <v>1200</v>
      </c>
      <c r="I170" s="186"/>
      <c r="J170" s="187">
        <f t="shared" si="30"/>
        <v>0</v>
      </c>
      <c r="K170" s="183" t="s">
        <v>19</v>
      </c>
      <c r="L170" s="41"/>
      <c r="M170" s="188" t="s">
        <v>19</v>
      </c>
      <c r="N170" s="189" t="s">
        <v>43</v>
      </c>
      <c r="O170" s="66"/>
      <c r="P170" s="190">
        <f t="shared" si="31"/>
        <v>0</v>
      </c>
      <c r="Q170" s="190">
        <v>0</v>
      </c>
      <c r="R170" s="190">
        <f t="shared" si="32"/>
        <v>0</v>
      </c>
      <c r="S170" s="190">
        <v>0</v>
      </c>
      <c r="T170" s="191">
        <f t="shared" si="33"/>
        <v>0</v>
      </c>
      <c r="U170" s="36"/>
      <c r="V170" s="36"/>
      <c r="W170" s="36"/>
      <c r="X170" s="36"/>
      <c r="Y170" s="36"/>
      <c r="Z170" s="36"/>
      <c r="AA170" s="36"/>
      <c r="AB170" s="36"/>
      <c r="AC170" s="36"/>
      <c r="AD170" s="36"/>
      <c r="AE170" s="36"/>
      <c r="AR170" s="192" t="s">
        <v>281</v>
      </c>
      <c r="AT170" s="192" t="s">
        <v>382</v>
      </c>
      <c r="AU170" s="192" t="s">
        <v>79</v>
      </c>
      <c r="AY170" s="19" t="s">
        <v>380</v>
      </c>
      <c r="BE170" s="193">
        <f t="shared" si="34"/>
        <v>0</v>
      </c>
      <c r="BF170" s="193">
        <f t="shared" si="35"/>
        <v>0</v>
      </c>
      <c r="BG170" s="193">
        <f t="shared" si="36"/>
        <v>0</v>
      </c>
      <c r="BH170" s="193">
        <f t="shared" si="37"/>
        <v>0</v>
      </c>
      <c r="BI170" s="193">
        <f t="shared" si="38"/>
        <v>0</v>
      </c>
      <c r="BJ170" s="19" t="s">
        <v>79</v>
      </c>
      <c r="BK170" s="193">
        <f t="shared" si="39"/>
        <v>0</v>
      </c>
      <c r="BL170" s="19" t="s">
        <v>281</v>
      </c>
      <c r="BM170" s="192" t="s">
        <v>1209</v>
      </c>
    </row>
    <row r="171" spans="1:65" s="2" customFormat="1" ht="16.5" customHeight="1">
      <c r="A171" s="36"/>
      <c r="B171" s="37"/>
      <c r="C171" s="181" t="s">
        <v>815</v>
      </c>
      <c r="D171" s="181" t="s">
        <v>382</v>
      </c>
      <c r="E171" s="182" t="s">
        <v>4837</v>
      </c>
      <c r="F171" s="183" t="s">
        <v>4838</v>
      </c>
      <c r="G171" s="184" t="s">
        <v>452</v>
      </c>
      <c r="H171" s="185">
        <v>100</v>
      </c>
      <c r="I171" s="186"/>
      <c r="J171" s="187">
        <f t="shared" si="30"/>
        <v>0</v>
      </c>
      <c r="K171" s="183" t="s">
        <v>19</v>
      </c>
      <c r="L171" s="41"/>
      <c r="M171" s="188" t="s">
        <v>19</v>
      </c>
      <c r="N171" s="189" t="s">
        <v>43</v>
      </c>
      <c r="O171" s="66"/>
      <c r="P171" s="190">
        <f t="shared" si="31"/>
        <v>0</v>
      </c>
      <c r="Q171" s="190">
        <v>0</v>
      </c>
      <c r="R171" s="190">
        <f t="shared" si="32"/>
        <v>0</v>
      </c>
      <c r="S171" s="190">
        <v>0</v>
      </c>
      <c r="T171" s="191">
        <f t="shared" si="33"/>
        <v>0</v>
      </c>
      <c r="U171" s="36"/>
      <c r="V171" s="36"/>
      <c r="W171" s="36"/>
      <c r="X171" s="36"/>
      <c r="Y171" s="36"/>
      <c r="Z171" s="36"/>
      <c r="AA171" s="36"/>
      <c r="AB171" s="36"/>
      <c r="AC171" s="36"/>
      <c r="AD171" s="36"/>
      <c r="AE171" s="36"/>
      <c r="AR171" s="192" t="s">
        <v>281</v>
      </c>
      <c r="AT171" s="192" t="s">
        <v>382</v>
      </c>
      <c r="AU171" s="192" t="s">
        <v>79</v>
      </c>
      <c r="AY171" s="19" t="s">
        <v>380</v>
      </c>
      <c r="BE171" s="193">
        <f t="shared" si="34"/>
        <v>0</v>
      </c>
      <c r="BF171" s="193">
        <f t="shared" si="35"/>
        <v>0</v>
      </c>
      <c r="BG171" s="193">
        <f t="shared" si="36"/>
        <v>0</v>
      </c>
      <c r="BH171" s="193">
        <f t="shared" si="37"/>
        <v>0</v>
      </c>
      <c r="BI171" s="193">
        <f t="shared" si="38"/>
        <v>0</v>
      </c>
      <c r="BJ171" s="19" t="s">
        <v>79</v>
      </c>
      <c r="BK171" s="193">
        <f t="shared" si="39"/>
        <v>0</v>
      </c>
      <c r="BL171" s="19" t="s">
        <v>281</v>
      </c>
      <c r="BM171" s="192" t="s">
        <v>1222</v>
      </c>
    </row>
    <row r="172" spans="1:65" s="2" customFormat="1" ht="16.5" customHeight="1">
      <c r="A172" s="36"/>
      <c r="B172" s="37"/>
      <c r="C172" s="181" t="s">
        <v>831</v>
      </c>
      <c r="D172" s="181" t="s">
        <v>382</v>
      </c>
      <c r="E172" s="182" t="s">
        <v>4839</v>
      </c>
      <c r="F172" s="183" t="s">
        <v>4840</v>
      </c>
      <c r="G172" s="184" t="s">
        <v>2393</v>
      </c>
      <c r="H172" s="185">
        <v>25</v>
      </c>
      <c r="I172" s="186"/>
      <c r="J172" s="187">
        <f t="shared" si="30"/>
        <v>0</v>
      </c>
      <c r="K172" s="183" t="s">
        <v>19</v>
      </c>
      <c r="L172" s="41"/>
      <c r="M172" s="188" t="s">
        <v>19</v>
      </c>
      <c r="N172" s="189" t="s">
        <v>43</v>
      </c>
      <c r="O172" s="66"/>
      <c r="P172" s="190">
        <f t="shared" si="31"/>
        <v>0</v>
      </c>
      <c r="Q172" s="190">
        <v>0</v>
      </c>
      <c r="R172" s="190">
        <f t="shared" si="32"/>
        <v>0</v>
      </c>
      <c r="S172" s="190">
        <v>0</v>
      </c>
      <c r="T172" s="191">
        <f t="shared" si="33"/>
        <v>0</v>
      </c>
      <c r="U172" s="36"/>
      <c r="V172" s="36"/>
      <c r="W172" s="36"/>
      <c r="X172" s="36"/>
      <c r="Y172" s="36"/>
      <c r="Z172" s="36"/>
      <c r="AA172" s="36"/>
      <c r="AB172" s="36"/>
      <c r="AC172" s="36"/>
      <c r="AD172" s="36"/>
      <c r="AE172" s="36"/>
      <c r="AR172" s="192" t="s">
        <v>281</v>
      </c>
      <c r="AT172" s="192" t="s">
        <v>382</v>
      </c>
      <c r="AU172" s="192" t="s">
        <v>79</v>
      </c>
      <c r="AY172" s="19" t="s">
        <v>380</v>
      </c>
      <c r="BE172" s="193">
        <f t="shared" si="34"/>
        <v>0</v>
      </c>
      <c r="BF172" s="193">
        <f t="shared" si="35"/>
        <v>0</v>
      </c>
      <c r="BG172" s="193">
        <f t="shared" si="36"/>
        <v>0</v>
      </c>
      <c r="BH172" s="193">
        <f t="shared" si="37"/>
        <v>0</v>
      </c>
      <c r="BI172" s="193">
        <f t="shared" si="38"/>
        <v>0</v>
      </c>
      <c r="BJ172" s="19" t="s">
        <v>79</v>
      </c>
      <c r="BK172" s="193">
        <f t="shared" si="39"/>
        <v>0</v>
      </c>
      <c r="BL172" s="19" t="s">
        <v>281</v>
      </c>
      <c r="BM172" s="192" t="s">
        <v>1239</v>
      </c>
    </row>
    <row r="173" spans="1:65" s="2" customFormat="1" ht="16.5" customHeight="1">
      <c r="A173" s="36"/>
      <c r="B173" s="37"/>
      <c r="C173" s="181" t="s">
        <v>835</v>
      </c>
      <c r="D173" s="181" t="s">
        <v>382</v>
      </c>
      <c r="E173" s="182" t="s">
        <v>4841</v>
      </c>
      <c r="F173" s="183" t="s">
        <v>4842</v>
      </c>
      <c r="G173" s="184" t="s">
        <v>2393</v>
      </c>
      <c r="H173" s="185">
        <v>5</v>
      </c>
      <c r="I173" s="186"/>
      <c r="J173" s="187">
        <f t="shared" si="30"/>
        <v>0</v>
      </c>
      <c r="K173" s="183" t="s">
        <v>19</v>
      </c>
      <c r="L173" s="41"/>
      <c r="M173" s="188" t="s">
        <v>19</v>
      </c>
      <c r="N173" s="189" t="s">
        <v>43</v>
      </c>
      <c r="O173" s="66"/>
      <c r="P173" s="190">
        <f t="shared" si="31"/>
        <v>0</v>
      </c>
      <c r="Q173" s="190">
        <v>0</v>
      </c>
      <c r="R173" s="190">
        <f t="shared" si="32"/>
        <v>0</v>
      </c>
      <c r="S173" s="190">
        <v>0</v>
      </c>
      <c r="T173" s="191">
        <f t="shared" si="33"/>
        <v>0</v>
      </c>
      <c r="U173" s="36"/>
      <c r="V173" s="36"/>
      <c r="W173" s="36"/>
      <c r="X173" s="36"/>
      <c r="Y173" s="36"/>
      <c r="Z173" s="36"/>
      <c r="AA173" s="36"/>
      <c r="AB173" s="36"/>
      <c r="AC173" s="36"/>
      <c r="AD173" s="36"/>
      <c r="AE173" s="36"/>
      <c r="AR173" s="192" t="s">
        <v>281</v>
      </c>
      <c r="AT173" s="192" t="s">
        <v>382</v>
      </c>
      <c r="AU173" s="192" t="s">
        <v>79</v>
      </c>
      <c r="AY173" s="19" t="s">
        <v>380</v>
      </c>
      <c r="BE173" s="193">
        <f t="shared" si="34"/>
        <v>0</v>
      </c>
      <c r="BF173" s="193">
        <f t="shared" si="35"/>
        <v>0</v>
      </c>
      <c r="BG173" s="193">
        <f t="shared" si="36"/>
        <v>0</v>
      </c>
      <c r="BH173" s="193">
        <f t="shared" si="37"/>
        <v>0</v>
      </c>
      <c r="BI173" s="193">
        <f t="shared" si="38"/>
        <v>0</v>
      </c>
      <c r="BJ173" s="19" t="s">
        <v>79</v>
      </c>
      <c r="BK173" s="193">
        <f t="shared" si="39"/>
        <v>0</v>
      </c>
      <c r="BL173" s="19" t="s">
        <v>281</v>
      </c>
      <c r="BM173" s="192" t="s">
        <v>1251</v>
      </c>
    </row>
    <row r="174" spans="1:65" s="2" customFormat="1" ht="16.5" customHeight="1">
      <c r="A174" s="36"/>
      <c r="B174" s="37"/>
      <c r="C174" s="181" t="s">
        <v>841</v>
      </c>
      <c r="D174" s="181" t="s">
        <v>382</v>
      </c>
      <c r="E174" s="182" t="s">
        <v>4843</v>
      </c>
      <c r="F174" s="183" t="s">
        <v>4750</v>
      </c>
      <c r="G174" s="184" t="s">
        <v>2393</v>
      </c>
      <c r="H174" s="185">
        <v>1</v>
      </c>
      <c r="I174" s="186"/>
      <c r="J174" s="187">
        <f t="shared" si="30"/>
        <v>0</v>
      </c>
      <c r="K174" s="183" t="s">
        <v>19</v>
      </c>
      <c r="L174" s="41"/>
      <c r="M174" s="188" t="s">
        <v>19</v>
      </c>
      <c r="N174" s="189" t="s">
        <v>43</v>
      </c>
      <c r="O174" s="66"/>
      <c r="P174" s="190">
        <f t="shared" si="31"/>
        <v>0</v>
      </c>
      <c r="Q174" s="190">
        <v>0</v>
      </c>
      <c r="R174" s="190">
        <f t="shared" si="32"/>
        <v>0</v>
      </c>
      <c r="S174" s="190">
        <v>0</v>
      </c>
      <c r="T174" s="191">
        <f t="shared" si="33"/>
        <v>0</v>
      </c>
      <c r="U174" s="36"/>
      <c r="V174" s="36"/>
      <c r="W174" s="36"/>
      <c r="X174" s="36"/>
      <c r="Y174" s="36"/>
      <c r="Z174" s="36"/>
      <c r="AA174" s="36"/>
      <c r="AB174" s="36"/>
      <c r="AC174" s="36"/>
      <c r="AD174" s="36"/>
      <c r="AE174" s="36"/>
      <c r="AR174" s="192" t="s">
        <v>281</v>
      </c>
      <c r="AT174" s="192" t="s">
        <v>382</v>
      </c>
      <c r="AU174" s="192" t="s">
        <v>79</v>
      </c>
      <c r="AY174" s="19" t="s">
        <v>380</v>
      </c>
      <c r="BE174" s="193">
        <f t="shared" si="34"/>
        <v>0</v>
      </c>
      <c r="BF174" s="193">
        <f t="shared" si="35"/>
        <v>0</v>
      </c>
      <c r="BG174" s="193">
        <f t="shared" si="36"/>
        <v>0</v>
      </c>
      <c r="BH174" s="193">
        <f t="shared" si="37"/>
        <v>0</v>
      </c>
      <c r="BI174" s="193">
        <f t="shared" si="38"/>
        <v>0</v>
      </c>
      <c r="BJ174" s="19" t="s">
        <v>79</v>
      </c>
      <c r="BK174" s="193">
        <f t="shared" si="39"/>
        <v>0</v>
      </c>
      <c r="BL174" s="19" t="s">
        <v>281</v>
      </c>
      <c r="BM174" s="192" t="s">
        <v>1271</v>
      </c>
    </row>
    <row r="175" spans="1:65" s="12" customFormat="1" ht="25.9" customHeight="1">
      <c r="B175" s="165"/>
      <c r="C175" s="166"/>
      <c r="D175" s="167" t="s">
        <v>71</v>
      </c>
      <c r="E175" s="168" t="s">
        <v>4844</v>
      </c>
      <c r="F175" s="168" t="s">
        <v>4845</v>
      </c>
      <c r="G175" s="166"/>
      <c r="H175" s="166"/>
      <c r="I175" s="169"/>
      <c r="J175" s="170">
        <f>BK175</f>
        <v>0</v>
      </c>
      <c r="K175" s="166"/>
      <c r="L175" s="171"/>
      <c r="M175" s="172"/>
      <c r="N175" s="173"/>
      <c r="O175" s="173"/>
      <c r="P175" s="174">
        <f>SUM(P176:P186)</f>
        <v>0</v>
      </c>
      <c r="Q175" s="173"/>
      <c r="R175" s="174">
        <f>SUM(R176:R186)</f>
        <v>0</v>
      </c>
      <c r="S175" s="173"/>
      <c r="T175" s="175">
        <f>SUM(T176:T186)</f>
        <v>0</v>
      </c>
      <c r="AR175" s="176" t="s">
        <v>79</v>
      </c>
      <c r="AT175" s="177" t="s">
        <v>71</v>
      </c>
      <c r="AU175" s="177" t="s">
        <v>72</v>
      </c>
      <c r="AY175" s="176" t="s">
        <v>380</v>
      </c>
      <c r="BK175" s="178">
        <f>SUM(BK176:BK186)</f>
        <v>0</v>
      </c>
    </row>
    <row r="176" spans="1:65" s="2" customFormat="1" ht="16.5" customHeight="1">
      <c r="A176" s="36"/>
      <c r="B176" s="37"/>
      <c r="C176" s="181" t="s">
        <v>845</v>
      </c>
      <c r="D176" s="181" t="s">
        <v>382</v>
      </c>
      <c r="E176" s="182" t="s">
        <v>4846</v>
      </c>
      <c r="F176" s="183" t="s">
        <v>4847</v>
      </c>
      <c r="G176" s="184" t="s">
        <v>452</v>
      </c>
      <c r="H176" s="185">
        <v>162</v>
      </c>
      <c r="I176" s="186"/>
      <c r="J176" s="187">
        <f t="shared" ref="J176:J186" si="40">ROUND(I176*H176,2)</f>
        <v>0</v>
      </c>
      <c r="K176" s="183" t="s">
        <v>19</v>
      </c>
      <c r="L176" s="41"/>
      <c r="M176" s="188" t="s">
        <v>19</v>
      </c>
      <c r="N176" s="189" t="s">
        <v>43</v>
      </c>
      <c r="O176" s="66"/>
      <c r="P176" s="190">
        <f t="shared" ref="P176:P186" si="41">O176*H176</f>
        <v>0</v>
      </c>
      <c r="Q176" s="190">
        <v>0</v>
      </c>
      <c r="R176" s="190">
        <f t="shared" ref="R176:R186" si="42">Q176*H176</f>
        <v>0</v>
      </c>
      <c r="S176" s="190">
        <v>0</v>
      </c>
      <c r="T176" s="191">
        <f t="shared" ref="T176:T186" si="43">S176*H176</f>
        <v>0</v>
      </c>
      <c r="U176" s="36"/>
      <c r="V176" s="36"/>
      <c r="W176" s="36"/>
      <c r="X176" s="36"/>
      <c r="Y176" s="36"/>
      <c r="Z176" s="36"/>
      <c r="AA176" s="36"/>
      <c r="AB176" s="36"/>
      <c r="AC176" s="36"/>
      <c r="AD176" s="36"/>
      <c r="AE176" s="36"/>
      <c r="AR176" s="192" t="s">
        <v>281</v>
      </c>
      <c r="AT176" s="192" t="s">
        <v>382</v>
      </c>
      <c r="AU176" s="192" t="s">
        <v>79</v>
      </c>
      <c r="AY176" s="19" t="s">
        <v>380</v>
      </c>
      <c r="BE176" s="193">
        <f t="shared" ref="BE176:BE186" si="44">IF(N176="základní",J176,0)</f>
        <v>0</v>
      </c>
      <c r="BF176" s="193">
        <f t="shared" ref="BF176:BF186" si="45">IF(N176="snížená",J176,0)</f>
        <v>0</v>
      </c>
      <c r="BG176" s="193">
        <f t="shared" ref="BG176:BG186" si="46">IF(N176="zákl. přenesená",J176,0)</f>
        <v>0</v>
      </c>
      <c r="BH176" s="193">
        <f t="shared" ref="BH176:BH186" si="47">IF(N176="sníž. přenesená",J176,0)</f>
        <v>0</v>
      </c>
      <c r="BI176" s="193">
        <f t="shared" ref="BI176:BI186" si="48">IF(N176="nulová",J176,0)</f>
        <v>0</v>
      </c>
      <c r="BJ176" s="19" t="s">
        <v>79</v>
      </c>
      <c r="BK176" s="193">
        <f t="shared" ref="BK176:BK186" si="49">ROUND(I176*H176,2)</f>
        <v>0</v>
      </c>
      <c r="BL176" s="19" t="s">
        <v>281</v>
      </c>
      <c r="BM176" s="192" t="s">
        <v>1280</v>
      </c>
    </row>
    <row r="177" spans="1:65" s="2" customFormat="1" ht="16.5" customHeight="1">
      <c r="A177" s="36"/>
      <c r="B177" s="37"/>
      <c r="C177" s="181" t="s">
        <v>851</v>
      </c>
      <c r="D177" s="181" t="s">
        <v>382</v>
      </c>
      <c r="E177" s="182" t="s">
        <v>4848</v>
      </c>
      <c r="F177" s="183" t="s">
        <v>4849</v>
      </c>
      <c r="G177" s="184" t="s">
        <v>2393</v>
      </c>
      <c r="H177" s="185">
        <v>6</v>
      </c>
      <c r="I177" s="186"/>
      <c r="J177" s="187">
        <f t="shared" si="40"/>
        <v>0</v>
      </c>
      <c r="K177" s="183" t="s">
        <v>19</v>
      </c>
      <c r="L177" s="41"/>
      <c r="M177" s="188" t="s">
        <v>19</v>
      </c>
      <c r="N177" s="189" t="s">
        <v>43</v>
      </c>
      <c r="O177" s="66"/>
      <c r="P177" s="190">
        <f t="shared" si="41"/>
        <v>0</v>
      </c>
      <c r="Q177" s="190">
        <v>0</v>
      </c>
      <c r="R177" s="190">
        <f t="shared" si="42"/>
        <v>0</v>
      </c>
      <c r="S177" s="190">
        <v>0</v>
      </c>
      <c r="T177" s="191">
        <f t="shared" si="43"/>
        <v>0</v>
      </c>
      <c r="U177" s="36"/>
      <c r="V177" s="36"/>
      <c r="W177" s="36"/>
      <c r="X177" s="36"/>
      <c r="Y177" s="36"/>
      <c r="Z177" s="36"/>
      <c r="AA177" s="36"/>
      <c r="AB177" s="36"/>
      <c r="AC177" s="36"/>
      <c r="AD177" s="36"/>
      <c r="AE177" s="36"/>
      <c r="AR177" s="192" t="s">
        <v>281</v>
      </c>
      <c r="AT177" s="192" t="s">
        <v>382</v>
      </c>
      <c r="AU177" s="192" t="s">
        <v>79</v>
      </c>
      <c r="AY177" s="19" t="s">
        <v>380</v>
      </c>
      <c r="BE177" s="193">
        <f t="shared" si="44"/>
        <v>0</v>
      </c>
      <c r="BF177" s="193">
        <f t="shared" si="45"/>
        <v>0</v>
      </c>
      <c r="BG177" s="193">
        <f t="shared" si="46"/>
        <v>0</v>
      </c>
      <c r="BH177" s="193">
        <f t="shared" si="47"/>
        <v>0</v>
      </c>
      <c r="BI177" s="193">
        <f t="shared" si="48"/>
        <v>0</v>
      </c>
      <c r="BJ177" s="19" t="s">
        <v>79</v>
      </c>
      <c r="BK177" s="193">
        <f t="shared" si="49"/>
        <v>0</v>
      </c>
      <c r="BL177" s="19" t="s">
        <v>281</v>
      </c>
      <c r="BM177" s="192" t="s">
        <v>1293</v>
      </c>
    </row>
    <row r="178" spans="1:65" s="2" customFormat="1" ht="16.5" customHeight="1">
      <c r="A178" s="36"/>
      <c r="B178" s="37"/>
      <c r="C178" s="181" t="s">
        <v>855</v>
      </c>
      <c r="D178" s="181" t="s">
        <v>382</v>
      </c>
      <c r="E178" s="182" t="s">
        <v>4850</v>
      </c>
      <c r="F178" s="183" t="s">
        <v>4851</v>
      </c>
      <c r="G178" s="184" t="s">
        <v>2393</v>
      </c>
      <c r="H178" s="185">
        <v>10</v>
      </c>
      <c r="I178" s="186"/>
      <c r="J178" s="187">
        <f t="shared" si="40"/>
        <v>0</v>
      </c>
      <c r="K178" s="183" t="s">
        <v>19</v>
      </c>
      <c r="L178" s="41"/>
      <c r="M178" s="188" t="s">
        <v>19</v>
      </c>
      <c r="N178" s="189" t="s">
        <v>43</v>
      </c>
      <c r="O178" s="66"/>
      <c r="P178" s="190">
        <f t="shared" si="41"/>
        <v>0</v>
      </c>
      <c r="Q178" s="190">
        <v>0</v>
      </c>
      <c r="R178" s="190">
        <f t="shared" si="42"/>
        <v>0</v>
      </c>
      <c r="S178" s="190">
        <v>0</v>
      </c>
      <c r="T178" s="191">
        <f t="shared" si="43"/>
        <v>0</v>
      </c>
      <c r="U178" s="36"/>
      <c r="V178" s="36"/>
      <c r="W178" s="36"/>
      <c r="X178" s="36"/>
      <c r="Y178" s="36"/>
      <c r="Z178" s="36"/>
      <c r="AA178" s="36"/>
      <c r="AB178" s="36"/>
      <c r="AC178" s="36"/>
      <c r="AD178" s="36"/>
      <c r="AE178" s="36"/>
      <c r="AR178" s="192" t="s">
        <v>281</v>
      </c>
      <c r="AT178" s="192" t="s">
        <v>382</v>
      </c>
      <c r="AU178" s="192" t="s">
        <v>79</v>
      </c>
      <c r="AY178" s="19" t="s">
        <v>380</v>
      </c>
      <c r="BE178" s="193">
        <f t="shared" si="44"/>
        <v>0</v>
      </c>
      <c r="BF178" s="193">
        <f t="shared" si="45"/>
        <v>0</v>
      </c>
      <c r="BG178" s="193">
        <f t="shared" si="46"/>
        <v>0</v>
      </c>
      <c r="BH178" s="193">
        <f t="shared" si="47"/>
        <v>0</v>
      </c>
      <c r="BI178" s="193">
        <f t="shared" si="48"/>
        <v>0</v>
      </c>
      <c r="BJ178" s="19" t="s">
        <v>79</v>
      </c>
      <c r="BK178" s="193">
        <f t="shared" si="49"/>
        <v>0</v>
      </c>
      <c r="BL178" s="19" t="s">
        <v>281</v>
      </c>
      <c r="BM178" s="192" t="s">
        <v>1301</v>
      </c>
    </row>
    <row r="179" spans="1:65" s="2" customFormat="1" ht="16.5" customHeight="1">
      <c r="A179" s="36"/>
      <c r="B179" s="37"/>
      <c r="C179" s="181" t="s">
        <v>859</v>
      </c>
      <c r="D179" s="181" t="s">
        <v>382</v>
      </c>
      <c r="E179" s="182" t="s">
        <v>4852</v>
      </c>
      <c r="F179" s="183" t="s">
        <v>4853</v>
      </c>
      <c r="G179" s="184" t="s">
        <v>2393</v>
      </c>
      <c r="H179" s="185">
        <v>50</v>
      </c>
      <c r="I179" s="186"/>
      <c r="J179" s="187">
        <f t="shared" si="40"/>
        <v>0</v>
      </c>
      <c r="K179" s="183" t="s">
        <v>19</v>
      </c>
      <c r="L179" s="41"/>
      <c r="M179" s="188" t="s">
        <v>19</v>
      </c>
      <c r="N179" s="189" t="s">
        <v>43</v>
      </c>
      <c r="O179" s="66"/>
      <c r="P179" s="190">
        <f t="shared" si="41"/>
        <v>0</v>
      </c>
      <c r="Q179" s="190">
        <v>0</v>
      </c>
      <c r="R179" s="190">
        <f t="shared" si="42"/>
        <v>0</v>
      </c>
      <c r="S179" s="190">
        <v>0</v>
      </c>
      <c r="T179" s="191">
        <f t="shared" si="43"/>
        <v>0</v>
      </c>
      <c r="U179" s="36"/>
      <c r="V179" s="36"/>
      <c r="W179" s="36"/>
      <c r="X179" s="36"/>
      <c r="Y179" s="36"/>
      <c r="Z179" s="36"/>
      <c r="AA179" s="36"/>
      <c r="AB179" s="36"/>
      <c r="AC179" s="36"/>
      <c r="AD179" s="36"/>
      <c r="AE179" s="36"/>
      <c r="AR179" s="192" t="s">
        <v>281</v>
      </c>
      <c r="AT179" s="192" t="s">
        <v>382</v>
      </c>
      <c r="AU179" s="192" t="s">
        <v>79</v>
      </c>
      <c r="AY179" s="19" t="s">
        <v>380</v>
      </c>
      <c r="BE179" s="193">
        <f t="shared" si="44"/>
        <v>0</v>
      </c>
      <c r="BF179" s="193">
        <f t="shared" si="45"/>
        <v>0</v>
      </c>
      <c r="BG179" s="193">
        <f t="shared" si="46"/>
        <v>0</v>
      </c>
      <c r="BH179" s="193">
        <f t="shared" si="47"/>
        <v>0</v>
      </c>
      <c r="BI179" s="193">
        <f t="shared" si="48"/>
        <v>0</v>
      </c>
      <c r="BJ179" s="19" t="s">
        <v>79</v>
      </c>
      <c r="BK179" s="193">
        <f t="shared" si="49"/>
        <v>0</v>
      </c>
      <c r="BL179" s="19" t="s">
        <v>281</v>
      </c>
      <c r="BM179" s="192" t="s">
        <v>1309</v>
      </c>
    </row>
    <row r="180" spans="1:65" s="2" customFormat="1" ht="16.5" customHeight="1">
      <c r="A180" s="36"/>
      <c r="B180" s="37"/>
      <c r="C180" s="181" t="s">
        <v>863</v>
      </c>
      <c r="D180" s="181" t="s">
        <v>382</v>
      </c>
      <c r="E180" s="182" t="s">
        <v>4854</v>
      </c>
      <c r="F180" s="183" t="s">
        <v>4855</v>
      </c>
      <c r="G180" s="184" t="s">
        <v>452</v>
      </c>
      <c r="H180" s="185">
        <v>100</v>
      </c>
      <c r="I180" s="186"/>
      <c r="J180" s="187">
        <f t="shared" si="40"/>
        <v>0</v>
      </c>
      <c r="K180" s="183" t="s">
        <v>19</v>
      </c>
      <c r="L180" s="41"/>
      <c r="M180" s="188" t="s">
        <v>19</v>
      </c>
      <c r="N180" s="189" t="s">
        <v>43</v>
      </c>
      <c r="O180" s="66"/>
      <c r="P180" s="190">
        <f t="shared" si="41"/>
        <v>0</v>
      </c>
      <c r="Q180" s="190">
        <v>0</v>
      </c>
      <c r="R180" s="190">
        <f t="shared" si="42"/>
        <v>0</v>
      </c>
      <c r="S180" s="190">
        <v>0</v>
      </c>
      <c r="T180" s="191">
        <f t="shared" si="43"/>
        <v>0</v>
      </c>
      <c r="U180" s="36"/>
      <c r="V180" s="36"/>
      <c r="W180" s="36"/>
      <c r="X180" s="36"/>
      <c r="Y180" s="36"/>
      <c r="Z180" s="36"/>
      <c r="AA180" s="36"/>
      <c r="AB180" s="36"/>
      <c r="AC180" s="36"/>
      <c r="AD180" s="36"/>
      <c r="AE180" s="36"/>
      <c r="AR180" s="192" t="s">
        <v>281</v>
      </c>
      <c r="AT180" s="192" t="s">
        <v>382</v>
      </c>
      <c r="AU180" s="192" t="s">
        <v>79</v>
      </c>
      <c r="AY180" s="19" t="s">
        <v>380</v>
      </c>
      <c r="BE180" s="193">
        <f t="shared" si="44"/>
        <v>0</v>
      </c>
      <c r="BF180" s="193">
        <f t="shared" si="45"/>
        <v>0</v>
      </c>
      <c r="BG180" s="193">
        <f t="shared" si="46"/>
        <v>0</v>
      </c>
      <c r="BH180" s="193">
        <f t="shared" si="47"/>
        <v>0</v>
      </c>
      <c r="BI180" s="193">
        <f t="shared" si="48"/>
        <v>0</v>
      </c>
      <c r="BJ180" s="19" t="s">
        <v>79</v>
      </c>
      <c r="BK180" s="193">
        <f t="shared" si="49"/>
        <v>0</v>
      </c>
      <c r="BL180" s="19" t="s">
        <v>281</v>
      </c>
      <c r="BM180" s="192" t="s">
        <v>1322</v>
      </c>
    </row>
    <row r="181" spans="1:65" s="2" customFormat="1" ht="16.5" customHeight="1">
      <c r="A181" s="36"/>
      <c r="B181" s="37"/>
      <c r="C181" s="181" t="s">
        <v>867</v>
      </c>
      <c r="D181" s="181" t="s">
        <v>382</v>
      </c>
      <c r="E181" s="182" t="s">
        <v>4856</v>
      </c>
      <c r="F181" s="183" t="s">
        <v>4857</v>
      </c>
      <c r="G181" s="184" t="s">
        <v>452</v>
      </c>
      <c r="H181" s="185">
        <v>695</v>
      </c>
      <c r="I181" s="186"/>
      <c r="J181" s="187">
        <f t="shared" si="40"/>
        <v>0</v>
      </c>
      <c r="K181" s="183" t="s">
        <v>19</v>
      </c>
      <c r="L181" s="41"/>
      <c r="M181" s="188" t="s">
        <v>19</v>
      </c>
      <c r="N181" s="189" t="s">
        <v>43</v>
      </c>
      <c r="O181" s="66"/>
      <c r="P181" s="190">
        <f t="shared" si="41"/>
        <v>0</v>
      </c>
      <c r="Q181" s="190">
        <v>0</v>
      </c>
      <c r="R181" s="190">
        <f t="shared" si="42"/>
        <v>0</v>
      </c>
      <c r="S181" s="190">
        <v>0</v>
      </c>
      <c r="T181" s="191">
        <f t="shared" si="43"/>
        <v>0</v>
      </c>
      <c r="U181" s="36"/>
      <c r="V181" s="36"/>
      <c r="W181" s="36"/>
      <c r="X181" s="36"/>
      <c r="Y181" s="36"/>
      <c r="Z181" s="36"/>
      <c r="AA181" s="36"/>
      <c r="AB181" s="36"/>
      <c r="AC181" s="36"/>
      <c r="AD181" s="36"/>
      <c r="AE181" s="36"/>
      <c r="AR181" s="192" t="s">
        <v>281</v>
      </c>
      <c r="AT181" s="192" t="s">
        <v>382</v>
      </c>
      <c r="AU181" s="192" t="s">
        <v>79</v>
      </c>
      <c r="AY181" s="19" t="s">
        <v>380</v>
      </c>
      <c r="BE181" s="193">
        <f t="shared" si="44"/>
        <v>0</v>
      </c>
      <c r="BF181" s="193">
        <f t="shared" si="45"/>
        <v>0</v>
      </c>
      <c r="BG181" s="193">
        <f t="shared" si="46"/>
        <v>0</v>
      </c>
      <c r="BH181" s="193">
        <f t="shared" si="47"/>
        <v>0</v>
      </c>
      <c r="BI181" s="193">
        <f t="shared" si="48"/>
        <v>0</v>
      </c>
      <c r="BJ181" s="19" t="s">
        <v>79</v>
      </c>
      <c r="BK181" s="193">
        <f t="shared" si="49"/>
        <v>0</v>
      </c>
      <c r="BL181" s="19" t="s">
        <v>281</v>
      </c>
      <c r="BM181" s="192" t="s">
        <v>1340</v>
      </c>
    </row>
    <row r="182" spans="1:65" s="2" customFormat="1" ht="16.5" customHeight="1">
      <c r="A182" s="36"/>
      <c r="B182" s="37"/>
      <c r="C182" s="181" t="s">
        <v>873</v>
      </c>
      <c r="D182" s="181" t="s">
        <v>382</v>
      </c>
      <c r="E182" s="182" t="s">
        <v>4858</v>
      </c>
      <c r="F182" s="183" t="s">
        <v>4859</v>
      </c>
      <c r="G182" s="184" t="s">
        <v>452</v>
      </c>
      <c r="H182" s="185">
        <v>100</v>
      </c>
      <c r="I182" s="186"/>
      <c r="J182" s="187">
        <f t="shared" si="40"/>
        <v>0</v>
      </c>
      <c r="K182" s="183" t="s">
        <v>19</v>
      </c>
      <c r="L182" s="41"/>
      <c r="M182" s="188" t="s">
        <v>19</v>
      </c>
      <c r="N182" s="189" t="s">
        <v>43</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281</v>
      </c>
      <c r="AT182" s="192" t="s">
        <v>382</v>
      </c>
      <c r="AU182" s="192" t="s">
        <v>79</v>
      </c>
      <c r="AY182" s="19" t="s">
        <v>380</v>
      </c>
      <c r="BE182" s="193">
        <f t="shared" si="44"/>
        <v>0</v>
      </c>
      <c r="BF182" s="193">
        <f t="shared" si="45"/>
        <v>0</v>
      </c>
      <c r="BG182" s="193">
        <f t="shared" si="46"/>
        <v>0</v>
      </c>
      <c r="BH182" s="193">
        <f t="shared" si="47"/>
        <v>0</v>
      </c>
      <c r="BI182" s="193">
        <f t="shared" si="48"/>
        <v>0</v>
      </c>
      <c r="BJ182" s="19" t="s">
        <v>79</v>
      </c>
      <c r="BK182" s="193">
        <f t="shared" si="49"/>
        <v>0</v>
      </c>
      <c r="BL182" s="19" t="s">
        <v>281</v>
      </c>
      <c r="BM182" s="192" t="s">
        <v>1353</v>
      </c>
    </row>
    <row r="183" spans="1:65" s="2" customFormat="1" ht="16.5" customHeight="1">
      <c r="A183" s="36"/>
      <c r="B183" s="37"/>
      <c r="C183" s="181" t="s">
        <v>884</v>
      </c>
      <c r="D183" s="181" t="s">
        <v>382</v>
      </c>
      <c r="E183" s="182" t="s">
        <v>4860</v>
      </c>
      <c r="F183" s="183" t="s">
        <v>4861</v>
      </c>
      <c r="G183" s="184" t="s">
        <v>2393</v>
      </c>
      <c r="H183" s="185">
        <v>2000</v>
      </c>
      <c r="I183" s="186"/>
      <c r="J183" s="187">
        <f t="shared" si="40"/>
        <v>0</v>
      </c>
      <c r="K183" s="183" t="s">
        <v>19</v>
      </c>
      <c r="L183" s="41"/>
      <c r="M183" s="188" t="s">
        <v>19</v>
      </c>
      <c r="N183" s="189" t="s">
        <v>43</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281</v>
      </c>
      <c r="AT183" s="192" t="s">
        <v>382</v>
      </c>
      <c r="AU183" s="192" t="s">
        <v>79</v>
      </c>
      <c r="AY183" s="19" t="s">
        <v>380</v>
      </c>
      <c r="BE183" s="193">
        <f t="shared" si="44"/>
        <v>0</v>
      </c>
      <c r="BF183" s="193">
        <f t="shared" si="45"/>
        <v>0</v>
      </c>
      <c r="BG183" s="193">
        <f t="shared" si="46"/>
        <v>0</v>
      </c>
      <c r="BH183" s="193">
        <f t="shared" si="47"/>
        <v>0</v>
      </c>
      <c r="BI183" s="193">
        <f t="shared" si="48"/>
        <v>0</v>
      </c>
      <c r="BJ183" s="19" t="s">
        <v>79</v>
      </c>
      <c r="BK183" s="193">
        <f t="shared" si="49"/>
        <v>0</v>
      </c>
      <c r="BL183" s="19" t="s">
        <v>281</v>
      </c>
      <c r="BM183" s="192" t="s">
        <v>1363</v>
      </c>
    </row>
    <row r="184" spans="1:65" s="2" customFormat="1" ht="16.5" customHeight="1">
      <c r="A184" s="36"/>
      <c r="B184" s="37"/>
      <c r="C184" s="181" t="s">
        <v>897</v>
      </c>
      <c r="D184" s="181" t="s">
        <v>382</v>
      </c>
      <c r="E184" s="182" t="s">
        <v>4862</v>
      </c>
      <c r="F184" s="183" t="s">
        <v>4863</v>
      </c>
      <c r="G184" s="184" t="s">
        <v>2393</v>
      </c>
      <c r="H184" s="185">
        <v>40</v>
      </c>
      <c r="I184" s="186"/>
      <c r="J184" s="187">
        <f t="shared" si="40"/>
        <v>0</v>
      </c>
      <c r="K184" s="183" t="s">
        <v>19</v>
      </c>
      <c r="L184" s="41"/>
      <c r="M184" s="188" t="s">
        <v>19</v>
      </c>
      <c r="N184" s="189" t="s">
        <v>43</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281</v>
      </c>
      <c r="AT184" s="192" t="s">
        <v>382</v>
      </c>
      <c r="AU184" s="192" t="s">
        <v>79</v>
      </c>
      <c r="AY184" s="19" t="s">
        <v>380</v>
      </c>
      <c r="BE184" s="193">
        <f t="shared" si="44"/>
        <v>0</v>
      </c>
      <c r="BF184" s="193">
        <f t="shared" si="45"/>
        <v>0</v>
      </c>
      <c r="BG184" s="193">
        <f t="shared" si="46"/>
        <v>0</v>
      </c>
      <c r="BH184" s="193">
        <f t="shared" si="47"/>
        <v>0</v>
      </c>
      <c r="BI184" s="193">
        <f t="shared" si="48"/>
        <v>0</v>
      </c>
      <c r="BJ184" s="19" t="s">
        <v>79</v>
      </c>
      <c r="BK184" s="193">
        <f t="shared" si="49"/>
        <v>0</v>
      </c>
      <c r="BL184" s="19" t="s">
        <v>281</v>
      </c>
      <c r="BM184" s="192" t="s">
        <v>1373</v>
      </c>
    </row>
    <row r="185" spans="1:65" s="2" customFormat="1" ht="16.5" customHeight="1">
      <c r="A185" s="36"/>
      <c r="B185" s="37"/>
      <c r="C185" s="181" t="s">
        <v>910</v>
      </c>
      <c r="D185" s="181" t="s">
        <v>382</v>
      </c>
      <c r="E185" s="182" t="s">
        <v>4864</v>
      </c>
      <c r="F185" s="183" t="s">
        <v>4865</v>
      </c>
      <c r="G185" s="184" t="s">
        <v>2393</v>
      </c>
      <c r="H185" s="185">
        <v>9</v>
      </c>
      <c r="I185" s="186"/>
      <c r="J185" s="187">
        <f t="shared" si="40"/>
        <v>0</v>
      </c>
      <c r="K185" s="183" t="s">
        <v>19</v>
      </c>
      <c r="L185" s="41"/>
      <c r="M185" s="188" t="s">
        <v>19</v>
      </c>
      <c r="N185" s="189" t="s">
        <v>43</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281</v>
      </c>
      <c r="AT185" s="192" t="s">
        <v>382</v>
      </c>
      <c r="AU185" s="192" t="s">
        <v>79</v>
      </c>
      <c r="AY185" s="19" t="s">
        <v>380</v>
      </c>
      <c r="BE185" s="193">
        <f t="shared" si="44"/>
        <v>0</v>
      </c>
      <c r="BF185" s="193">
        <f t="shared" si="45"/>
        <v>0</v>
      </c>
      <c r="BG185" s="193">
        <f t="shared" si="46"/>
        <v>0</v>
      </c>
      <c r="BH185" s="193">
        <f t="shared" si="47"/>
        <v>0</v>
      </c>
      <c r="BI185" s="193">
        <f t="shared" si="48"/>
        <v>0</v>
      </c>
      <c r="BJ185" s="19" t="s">
        <v>79</v>
      </c>
      <c r="BK185" s="193">
        <f t="shared" si="49"/>
        <v>0</v>
      </c>
      <c r="BL185" s="19" t="s">
        <v>281</v>
      </c>
      <c r="BM185" s="192" t="s">
        <v>1386</v>
      </c>
    </row>
    <row r="186" spans="1:65" s="2" customFormat="1" ht="16.5" customHeight="1">
      <c r="A186" s="36"/>
      <c r="B186" s="37"/>
      <c r="C186" s="181" t="s">
        <v>914</v>
      </c>
      <c r="D186" s="181" t="s">
        <v>382</v>
      </c>
      <c r="E186" s="182" t="s">
        <v>4866</v>
      </c>
      <c r="F186" s="183" t="s">
        <v>4867</v>
      </c>
      <c r="G186" s="184" t="s">
        <v>2393</v>
      </c>
      <c r="H186" s="185">
        <v>30</v>
      </c>
      <c r="I186" s="186"/>
      <c r="J186" s="187">
        <f t="shared" si="40"/>
        <v>0</v>
      </c>
      <c r="K186" s="183" t="s">
        <v>19</v>
      </c>
      <c r="L186" s="41"/>
      <c r="M186" s="188" t="s">
        <v>19</v>
      </c>
      <c r="N186" s="189" t="s">
        <v>43</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281</v>
      </c>
      <c r="AT186" s="192" t="s">
        <v>382</v>
      </c>
      <c r="AU186" s="192" t="s">
        <v>79</v>
      </c>
      <c r="AY186" s="19" t="s">
        <v>380</v>
      </c>
      <c r="BE186" s="193">
        <f t="shared" si="44"/>
        <v>0</v>
      </c>
      <c r="BF186" s="193">
        <f t="shared" si="45"/>
        <v>0</v>
      </c>
      <c r="BG186" s="193">
        <f t="shared" si="46"/>
        <v>0</v>
      </c>
      <c r="BH186" s="193">
        <f t="shared" si="47"/>
        <v>0</v>
      </c>
      <c r="BI186" s="193">
        <f t="shared" si="48"/>
        <v>0</v>
      </c>
      <c r="BJ186" s="19" t="s">
        <v>79</v>
      </c>
      <c r="BK186" s="193">
        <f t="shared" si="49"/>
        <v>0</v>
      </c>
      <c r="BL186" s="19" t="s">
        <v>281</v>
      </c>
      <c r="BM186" s="192" t="s">
        <v>1394</v>
      </c>
    </row>
    <row r="187" spans="1:65" s="12" customFormat="1" ht="25.9" customHeight="1">
      <c r="B187" s="165"/>
      <c r="C187" s="166"/>
      <c r="D187" s="167" t="s">
        <v>71</v>
      </c>
      <c r="E187" s="168" t="s">
        <v>386</v>
      </c>
      <c r="F187" s="168" t="s">
        <v>4868</v>
      </c>
      <c r="G187" s="166"/>
      <c r="H187" s="166"/>
      <c r="I187" s="169"/>
      <c r="J187" s="170">
        <f>BK187</f>
        <v>0</v>
      </c>
      <c r="K187" s="166"/>
      <c r="L187" s="171"/>
      <c r="M187" s="172"/>
      <c r="N187" s="173"/>
      <c r="O187" s="173"/>
      <c r="P187" s="174">
        <f>SUM(P188:P205)</f>
        <v>0</v>
      </c>
      <c r="Q187" s="173"/>
      <c r="R187" s="174">
        <f>SUM(R188:R205)</f>
        <v>0</v>
      </c>
      <c r="S187" s="173"/>
      <c r="T187" s="175">
        <f>SUM(T188:T205)</f>
        <v>0</v>
      </c>
      <c r="AR187" s="176" t="s">
        <v>79</v>
      </c>
      <c r="AT187" s="177" t="s">
        <v>71</v>
      </c>
      <c r="AU187" s="177" t="s">
        <v>72</v>
      </c>
      <c r="AY187" s="176" t="s">
        <v>380</v>
      </c>
      <c r="BK187" s="178">
        <f>SUM(BK188:BK205)</f>
        <v>0</v>
      </c>
    </row>
    <row r="188" spans="1:65" s="2" customFormat="1" ht="66.75" customHeight="1">
      <c r="A188" s="36"/>
      <c r="B188" s="37"/>
      <c r="C188" s="181" t="s">
        <v>927</v>
      </c>
      <c r="D188" s="181" t="s">
        <v>382</v>
      </c>
      <c r="E188" s="182" t="s">
        <v>4869</v>
      </c>
      <c r="F188" s="183" t="s">
        <v>4870</v>
      </c>
      <c r="G188" s="184" t="s">
        <v>2393</v>
      </c>
      <c r="H188" s="185">
        <v>1</v>
      </c>
      <c r="I188" s="186"/>
      <c r="J188" s="187">
        <f t="shared" ref="J188:J205" si="50">ROUND(I188*H188,2)</f>
        <v>0</v>
      </c>
      <c r="K188" s="183" t="s">
        <v>19</v>
      </c>
      <c r="L188" s="41"/>
      <c r="M188" s="188" t="s">
        <v>19</v>
      </c>
      <c r="N188" s="189" t="s">
        <v>43</v>
      </c>
      <c r="O188" s="66"/>
      <c r="P188" s="190">
        <f t="shared" ref="P188:P205" si="51">O188*H188</f>
        <v>0</v>
      </c>
      <c r="Q188" s="190">
        <v>0</v>
      </c>
      <c r="R188" s="190">
        <f t="shared" ref="R188:R205" si="52">Q188*H188</f>
        <v>0</v>
      </c>
      <c r="S188" s="190">
        <v>0</v>
      </c>
      <c r="T188" s="191">
        <f t="shared" ref="T188:T205" si="53">S188*H188</f>
        <v>0</v>
      </c>
      <c r="U188" s="36"/>
      <c r="V188" s="36"/>
      <c r="W188" s="36"/>
      <c r="X188" s="36"/>
      <c r="Y188" s="36"/>
      <c r="Z188" s="36"/>
      <c r="AA188" s="36"/>
      <c r="AB188" s="36"/>
      <c r="AC188" s="36"/>
      <c r="AD188" s="36"/>
      <c r="AE188" s="36"/>
      <c r="AR188" s="192" t="s">
        <v>281</v>
      </c>
      <c r="AT188" s="192" t="s">
        <v>382</v>
      </c>
      <c r="AU188" s="192" t="s">
        <v>79</v>
      </c>
      <c r="AY188" s="19" t="s">
        <v>380</v>
      </c>
      <c r="BE188" s="193">
        <f t="shared" ref="BE188:BE205" si="54">IF(N188="základní",J188,0)</f>
        <v>0</v>
      </c>
      <c r="BF188" s="193">
        <f t="shared" ref="BF188:BF205" si="55">IF(N188="snížená",J188,0)</f>
        <v>0</v>
      </c>
      <c r="BG188" s="193">
        <f t="shared" ref="BG188:BG205" si="56">IF(N188="zákl. přenesená",J188,0)</f>
        <v>0</v>
      </c>
      <c r="BH188" s="193">
        <f t="shared" ref="BH188:BH205" si="57">IF(N188="sníž. přenesená",J188,0)</f>
        <v>0</v>
      </c>
      <c r="BI188" s="193">
        <f t="shared" ref="BI188:BI205" si="58">IF(N188="nulová",J188,0)</f>
        <v>0</v>
      </c>
      <c r="BJ188" s="19" t="s">
        <v>79</v>
      </c>
      <c r="BK188" s="193">
        <f t="shared" ref="BK188:BK205" si="59">ROUND(I188*H188,2)</f>
        <v>0</v>
      </c>
      <c r="BL188" s="19" t="s">
        <v>281</v>
      </c>
      <c r="BM188" s="192" t="s">
        <v>1432</v>
      </c>
    </row>
    <row r="189" spans="1:65" s="2" customFormat="1" ht="16.5" customHeight="1">
      <c r="A189" s="36"/>
      <c r="B189" s="37"/>
      <c r="C189" s="181" t="s">
        <v>931</v>
      </c>
      <c r="D189" s="181" t="s">
        <v>382</v>
      </c>
      <c r="E189" s="182" t="s">
        <v>4871</v>
      </c>
      <c r="F189" s="183" t="s">
        <v>4872</v>
      </c>
      <c r="G189" s="184" t="s">
        <v>2393</v>
      </c>
      <c r="H189" s="185">
        <v>1</v>
      </c>
      <c r="I189" s="186"/>
      <c r="J189" s="187">
        <f t="shared" si="50"/>
        <v>0</v>
      </c>
      <c r="K189" s="183" t="s">
        <v>19</v>
      </c>
      <c r="L189" s="41"/>
      <c r="M189" s="188" t="s">
        <v>19</v>
      </c>
      <c r="N189" s="189" t="s">
        <v>43</v>
      </c>
      <c r="O189" s="66"/>
      <c r="P189" s="190">
        <f t="shared" si="51"/>
        <v>0</v>
      </c>
      <c r="Q189" s="190">
        <v>0</v>
      </c>
      <c r="R189" s="190">
        <f t="shared" si="52"/>
        <v>0</v>
      </c>
      <c r="S189" s="190">
        <v>0</v>
      </c>
      <c r="T189" s="191">
        <f t="shared" si="53"/>
        <v>0</v>
      </c>
      <c r="U189" s="36"/>
      <c r="V189" s="36"/>
      <c r="W189" s="36"/>
      <c r="X189" s="36"/>
      <c r="Y189" s="36"/>
      <c r="Z189" s="36"/>
      <c r="AA189" s="36"/>
      <c r="AB189" s="36"/>
      <c r="AC189" s="36"/>
      <c r="AD189" s="36"/>
      <c r="AE189" s="36"/>
      <c r="AR189" s="192" t="s">
        <v>281</v>
      </c>
      <c r="AT189" s="192" t="s">
        <v>382</v>
      </c>
      <c r="AU189" s="192" t="s">
        <v>79</v>
      </c>
      <c r="AY189" s="19" t="s">
        <v>380</v>
      </c>
      <c r="BE189" s="193">
        <f t="shared" si="54"/>
        <v>0</v>
      </c>
      <c r="BF189" s="193">
        <f t="shared" si="55"/>
        <v>0</v>
      </c>
      <c r="BG189" s="193">
        <f t="shared" si="56"/>
        <v>0</v>
      </c>
      <c r="BH189" s="193">
        <f t="shared" si="57"/>
        <v>0</v>
      </c>
      <c r="BI189" s="193">
        <f t="shared" si="58"/>
        <v>0</v>
      </c>
      <c r="BJ189" s="19" t="s">
        <v>79</v>
      </c>
      <c r="BK189" s="193">
        <f t="shared" si="59"/>
        <v>0</v>
      </c>
      <c r="BL189" s="19" t="s">
        <v>281</v>
      </c>
      <c r="BM189" s="192" t="s">
        <v>1459</v>
      </c>
    </row>
    <row r="190" spans="1:65" s="2" customFormat="1" ht="66.75" customHeight="1">
      <c r="A190" s="36"/>
      <c r="B190" s="37"/>
      <c r="C190" s="181" t="s">
        <v>936</v>
      </c>
      <c r="D190" s="181" t="s">
        <v>382</v>
      </c>
      <c r="E190" s="182" t="s">
        <v>4873</v>
      </c>
      <c r="F190" s="183" t="s">
        <v>4874</v>
      </c>
      <c r="G190" s="184" t="s">
        <v>2393</v>
      </c>
      <c r="H190" s="185">
        <v>23</v>
      </c>
      <c r="I190" s="186"/>
      <c r="J190" s="187">
        <f t="shared" si="50"/>
        <v>0</v>
      </c>
      <c r="K190" s="183" t="s">
        <v>19</v>
      </c>
      <c r="L190" s="41"/>
      <c r="M190" s="188" t="s">
        <v>19</v>
      </c>
      <c r="N190" s="189" t="s">
        <v>43</v>
      </c>
      <c r="O190" s="66"/>
      <c r="P190" s="190">
        <f t="shared" si="51"/>
        <v>0</v>
      </c>
      <c r="Q190" s="190">
        <v>0</v>
      </c>
      <c r="R190" s="190">
        <f t="shared" si="52"/>
        <v>0</v>
      </c>
      <c r="S190" s="190">
        <v>0</v>
      </c>
      <c r="T190" s="191">
        <f t="shared" si="53"/>
        <v>0</v>
      </c>
      <c r="U190" s="36"/>
      <c r="V190" s="36"/>
      <c r="W190" s="36"/>
      <c r="X190" s="36"/>
      <c r="Y190" s="36"/>
      <c r="Z190" s="36"/>
      <c r="AA190" s="36"/>
      <c r="AB190" s="36"/>
      <c r="AC190" s="36"/>
      <c r="AD190" s="36"/>
      <c r="AE190" s="36"/>
      <c r="AR190" s="192" t="s">
        <v>281</v>
      </c>
      <c r="AT190" s="192" t="s">
        <v>382</v>
      </c>
      <c r="AU190" s="192" t="s">
        <v>79</v>
      </c>
      <c r="AY190" s="19" t="s">
        <v>380</v>
      </c>
      <c r="BE190" s="193">
        <f t="shared" si="54"/>
        <v>0</v>
      </c>
      <c r="BF190" s="193">
        <f t="shared" si="55"/>
        <v>0</v>
      </c>
      <c r="BG190" s="193">
        <f t="shared" si="56"/>
        <v>0</v>
      </c>
      <c r="BH190" s="193">
        <f t="shared" si="57"/>
        <v>0</v>
      </c>
      <c r="BI190" s="193">
        <f t="shared" si="58"/>
        <v>0</v>
      </c>
      <c r="BJ190" s="19" t="s">
        <v>79</v>
      </c>
      <c r="BK190" s="193">
        <f t="shared" si="59"/>
        <v>0</v>
      </c>
      <c r="BL190" s="19" t="s">
        <v>281</v>
      </c>
      <c r="BM190" s="192" t="s">
        <v>1472</v>
      </c>
    </row>
    <row r="191" spans="1:65" s="2" customFormat="1" ht="16.5" customHeight="1">
      <c r="A191" s="36"/>
      <c r="B191" s="37"/>
      <c r="C191" s="181" t="s">
        <v>941</v>
      </c>
      <c r="D191" s="181" t="s">
        <v>382</v>
      </c>
      <c r="E191" s="182" t="s">
        <v>4875</v>
      </c>
      <c r="F191" s="183" t="s">
        <v>4876</v>
      </c>
      <c r="G191" s="184" t="s">
        <v>2393</v>
      </c>
      <c r="H191" s="185">
        <v>23</v>
      </c>
      <c r="I191" s="186"/>
      <c r="J191" s="187">
        <f t="shared" si="50"/>
        <v>0</v>
      </c>
      <c r="K191" s="183" t="s">
        <v>19</v>
      </c>
      <c r="L191" s="41"/>
      <c r="M191" s="188" t="s">
        <v>19</v>
      </c>
      <c r="N191" s="189" t="s">
        <v>43</v>
      </c>
      <c r="O191" s="66"/>
      <c r="P191" s="190">
        <f t="shared" si="51"/>
        <v>0</v>
      </c>
      <c r="Q191" s="190">
        <v>0</v>
      </c>
      <c r="R191" s="190">
        <f t="shared" si="52"/>
        <v>0</v>
      </c>
      <c r="S191" s="190">
        <v>0</v>
      </c>
      <c r="T191" s="191">
        <f t="shared" si="53"/>
        <v>0</v>
      </c>
      <c r="U191" s="36"/>
      <c r="V191" s="36"/>
      <c r="W191" s="36"/>
      <c r="X191" s="36"/>
      <c r="Y191" s="36"/>
      <c r="Z191" s="36"/>
      <c r="AA191" s="36"/>
      <c r="AB191" s="36"/>
      <c r="AC191" s="36"/>
      <c r="AD191" s="36"/>
      <c r="AE191" s="36"/>
      <c r="AR191" s="192" t="s">
        <v>281</v>
      </c>
      <c r="AT191" s="192" t="s">
        <v>382</v>
      </c>
      <c r="AU191" s="192" t="s">
        <v>79</v>
      </c>
      <c r="AY191" s="19" t="s">
        <v>380</v>
      </c>
      <c r="BE191" s="193">
        <f t="shared" si="54"/>
        <v>0</v>
      </c>
      <c r="BF191" s="193">
        <f t="shared" si="55"/>
        <v>0</v>
      </c>
      <c r="BG191" s="193">
        <f t="shared" si="56"/>
        <v>0</v>
      </c>
      <c r="BH191" s="193">
        <f t="shared" si="57"/>
        <v>0</v>
      </c>
      <c r="BI191" s="193">
        <f t="shared" si="58"/>
        <v>0</v>
      </c>
      <c r="BJ191" s="19" t="s">
        <v>79</v>
      </c>
      <c r="BK191" s="193">
        <f t="shared" si="59"/>
        <v>0</v>
      </c>
      <c r="BL191" s="19" t="s">
        <v>281</v>
      </c>
      <c r="BM191" s="192" t="s">
        <v>1480</v>
      </c>
    </row>
    <row r="192" spans="1:65" s="2" customFormat="1" ht="37.9" customHeight="1">
      <c r="A192" s="36"/>
      <c r="B192" s="37"/>
      <c r="C192" s="181" t="s">
        <v>946</v>
      </c>
      <c r="D192" s="181" t="s">
        <v>382</v>
      </c>
      <c r="E192" s="182" t="s">
        <v>4877</v>
      </c>
      <c r="F192" s="183" t="s">
        <v>4878</v>
      </c>
      <c r="G192" s="184" t="s">
        <v>2393</v>
      </c>
      <c r="H192" s="185">
        <v>23</v>
      </c>
      <c r="I192" s="186"/>
      <c r="J192" s="187">
        <f t="shared" si="50"/>
        <v>0</v>
      </c>
      <c r="K192" s="183" t="s">
        <v>19</v>
      </c>
      <c r="L192" s="41"/>
      <c r="M192" s="188" t="s">
        <v>19</v>
      </c>
      <c r="N192" s="189" t="s">
        <v>43</v>
      </c>
      <c r="O192" s="66"/>
      <c r="P192" s="190">
        <f t="shared" si="51"/>
        <v>0</v>
      </c>
      <c r="Q192" s="190">
        <v>0</v>
      </c>
      <c r="R192" s="190">
        <f t="shared" si="52"/>
        <v>0</v>
      </c>
      <c r="S192" s="190">
        <v>0</v>
      </c>
      <c r="T192" s="191">
        <f t="shared" si="53"/>
        <v>0</v>
      </c>
      <c r="U192" s="36"/>
      <c r="V192" s="36"/>
      <c r="W192" s="36"/>
      <c r="X192" s="36"/>
      <c r="Y192" s="36"/>
      <c r="Z192" s="36"/>
      <c r="AA192" s="36"/>
      <c r="AB192" s="36"/>
      <c r="AC192" s="36"/>
      <c r="AD192" s="36"/>
      <c r="AE192" s="36"/>
      <c r="AR192" s="192" t="s">
        <v>281</v>
      </c>
      <c r="AT192" s="192" t="s">
        <v>382</v>
      </c>
      <c r="AU192" s="192" t="s">
        <v>79</v>
      </c>
      <c r="AY192" s="19" t="s">
        <v>380</v>
      </c>
      <c r="BE192" s="193">
        <f t="shared" si="54"/>
        <v>0</v>
      </c>
      <c r="BF192" s="193">
        <f t="shared" si="55"/>
        <v>0</v>
      </c>
      <c r="BG192" s="193">
        <f t="shared" si="56"/>
        <v>0</v>
      </c>
      <c r="BH192" s="193">
        <f t="shared" si="57"/>
        <v>0</v>
      </c>
      <c r="BI192" s="193">
        <f t="shared" si="58"/>
        <v>0</v>
      </c>
      <c r="BJ192" s="19" t="s">
        <v>79</v>
      </c>
      <c r="BK192" s="193">
        <f t="shared" si="59"/>
        <v>0</v>
      </c>
      <c r="BL192" s="19" t="s">
        <v>281</v>
      </c>
      <c r="BM192" s="192" t="s">
        <v>1494</v>
      </c>
    </row>
    <row r="193" spans="1:65" s="2" customFormat="1" ht="16.5" customHeight="1">
      <c r="A193" s="36"/>
      <c r="B193" s="37"/>
      <c r="C193" s="181" t="s">
        <v>950</v>
      </c>
      <c r="D193" s="181" t="s">
        <v>382</v>
      </c>
      <c r="E193" s="182" t="s">
        <v>4879</v>
      </c>
      <c r="F193" s="183" t="s">
        <v>4880</v>
      </c>
      <c r="G193" s="184" t="s">
        <v>2393</v>
      </c>
      <c r="H193" s="185">
        <v>20</v>
      </c>
      <c r="I193" s="186"/>
      <c r="J193" s="187">
        <f t="shared" si="50"/>
        <v>0</v>
      </c>
      <c r="K193" s="183" t="s">
        <v>19</v>
      </c>
      <c r="L193" s="41"/>
      <c r="M193" s="188" t="s">
        <v>19</v>
      </c>
      <c r="N193" s="189" t="s">
        <v>43</v>
      </c>
      <c r="O193" s="66"/>
      <c r="P193" s="190">
        <f t="shared" si="51"/>
        <v>0</v>
      </c>
      <c r="Q193" s="190">
        <v>0</v>
      </c>
      <c r="R193" s="190">
        <f t="shared" si="52"/>
        <v>0</v>
      </c>
      <c r="S193" s="190">
        <v>0</v>
      </c>
      <c r="T193" s="191">
        <f t="shared" si="53"/>
        <v>0</v>
      </c>
      <c r="U193" s="36"/>
      <c r="V193" s="36"/>
      <c r="W193" s="36"/>
      <c r="X193" s="36"/>
      <c r="Y193" s="36"/>
      <c r="Z193" s="36"/>
      <c r="AA193" s="36"/>
      <c r="AB193" s="36"/>
      <c r="AC193" s="36"/>
      <c r="AD193" s="36"/>
      <c r="AE193" s="36"/>
      <c r="AR193" s="192" t="s">
        <v>281</v>
      </c>
      <c r="AT193" s="192" t="s">
        <v>382</v>
      </c>
      <c r="AU193" s="192" t="s">
        <v>79</v>
      </c>
      <c r="AY193" s="19" t="s">
        <v>380</v>
      </c>
      <c r="BE193" s="193">
        <f t="shared" si="54"/>
        <v>0</v>
      </c>
      <c r="BF193" s="193">
        <f t="shared" si="55"/>
        <v>0</v>
      </c>
      <c r="BG193" s="193">
        <f t="shared" si="56"/>
        <v>0</v>
      </c>
      <c r="BH193" s="193">
        <f t="shared" si="57"/>
        <v>0</v>
      </c>
      <c r="BI193" s="193">
        <f t="shared" si="58"/>
        <v>0</v>
      </c>
      <c r="BJ193" s="19" t="s">
        <v>79</v>
      </c>
      <c r="BK193" s="193">
        <f t="shared" si="59"/>
        <v>0</v>
      </c>
      <c r="BL193" s="19" t="s">
        <v>281</v>
      </c>
      <c r="BM193" s="192" t="s">
        <v>1502</v>
      </c>
    </row>
    <row r="194" spans="1:65" s="2" customFormat="1" ht="16.5" customHeight="1">
      <c r="A194" s="36"/>
      <c r="B194" s="37"/>
      <c r="C194" s="181" t="s">
        <v>955</v>
      </c>
      <c r="D194" s="181" t="s">
        <v>382</v>
      </c>
      <c r="E194" s="182" t="s">
        <v>4881</v>
      </c>
      <c r="F194" s="183" t="s">
        <v>4882</v>
      </c>
      <c r="G194" s="184" t="s">
        <v>2393</v>
      </c>
      <c r="H194" s="185">
        <v>3</v>
      </c>
      <c r="I194" s="186"/>
      <c r="J194" s="187">
        <f t="shared" si="50"/>
        <v>0</v>
      </c>
      <c r="K194" s="183" t="s">
        <v>19</v>
      </c>
      <c r="L194" s="41"/>
      <c r="M194" s="188" t="s">
        <v>19</v>
      </c>
      <c r="N194" s="189" t="s">
        <v>43</v>
      </c>
      <c r="O194" s="66"/>
      <c r="P194" s="190">
        <f t="shared" si="51"/>
        <v>0</v>
      </c>
      <c r="Q194" s="190">
        <v>0</v>
      </c>
      <c r="R194" s="190">
        <f t="shared" si="52"/>
        <v>0</v>
      </c>
      <c r="S194" s="190">
        <v>0</v>
      </c>
      <c r="T194" s="191">
        <f t="shared" si="53"/>
        <v>0</v>
      </c>
      <c r="U194" s="36"/>
      <c r="V194" s="36"/>
      <c r="W194" s="36"/>
      <c r="X194" s="36"/>
      <c r="Y194" s="36"/>
      <c r="Z194" s="36"/>
      <c r="AA194" s="36"/>
      <c r="AB194" s="36"/>
      <c r="AC194" s="36"/>
      <c r="AD194" s="36"/>
      <c r="AE194" s="36"/>
      <c r="AR194" s="192" t="s">
        <v>281</v>
      </c>
      <c r="AT194" s="192" t="s">
        <v>382</v>
      </c>
      <c r="AU194" s="192" t="s">
        <v>79</v>
      </c>
      <c r="AY194" s="19" t="s">
        <v>380</v>
      </c>
      <c r="BE194" s="193">
        <f t="shared" si="54"/>
        <v>0</v>
      </c>
      <c r="BF194" s="193">
        <f t="shared" si="55"/>
        <v>0</v>
      </c>
      <c r="BG194" s="193">
        <f t="shared" si="56"/>
        <v>0</v>
      </c>
      <c r="BH194" s="193">
        <f t="shared" si="57"/>
        <v>0</v>
      </c>
      <c r="BI194" s="193">
        <f t="shared" si="58"/>
        <v>0</v>
      </c>
      <c r="BJ194" s="19" t="s">
        <v>79</v>
      </c>
      <c r="BK194" s="193">
        <f t="shared" si="59"/>
        <v>0</v>
      </c>
      <c r="BL194" s="19" t="s">
        <v>281</v>
      </c>
      <c r="BM194" s="192" t="s">
        <v>1510</v>
      </c>
    </row>
    <row r="195" spans="1:65" s="2" customFormat="1" ht="16.5" customHeight="1">
      <c r="A195" s="36"/>
      <c r="B195" s="37"/>
      <c r="C195" s="181" t="s">
        <v>959</v>
      </c>
      <c r="D195" s="181" t="s">
        <v>382</v>
      </c>
      <c r="E195" s="182" t="s">
        <v>4883</v>
      </c>
      <c r="F195" s="183" t="s">
        <v>4884</v>
      </c>
      <c r="G195" s="184" t="s">
        <v>452</v>
      </c>
      <c r="H195" s="185">
        <v>320</v>
      </c>
      <c r="I195" s="186"/>
      <c r="J195" s="187">
        <f t="shared" si="50"/>
        <v>0</v>
      </c>
      <c r="K195" s="183" t="s">
        <v>19</v>
      </c>
      <c r="L195" s="41"/>
      <c r="M195" s="188" t="s">
        <v>19</v>
      </c>
      <c r="N195" s="189" t="s">
        <v>43</v>
      </c>
      <c r="O195" s="66"/>
      <c r="P195" s="190">
        <f t="shared" si="51"/>
        <v>0</v>
      </c>
      <c r="Q195" s="190">
        <v>0</v>
      </c>
      <c r="R195" s="190">
        <f t="shared" si="52"/>
        <v>0</v>
      </c>
      <c r="S195" s="190">
        <v>0</v>
      </c>
      <c r="T195" s="191">
        <f t="shared" si="53"/>
        <v>0</v>
      </c>
      <c r="U195" s="36"/>
      <c r="V195" s="36"/>
      <c r="W195" s="36"/>
      <c r="X195" s="36"/>
      <c r="Y195" s="36"/>
      <c r="Z195" s="36"/>
      <c r="AA195" s="36"/>
      <c r="AB195" s="36"/>
      <c r="AC195" s="36"/>
      <c r="AD195" s="36"/>
      <c r="AE195" s="36"/>
      <c r="AR195" s="192" t="s">
        <v>281</v>
      </c>
      <c r="AT195" s="192" t="s">
        <v>382</v>
      </c>
      <c r="AU195" s="192" t="s">
        <v>79</v>
      </c>
      <c r="AY195" s="19" t="s">
        <v>380</v>
      </c>
      <c r="BE195" s="193">
        <f t="shared" si="54"/>
        <v>0</v>
      </c>
      <c r="BF195" s="193">
        <f t="shared" si="55"/>
        <v>0</v>
      </c>
      <c r="BG195" s="193">
        <f t="shared" si="56"/>
        <v>0</v>
      </c>
      <c r="BH195" s="193">
        <f t="shared" si="57"/>
        <v>0</v>
      </c>
      <c r="BI195" s="193">
        <f t="shared" si="58"/>
        <v>0</v>
      </c>
      <c r="BJ195" s="19" t="s">
        <v>79</v>
      </c>
      <c r="BK195" s="193">
        <f t="shared" si="59"/>
        <v>0</v>
      </c>
      <c r="BL195" s="19" t="s">
        <v>281</v>
      </c>
      <c r="BM195" s="192" t="s">
        <v>1519</v>
      </c>
    </row>
    <row r="196" spans="1:65" s="2" customFormat="1" ht="16.5" customHeight="1">
      <c r="A196" s="36"/>
      <c r="B196" s="37"/>
      <c r="C196" s="181" t="s">
        <v>963</v>
      </c>
      <c r="D196" s="181" t="s">
        <v>382</v>
      </c>
      <c r="E196" s="182" t="s">
        <v>4885</v>
      </c>
      <c r="F196" s="183" t="s">
        <v>4886</v>
      </c>
      <c r="G196" s="184" t="s">
        <v>452</v>
      </c>
      <c r="H196" s="185">
        <v>300</v>
      </c>
      <c r="I196" s="186"/>
      <c r="J196" s="187">
        <f t="shared" si="50"/>
        <v>0</v>
      </c>
      <c r="K196" s="183" t="s">
        <v>19</v>
      </c>
      <c r="L196" s="41"/>
      <c r="M196" s="188" t="s">
        <v>19</v>
      </c>
      <c r="N196" s="189" t="s">
        <v>43</v>
      </c>
      <c r="O196" s="66"/>
      <c r="P196" s="190">
        <f t="shared" si="51"/>
        <v>0</v>
      </c>
      <c r="Q196" s="190">
        <v>0</v>
      </c>
      <c r="R196" s="190">
        <f t="shared" si="52"/>
        <v>0</v>
      </c>
      <c r="S196" s="190">
        <v>0</v>
      </c>
      <c r="T196" s="191">
        <f t="shared" si="53"/>
        <v>0</v>
      </c>
      <c r="U196" s="36"/>
      <c r="V196" s="36"/>
      <c r="W196" s="36"/>
      <c r="X196" s="36"/>
      <c r="Y196" s="36"/>
      <c r="Z196" s="36"/>
      <c r="AA196" s="36"/>
      <c r="AB196" s="36"/>
      <c r="AC196" s="36"/>
      <c r="AD196" s="36"/>
      <c r="AE196" s="36"/>
      <c r="AR196" s="192" t="s">
        <v>281</v>
      </c>
      <c r="AT196" s="192" t="s">
        <v>382</v>
      </c>
      <c r="AU196" s="192" t="s">
        <v>79</v>
      </c>
      <c r="AY196" s="19" t="s">
        <v>380</v>
      </c>
      <c r="BE196" s="193">
        <f t="shared" si="54"/>
        <v>0</v>
      </c>
      <c r="BF196" s="193">
        <f t="shared" si="55"/>
        <v>0</v>
      </c>
      <c r="BG196" s="193">
        <f t="shared" si="56"/>
        <v>0</v>
      </c>
      <c r="BH196" s="193">
        <f t="shared" si="57"/>
        <v>0</v>
      </c>
      <c r="BI196" s="193">
        <f t="shared" si="58"/>
        <v>0</v>
      </c>
      <c r="BJ196" s="19" t="s">
        <v>79</v>
      </c>
      <c r="BK196" s="193">
        <f t="shared" si="59"/>
        <v>0</v>
      </c>
      <c r="BL196" s="19" t="s">
        <v>281</v>
      </c>
      <c r="BM196" s="192" t="s">
        <v>1538</v>
      </c>
    </row>
    <row r="197" spans="1:65" s="2" customFormat="1" ht="16.5" customHeight="1">
      <c r="A197" s="36"/>
      <c r="B197" s="37"/>
      <c r="C197" s="181" t="s">
        <v>967</v>
      </c>
      <c r="D197" s="181" t="s">
        <v>382</v>
      </c>
      <c r="E197" s="182" t="s">
        <v>4887</v>
      </c>
      <c r="F197" s="183" t="s">
        <v>4888</v>
      </c>
      <c r="G197" s="184" t="s">
        <v>2393</v>
      </c>
      <c r="H197" s="185">
        <v>1</v>
      </c>
      <c r="I197" s="186"/>
      <c r="J197" s="187">
        <f t="shared" si="50"/>
        <v>0</v>
      </c>
      <c r="K197" s="183" t="s">
        <v>19</v>
      </c>
      <c r="L197" s="41"/>
      <c r="M197" s="188" t="s">
        <v>19</v>
      </c>
      <c r="N197" s="189" t="s">
        <v>43</v>
      </c>
      <c r="O197" s="66"/>
      <c r="P197" s="190">
        <f t="shared" si="51"/>
        <v>0</v>
      </c>
      <c r="Q197" s="190">
        <v>0</v>
      </c>
      <c r="R197" s="190">
        <f t="shared" si="52"/>
        <v>0</v>
      </c>
      <c r="S197" s="190">
        <v>0</v>
      </c>
      <c r="T197" s="191">
        <f t="shared" si="53"/>
        <v>0</v>
      </c>
      <c r="U197" s="36"/>
      <c r="V197" s="36"/>
      <c r="W197" s="36"/>
      <c r="X197" s="36"/>
      <c r="Y197" s="36"/>
      <c r="Z197" s="36"/>
      <c r="AA197" s="36"/>
      <c r="AB197" s="36"/>
      <c r="AC197" s="36"/>
      <c r="AD197" s="36"/>
      <c r="AE197" s="36"/>
      <c r="AR197" s="192" t="s">
        <v>281</v>
      </c>
      <c r="AT197" s="192" t="s">
        <v>382</v>
      </c>
      <c r="AU197" s="192" t="s">
        <v>79</v>
      </c>
      <c r="AY197" s="19" t="s">
        <v>380</v>
      </c>
      <c r="BE197" s="193">
        <f t="shared" si="54"/>
        <v>0</v>
      </c>
      <c r="BF197" s="193">
        <f t="shared" si="55"/>
        <v>0</v>
      </c>
      <c r="BG197" s="193">
        <f t="shared" si="56"/>
        <v>0</v>
      </c>
      <c r="BH197" s="193">
        <f t="shared" si="57"/>
        <v>0</v>
      </c>
      <c r="BI197" s="193">
        <f t="shared" si="58"/>
        <v>0</v>
      </c>
      <c r="BJ197" s="19" t="s">
        <v>79</v>
      </c>
      <c r="BK197" s="193">
        <f t="shared" si="59"/>
        <v>0</v>
      </c>
      <c r="BL197" s="19" t="s">
        <v>281</v>
      </c>
      <c r="BM197" s="192" t="s">
        <v>1548</v>
      </c>
    </row>
    <row r="198" spans="1:65" s="2" customFormat="1" ht="21.75" customHeight="1">
      <c r="A198" s="36"/>
      <c r="B198" s="37"/>
      <c r="C198" s="181" t="s">
        <v>971</v>
      </c>
      <c r="D198" s="181" t="s">
        <v>382</v>
      </c>
      <c r="E198" s="182" t="s">
        <v>4889</v>
      </c>
      <c r="F198" s="183" t="s">
        <v>4890</v>
      </c>
      <c r="G198" s="184" t="s">
        <v>2393</v>
      </c>
      <c r="H198" s="185">
        <v>1</v>
      </c>
      <c r="I198" s="186"/>
      <c r="J198" s="187">
        <f t="shared" si="50"/>
        <v>0</v>
      </c>
      <c r="K198" s="183" t="s">
        <v>19</v>
      </c>
      <c r="L198" s="41"/>
      <c r="M198" s="188" t="s">
        <v>19</v>
      </c>
      <c r="N198" s="189" t="s">
        <v>43</v>
      </c>
      <c r="O198" s="66"/>
      <c r="P198" s="190">
        <f t="shared" si="51"/>
        <v>0</v>
      </c>
      <c r="Q198" s="190">
        <v>0</v>
      </c>
      <c r="R198" s="190">
        <f t="shared" si="52"/>
        <v>0</v>
      </c>
      <c r="S198" s="190">
        <v>0</v>
      </c>
      <c r="T198" s="191">
        <f t="shared" si="53"/>
        <v>0</v>
      </c>
      <c r="U198" s="36"/>
      <c r="V198" s="36"/>
      <c r="W198" s="36"/>
      <c r="X198" s="36"/>
      <c r="Y198" s="36"/>
      <c r="Z198" s="36"/>
      <c r="AA198" s="36"/>
      <c r="AB198" s="36"/>
      <c r="AC198" s="36"/>
      <c r="AD198" s="36"/>
      <c r="AE198" s="36"/>
      <c r="AR198" s="192" t="s">
        <v>281</v>
      </c>
      <c r="AT198" s="192" t="s">
        <v>382</v>
      </c>
      <c r="AU198" s="192" t="s">
        <v>79</v>
      </c>
      <c r="AY198" s="19" t="s">
        <v>380</v>
      </c>
      <c r="BE198" s="193">
        <f t="shared" si="54"/>
        <v>0</v>
      </c>
      <c r="BF198" s="193">
        <f t="shared" si="55"/>
        <v>0</v>
      </c>
      <c r="BG198" s="193">
        <f t="shared" si="56"/>
        <v>0</v>
      </c>
      <c r="BH198" s="193">
        <f t="shared" si="57"/>
        <v>0</v>
      </c>
      <c r="BI198" s="193">
        <f t="shared" si="58"/>
        <v>0</v>
      </c>
      <c r="BJ198" s="19" t="s">
        <v>79</v>
      </c>
      <c r="BK198" s="193">
        <f t="shared" si="59"/>
        <v>0</v>
      </c>
      <c r="BL198" s="19" t="s">
        <v>281</v>
      </c>
      <c r="BM198" s="192" t="s">
        <v>1558</v>
      </c>
    </row>
    <row r="199" spans="1:65" s="2" customFormat="1" ht="16.5" customHeight="1">
      <c r="A199" s="36"/>
      <c r="B199" s="37"/>
      <c r="C199" s="181" t="s">
        <v>975</v>
      </c>
      <c r="D199" s="181" t="s">
        <v>382</v>
      </c>
      <c r="E199" s="182" t="s">
        <v>4891</v>
      </c>
      <c r="F199" s="183" t="s">
        <v>4892</v>
      </c>
      <c r="G199" s="184" t="s">
        <v>2393</v>
      </c>
      <c r="H199" s="185">
        <v>2</v>
      </c>
      <c r="I199" s="186"/>
      <c r="J199" s="187">
        <f t="shared" si="50"/>
        <v>0</v>
      </c>
      <c r="K199" s="183" t="s">
        <v>19</v>
      </c>
      <c r="L199" s="41"/>
      <c r="M199" s="188" t="s">
        <v>19</v>
      </c>
      <c r="N199" s="189" t="s">
        <v>43</v>
      </c>
      <c r="O199" s="66"/>
      <c r="P199" s="190">
        <f t="shared" si="51"/>
        <v>0</v>
      </c>
      <c r="Q199" s="190">
        <v>0</v>
      </c>
      <c r="R199" s="190">
        <f t="shared" si="52"/>
        <v>0</v>
      </c>
      <c r="S199" s="190">
        <v>0</v>
      </c>
      <c r="T199" s="191">
        <f t="shared" si="53"/>
        <v>0</v>
      </c>
      <c r="U199" s="36"/>
      <c r="V199" s="36"/>
      <c r="W199" s="36"/>
      <c r="X199" s="36"/>
      <c r="Y199" s="36"/>
      <c r="Z199" s="36"/>
      <c r="AA199" s="36"/>
      <c r="AB199" s="36"/>
      <c r="AC199" s="36"/>
      <c r="AD199" s="36"/>
      <c r="AE199" s="36"/>
      <c r="AR199" s="192" t="s">
        <v>281</v>
      </c>
      <c r="AT199" s="192" t="s">
        <v>382</v>
      </c>
      <c r="AU199" s="192" t="s">
        <v>79</v>
      </c>
      <c r="AY199" s="19" t="s">
        <v>380</v>
      </c>
      <c r="BE199" s="193">
        <f t="shared" si="54"/>
        <v>0</v>
      </c>
      <c r="BF199" s="193">
        <f t="shared" si="55"/>
        <v>0</v>
      </c>
      <c r="BG199" s="193">
        <f t="shared" si="56"/>
        <v>0</v>
      </c>
      <c r="BH199" s="193">
        <f t="shared" si="57"/>
        <v>0</v>
      </c>
      <c r="BI199" s="193">
        <f t="shared" si="58"/>
        <v>0</v>
      </c>
      <c r="BJ199" s="19" t="s">
        <v>79</v>
      </c>
      <c r="BK199" s="193">
        <f t="shared" si="59"/>
        <v>0</v>
      </c>
      <c r="BL199" s="19" t="s">
        <v>281</v>
      </c>
      <c r="BM199" s="192" t="s">
        <v>1576</v>
      </c>
    </row>
    <row r="200" spans="1:65" s="2" customFormat="1" ht="16.5" customHeight="1">
      <c r="A200" s="36"/>
      <c r="B200" s="37"/>
      <c r="C200" s="181" t="s">
        <v>979</v>
      </c>
      <c r="D200" s="181" t="s">
        <v>382</v>
      </c>
      <c r="E200" s="182" t="s">
        <v>4893</v>
      </c>
      <c r="F200" s="183" t="s">
        <v>4894</v>
      </c>
      <c r="G200" s="184" t="s">
        <v>2393</v>
      </c>
      <c r="H200" s="185">
        <v>12</v>
      </c>
      <c r="I200" s="186"/>
      <c r="J200" s="187">
        <f t="shared" si="50"/>
        <v>0</v>
      </c>
      <c r="K200" s="183" t="s">
        <v>19</v>
      </c>
      <c r="L200" s="41"/>
      <c r="M200" s="188" t="s">
        <v>19</v>
      </c>
      <c r="N200" s="189" t="s">
        <v>43</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281</v>
      </c>
      <c r="AT200" s="192" t="s">
        <v>382</v>
      </c>
      <c r="AU200" s="192" t="s">
        <v>79</v>
      </c>
      <c r="AY200" s="19" t="s">
        <v>380</v>
      </c>
      <c r="BE200" s="193">
        <f t="shared" si="54"/>
        <v>0</v>
      </c>
      <c r="BF200" s="193">
        <f t="shared" si="55"/>
        <v>0</v>
      </c>
      <c r="BG200" s="193">
        <f t="shared" si="56"/>
        <v>0</v>
      </c>
      <c r="BH200" s="193">
        <f t="shared" si="57"/>
        <v>0</v>
      </c>
      <c r="BI200" s="193">
        <f t="shared" si="58"/>
        <v>0</v>
      </c>
      <c r="BJ200" s="19" t="s">
        <v>79</v>
      </c>
      <c r="BK200" s="193">
        <f t="shared" si="59"/>
        <v>0</v>
      </c>
      <c r="BL200" s="19" t="s">
        <v>281</v>
      </c>
      <c r="BM200" s="192" t="s">
        <v>1587</v>
      </c>
    </row>
    <row r="201" spans="1:65" s="2" customFormat="1" ht="16.5" customHeight="1">
      <c r="A201" s="36"/>
      <c r="B201" s="37"/>
      <c r="C201" s="181" t="s">
        <v>983</v>
      </c>
      <c r="D201" s="181" t="s">
        <v>382</v>
      </c>
      <c r="E201" s="182" t="s">
        <v>4895</v>
      </c>
      <c r="F201" s="183" t="s">
        <v>4896</v>
      </c>
      <c r="G201" s="184" t="s">
        <v>2393</v>
      </c>
      <c r="H201" s="185">
        <v>3</v>
      </c>
      <c r="I201" s="186"/>
      <c r="J201" s="187">
        <f t="shared" si="50"/>
        <v>0</v>
      </c>
      <c r="K201" s="183" t="s">
        <v>19</v>
      </c>
      <c r="L201" s="41"/>
      <c r="M201" s="188" t="s">
        <v>19</v>
      </c>
      <c r="N201" s="189" t="s">
        <v>43</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281</v>
      </c>
      <c r="AT201" s="192" t="s">
        <v>382</v>
      </c>
      <c r="AU201" s="192" t="s">
        <v>79</v>
      </c>
      <c r="AY201" s="19" t="s">
        <v>380</v>
      </c>
      <c r="BE201" s="193">
        <f t="shared" si="54"/>
        <v>0</v>
      </c>
      <c r="BF201" s="193">
        <f t="shared" si="55"/>
        <v>0</v>
      </c>
      <c r="BG201" s="193">
        <f t="shared" si="56"/>
        <v>0</v>
      </c>
      <c r="BH201" s="193">
        <f t="shared" si="57"/>
        <v>0</v>
      </c>
      <c r="BI201" s="193">
        <f t="shared" si="58"/>
        <v>0</v>
      </c>
      <c r="BJ201" s="19" t="s">
        <v>79</v>
      </c>
      <c r="BK201" s="193">
        <f t="shared" si="59"/>
        <v>0</v>
      </c>
      <c r="BL201" s="19" t="s">
        <v>281</v>
      </c>
      <c r="BM201" s="192" t="s">
        <v>1598</v>
      </c>
    </row>
    <row r="202" spans="1:65" s="2" customFormat="1" ht="16.5" customHeight="1">
      <c r="A202" s="36"/>
      <c r="B202" s="37"/>
      <c r="C202" s="181" t="s">
        <v>987</v>
      </c>
      <c r="D202" s="181" t="s">
        <v>382</v>
      </c>
      <c r="E202" s="182" t="s">
        <v>4897</v>
      </c>
      <c r="F202" s="183" t="s">
        <v>4898</v>
      </c>
      <c r="G202" s="184" t="s">
        <v>2393</v>
      </c>
      <c r="H202" s="185">
        <v>2</v>
      </c>
      <c r="I202" s="186"/>
      <c r="J202" s="187">
        <f t="shared" si="50"/>
        <v>0</v>
      </c>
      <c r="K202" s="183" t="s">
        <v>19</v>
      </c>
      <c r="L202" s="41"/>
      <c r="M202" s="188" t="s">
        <v>19</v>
      </c>
      <c r="N202" s="189" t="s">
        <v>43</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281</v>
      </c>
      <c r="AT202" s="192" t="s">
        <v>382</v>
      </c>
      <c r="AU202" s="192" t="s">
        <v>79</v>
      </c>
      <c r="AY202" s="19" t="s">
        <v>380</v>
      </c>
      <c r="BE202" s="193">
        <f t="shared" si="54"/>
        <v>0</v>
      </c>
      <c r="BF202" s="193">
        <f t="shared" si="55"/>
        <v>0</v>
      </c>
      <c r="BG202" s="193">
        <f t="shared" si="56"/>
        <v>0</v>
      </c>
      <c r="BH202" s="193">
        <f t="shared" si="57"/>
        <v>0</v>
      </c>
      <c r="BI202" s="193">
        <f t="shared" si="58"/>
        <v>0</v>
      </c>
      <c r="BJ202" s="19" t="s">
        <v>79</v>
      </c>
      <c r="BK202" s="193">
        <f t="shared" si="59"/>
        <v>0</v>
      </c>
      <c r="BL202" s="19" t="s">
        <v>281</v>
      </c>
      <c r="BM202" s="192" t="s">
        <v>1610</v>
      </c>
    </row>
    <row r="203" spans="1:65" s="2" customFormat="1" ht="24.2" customHeight="1">
      <c r="A203" s="36"/>
      <c r="B203" s="37"/>
      <c r="C203" s="181" t="s">
        <v>271</v>
      </c>
      <c r="D203" s="181" t="s">
        <v>382</v>
      </c>
      <c r="E203" s="182" t="s">
        <v>4899</v>
      </c>
      <c r="F203" s="183" t="s">
        <v>4900</v>
      </c>
      <c r="G203" s="184" t="s">
        <v>2393</v>
      </c>
      <c r="H203" s="185">
        <v>11</v>
      </c>
      <c r="I203" s="186"/>
      <c r="J203" s="187">
        <f t="shared" si="50"/>
        <v>0</v>
      </c>
      <c r="K203" s="183" t="s">
        <v>19</v>
      </c>
      <c r="L203" s="41"/>
      <c r="M203" s="188" t="s">
        <v>19</v>
      </c>
      <c r="N203" s="189" t="s">
        <v>43</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281</v>
      </c>
      <c r="AT203" s="192" t="s">
        <v>382</v>
      </c>
      <c r="AU203" s="192" t="s">
        <v>79</v>
      </c>
      <c r="AY203" s="19" t="s">
        <v>380</v>
      </c>
      <c r="BE203" s="193">
        <f t="shared" si="54"/>
        <v>0</v>
      </c>
      <c r="BF203" s="193">
        <f t="shared" si="55"/>
        <v>0</v>
      </c>
      <c r="BG203" s="193">
        <f t="shared" si="56"/>
        <v>0</v>
      </c>
      <c r="BH203" s="193">
        <f t="shared" si="57"/>
        <v>0</v>
      </c>
      <c r="BI203" s="193">
        <f t="shared" si="58"/>
        <v>0</v>
      </c>
      <c r="BJ203" s="19" t="s">
        <v>79</v>
      </c>
      <c r="BK203" s="193">
        <f t="shared" si="59"/>
        <v>0</v>
      </c>
      <c r="BL203" s="19" t="s">
        <v>281</v>
      </c>
      <c r="BM203" s="192" t="s">
        <v>1639</v>
      </c>
    </row>
    <row r="204" spans="1:65" s="2" customFormat="1" ht="16.5" customHeight="1">
      <c r="A204" s="36"/>
      <c r="B204" s="37"/>
      <c r="C204" s="181" t="s">
        <v>995</v>
      </c>
      <c r="D204" s="181" t="s">
        <v>382</v>
      </c>
      <c r="E204" s="182" t="s">
        <v>4901</v>
      </c>
      <c r="F204" s="183" t="s">
        <v>4902</v>
      </c>
      <c r="G204" s="184" t="s">
        <v>2393</v>
      </c>
      <c r="H204" s="185">
        <v>26</v>
      </c>
      <c r="I204" s="186"/>
      <c r="J204" s="187">
        <f t="shared" si="50"/>
        <v>0</v>
      </c>
      <c r="K204" s="183" t="s">
        <v>19</v>
      </c>
      <c r="L204" s="41"/>
      <c r="M204" s="188" t="s">
        <v>19</v>
      </c>
      <c r="N204" s="189" t="s">
        <v>43</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281</v>
      </c>
      <c r="AT204" s="192" t="s">
        <v>382</v>
      </c>
      <c r="AU204" s="192" t="s">
        <v>79</v>
      </c>
      <c r="AY204" s="19" t="s">
        <v>380</v>
      </c>
      <c r="BE204" s="193">
        <f t="shared" si="54"/>
        <v>0</v>
      </c>
      <c r="BF204" s="193">
        <f t="shared" si="55"/>
        <v>0</v>
      </c>
      <c r="BG204" s="193">
        <f t="shared" si="56"/>
        <v>0</v>
      </c>
      <c r="BH204" s="193">
        <f t="shared" si="57"/>
        <v>0</v>
      </c>
      <c r="BI204" s="193">
        <f t="shared" si="58"/>
        <v>0</v>
      </c>
      <c r="BJ204" s="19" t="s">
        <v>79</v>
      </c>
      <c r="BK204" s="193">
        <f t="shared" si="59"/>
        <v>0</v>
      </c>
      <c r="BL204" s="19" t="s">
        <v>281</v>
      </c>
      <c r="BM204" s="192" t="s">
        <v>1649</v>
      </c>
    </row>
    <row r="205" spans="1:65" s="2" customFormat="1" ht="16.5" customHeight="1">
      <c r="A205" s="36"/>
      <c r="B205" s="37"/>
      <c r="C205" s="181" t="s">
        <v>151</v>
      </c>
      <c r="D205" s="181" t="s">
        <v>382</v>
      </c>
      <c r="E205" s="182" t="s">
        <v>4903</v>
      </c>
      <c r="F205" s="183" t="s">
        <v>4750</v>
      </c>
      <c r="G205" s="184" t="s">
        <v>2393</v>
      </c>
      <c r="H205" s="185">
        <v>1</v>
      </c>
      <c r="I205" s="186"/>
      <c r="J205" s="187">
        <f t="shared" si="50"/>
        <v>0</v>
      </c>
      <c r="K205" s="183" t="s">
        <v>19</v>
      </c>
      <c r="L205" s="41"/>
      <c r="M205" s="188" t="s">
        <v>19</v>
      </c>
      <c r="N205" s="189" t="s">
        <v>43</v>
      </c>
      <c r="O205" s="66"/>
      <c r="P205" s="190">
        <f t="shared" si="51"/>
        <v>0</v>
      </c>
      <c r="Q205" s="190">
        <v>0</v>
      </c>
      <c r="R205" s="190">
        <f t="shared" si="52"/>
        <v>0</v>
      </c>
      <c r="S205" s="190">
        <v>0</v>
      </c>
      <c r="T205" s="191">
        <f t="shared" si="53"/>
        <v>0</v>
      </c>
      <c r="U205" s="36"/>
      <c r="V205" s="36"/>
      <c r="W205" s="36"/>
      <c r="X205" s="36"/>
      <c r="Y205" s="36"/>
      <c r="Z205" s="36"/>
      <c r="AA205" s="36"/>
      <c r="AB205" s="36"/>
      <c r="AC205" s="36"/>
      <c r="AD205" s="36"/>
      <c r="AE205" s="36"/>
      <c r="AR205" s="192" t="s">
        <v>281</v>
      </c>
      <c r="AT205" s="192" t="s">
        <v>382</v>
      </c>
      <c r="AU205" s="192" t="s">
        <v>79</v>
      </c>
      <c r="AY205" s="19" t="s">
        <v>380</v>
      </c>
      <c r="BE205" s="193">
        <f t="shared" si="54"/>
        <v>0</v>
      </c>
      <c r="BF205" s="193">
        <f t="shared" si="55"/>
        <v>0</v>
      </c>
      <c r="BG205" s="193">
        <f t="shared" si="56"/>
        <v>0</v>
      </c>
      <c r="BH205" s="193">
        <f t="shared" si="57"/>
        <v>0</v>
      </c>
      <c r="BI205" s="193">
        <f t="shared" si="58"/>
        <v>0</v>
      </c>
      <c r="BJ205" s="19" t="s">
        <v>79</v>
      </c>
      <c r="BK205" s="193">
        <f t="shared" si="59"/>
        <v>0</v>
      </c>
      <c r="BL205" s="19" t="s">
        <v>281</v>
      </c>
      <c r="BM205" s="192" t="s">
        <v>1667</v>
      </c>
    </row>
    <row r="206" spans="1:65" s="12" customFormat="1" ht="25.9" customHeight="1">
      <c r="B206" s="165"/>
      <c r="C206" s="166"/>
      <c r="D206" s="167" t="s">
        <v>71</v>
      </c>
      <c r="E206" s="168" t="s">
        <v>4904</v>
      </c>
      <c r="F206" s="168" t="s">
        <v>4905</v>
      </c>
      <c r="G206" s="166"/>
      <c r="H206" s="166"/>
      <c r="I206" s="169"/>
      <c r="J206" s="170">
        <f>BK206</f>
        <v>0</v>
      </c>
      <c r="K206" s="166"/>
      <c r="L206" s="171"/>
      <c r="M206" s="172"/>
      <c r="N206" s="173"/>
      <c r="O206" s="173"/>
      <c r="P206" s="174">
        <f>SUM(P207:P213)</f>
        <v>0</v>
      </c>
      <c r="Q206" s="173"/>
      <c r="R206" s="174">
        <f>SUM(R207:R213)</f>
        <v>0</v>
      </c>
      <c r="S206" s="173"/>
      <c r="T206" s="175">
        <f>SUM(T207:T213)</f>
        <v>0</v>
      </c>
      <c r="AR206" s="176" t="s">
        <v>79</v>
      </c>
      <c r="AT206" s="177" t="s">
        <v>71</v>
      </c>
      <c r="AU206" s="177" t="s">
        <v>72</v>
      </c>
      <c r="AY206" s="176" t="s">
        <v>380</v>
      </c>
      <c r="BK206" s="178">
        <f>SUM(BK207:BK213)</f>
        <v>0</v>
      </c>
    </row>
    <row r="207" spans="1:65" s="2" customFormat="1" ht="16.5" customHeight="1">
      <c r="A207" s="36"/>
      <c r="B207" s="37"/>
      <c r="C207" s="181" t="s">
        <v>154</v>
      </c>
      <c r="D207" s="181" t="s">
        <v>382</v>
      </c>
      <c r="E207" s="182" t="s">
        <v>4906</v>
      </c>
      <c r="F207" s="183" t="s">
        <v>4907</v>
      </c>
      <c r="G207" s="184" t="s">
        <v>2393</v>
      </c>
      <c r="H207" s="185">
        <v>1</v>
      </c>
      <c r="I207" s="186"/>
      <c r="J207" s="187">
        <f t="shared" ref="J207:J213" si="60">ROUND(I207*H207,2)</f>
        <v>0</v>
      </c>
      <c r="K207" s="183" t="s">
        <v>19</v>
      </c>
      <c r="L207" s="41"/>
      <c r="M207" s="188" t="s">
        <v>19</v>
      </c>
      <c r="N207" s="189" t="s">
        <v>43</v>
      </c>
      <c r="O207" s="66"/>
      <c r="P207" s="190">
        <f t="shared" ref="P207:P213" si="61">O207*H207</f>
        <v>0</v>
      </c>
      <c r="Q207" s="190">
        <v>0</v>
      </c>
      <c r="R207" s="190">
        <f t="shared" ref="R207:R213" si="62">Q207*H207</f>
        <v>0</v>
      </c>
      <c r="S207" s="190">
        <v>0</v>
      </c>
      <c r="T207" s="191">
        <f t="shared" ref="T207:T213" si="63">S207*H207</f>
        <v>0</v>
      </c>
      <c r="U207" s="36"/>
      <c r="V207" s="36"/>
      <c r="W207" s="36"/>
      <c r="X207" s="36"/>
      <c r="Y207" s="36"/>
      <c r="Z207" s="36"/>
      <c r="AA207" s="36"/>
      <c r="AB207" s="36"/>
      <c r="AC207" s="36"/>
      <c r="AD207" s="36"/>
      <c r="AE207" s="36"/>
      <c r="AR207" s="192" t="s">
        <v>281</v>
      </c>
      <c r="AT207" s="192" t="s">
        <v>382</v>
      </c>
      <c r="AU207" s="192" t="s">
        <v>79</v>
      </c>
      <c r="AY207" s="19" t="s">
        <v>380</v>
      </c>
      <c r="BE207" s="193">
        <f t="shared" ref="BE207:BE213" si="64">IF(N207="základní",J207,0)</f>
        <v>0</v>
      </c>
      <c r="BF207" s="193">
        <f t="shared" ref="BF207:BF213" si="65">IF(N207="snížená",J207,0)</f>
        <v>0</v>
      </c>
      <c r="BG207" s="193">
        <f t="shared" ref="BG207:BG213" si="66">IF(N207="zákl. přenesená",J207,0)</f>
        <v>0</v>
      </c>
      <c r="BH207" s="193">
        <f t="shared" ref="BH207:BH213" si="67">IF(N207="sníž. přenesená",J207,0)</f>
        <v>0</v>
      </c>
      <c r="BI207" s="193">
        <f t="shared" ref="BI207:BI213" si="68">IF(N207="nulová",J207,0)</f>
        <v>0</v>
      </c>
      <c r="BJ207" s="19" t="s">
        <v>79</v>
      </c>
      <c r="BK207" s="193">
        <f t="shared" ref="BK207:BK213" si="69">ROUND(I207*H207,2)</f>
        <v>0</v>
      </c>
      <c r="BL207" s="19" t="s">
        <v>281</v>
      </c>
      <c r="BM207" s="192" t="s">
        <v>1675</v>
      </c>
    </row>
    <row r="208" spans="1:65" s="2" customFormat="1" ht="16.5" customHeight="1">
      <c r="A208" s="36"/>
      <c r="B208" s="37"/>
      <c r="C208" s="181" t="s">
        <v>157</v>
      </c>
      <c r="D208" s="181" t="s">
        <v>382</v>
      </c>
      <c r="E208" s="182" t="s">
        <v>4908</v>
      </c>
      <c r="F208" s="183" t="s">
        <v>4909</v>
      </c>
      <c r="G208" s="184" t="s">
        <v>2393</v>
      </c>
      <c r="H208" s="185">
        <v>23</v>
      </c>
      <c r="I208" s="186"/>
      <c r="J208" s="187">
        <f t="shared" si="60"/>
        <v>0</v>
      </c>
      <c r="K208" s="183" t="s">
        <v>19</v>
      </c>
      <c r="L208" s="41"/>
      <c r="M208" s="188" t="s">
        <v>19</v>
      </c>
      <c r="N208" s="189" t="s">
        <v>43</v>
      </c>
      <c r="O208" s="66"/>
      <c r="P208" s="190">
        <f t="shared" si="61"/>
        <v>0</v>
      </c>
      <c r="Q208" s="190">
        <v>0</v>
      </c>
      <c r="R208" s="190">
        <f t="shared" si="62"/>
        <v>0</v>
      </c>
      <c r="S208" s="190">
        <v>0</v>
      </c>
      <c r="T208" s="191">
        <f t="shared" si="63"/>
        <v>0</v>
      </c>
      <c r="U208" s="36"/>
      <c r="V208" s="36"/>
      <c r="W208" s="36"/>
      <c r="X208" s="36"/>
      <c r="Y208" s="36"/>
      <c r="Z208" s="36"/>
      <c r="AA208" s="36"/>
      <c r="AB208" s="36"/>
      <c r="AC208" s="36"/>
      <c r="AD208" s="36"/>
      <c r="AE208" s="36"/>
      <c r="AR208" s="192" t="s">
        <v>281</v>
      </c>
      <c r="AT208" s="192" t="s">
        <v>382</v>
      </c>
      <c r="AU208" s="192" t="s">
        <v>79</v>
      </c>
      <c r="AY208" s="19" t="s">
        <v>380</v>
      </c>
      <c r="BE208" s="193">
        <f t="shared" si="64"/>
        <v>0</v>
      </c>
      <c r="BF208" s="193">
        <f t="shared" si="65"/>
        <v>0</v>
      </c>
      <c r="BG208" s="193">
        <f t="shared" si="66"/>
        <v>0</v>
      </c>
      <c r="BH208" s="193">
        <f t="shared" si="67"/>
        <v>0</v>
      </c>
      <c r="BI208" s="193">
        <f t="shared" si="68"/>
        <v>0</v>
      </c>
      <c r="BJ208" s="19" t="s">
        <v>79</v>
      </c>
      <c r="BK208" s="193">
        <f t="shared" si="69"/>
        <v>0</v>
      </c>
      <c r="BL208" s="19" t="s">
        <v>281</v>
      </c>
      <c r="BM208" s="192" t="s">
        <v>1693</v>
      </c>
    </row>
    <row r="209" spans="1:65" s="2" customFormat="1" ht="16.5" customHeight="1">
      <c r="A209" s="36"/>
      <c r="B209" s="37"/>
      <c r="C209" s="181" t="s">
        <v>160</v>
      </c>
      <c r="D209" s="181" t="s">
        <v>382</v>
      </c>
      <c r="E209" s="182" t="s">
        <v>4910</v>
      </c>
      <c r="F209" s="183" t="s">
        <v>4911</v>
      </c>
      <c r="G209" s="184" t="s">
        <v>2393</v>
      </c>
      <c r="H209" s="185">
        <v>2</v>
      </c>
      <c r="I209" s="186"/>
      <c r="J209" s="187">
        <f t="shared" si="60"/>
        <v>0</v>
      </c>
      <c r="K209" s="183" t="s">
        <v>19</v>
      </c>
      <c r="L209" s="41"/>
      <c r="M209" s="188" t="s">
        <v>19</v>
      </c>
      <c r="N209" s="189" t="s">
        <v>43</v>
      </c>
      <c r="O209" s="66"/>
      <c r="P209" s="190">
        <f t="shared" si="61"/>
        <v>0</v>
      </c>
      <c r="Q209" s="190">
        <v>0</v>
      </c>
      <c r="R209" s="190">
        <f t="shared" si="62"/>
        <v>0</v>
      </c>
      <c r="S209" s="190">
        <v>0</v>
      </c>
      <c r="T209" s="191">
        <f t="shared" si="63"/>
        <v>0</v>
      </c>
      <c r="U209" s="36"/>
      <c r="V209" s="36"/>
      <c r="W209" s="36"/>
      <c r="X209" s="36"/>
      <c r="Y209" s="36"/>
      <c r="Z209" s="36"/>
      <c r="AA209" s="36"/>
      <c r="AB209" s="36"/>
      <c r="AC209" s="36"/>
      <c r="AD209" s="36"/>
      <c r="AE209" s="36"/>
      <c r="AR209" s="192" t="s">
        <v>281</v>
      </c>
      <c r="AT209" s="192" t="s">
        <v>382</v>
      </c>
      <c r="AU209" s="192" t="s">
        <v>79</v>
      </c>
      <c r="AY209" s="19" t="s">
        <v>380</v>
      </c>
      <c r="BE209" s="193">
        <f t="shared" si="64"/>
        <v>0</v>
      </c>
      <c r="BF209" s="193">
        <f t="shared" si="65"/>
        <v>0</v>
      </c>
      <c r="BG209" s="193">
        <f t="shared" si="66"/>
        <v>0</v>
      </c>
      <c r="BH209" s="193">
        <f t="shared" si="67"/>
        <v>0</v>
      </c>
      <c r="BI209" s="193">
        <f t="shared" si="68"/>
        <v>0</v>
      </c>
      <c r="BJ209" s="19" t="s">
        <v>79</v>
      </c>
      <c r="BK209" s="193">
        <f t="shared" si="69"/>
        <v>0</v>
      </c>
      <c r="BL209" s="19" t="s">
        <v>281</v>
      </c>
      <c r="BM209" s="192" t="s">
        <v>1705</v>
      </c>
    </row>
    <row r="210" spans="1:65" s="2" customFormat="1" ht="16.5" customHeight="1">
      <c r="A210" s="36"/>
      <c r="B210" s="37"/>
      <c r="C210" s="181" t="s">
        <v>1016</v>
      </c>
      <c r="D210" s="181" t="s">
        <v>382</v>
      </c>
      <c r="E210" s="182" t="s">
        <v>4912</v>
      </c>
      <c r="F210" s="183" t="s">
        <v>4913</v>
      </c>
      <c r="G210" s="184" t="s">
        <v>2393</v>
      </c>
      <c r="H210" s="185">
        <v>3</v>
      </c>
      <c r="I210" s="186"/>
      <c r="J210" s="187">
        <f t="shared" si="60"/>
        <v>0</v>
      </c>
      <c r="K210" s="183" t="s">
        <v>19</v>
      </c>
      <c r="L210" s="41"/>
      <c r="M210" s="188" t="s">
        <v>19</v>
      </c>
      <c r="N210" s="189" t="s">
        <v>43</v>
      </c>
      <c r="O210" s="66"/>
      <c r="P210" s="190">
        <f t="shared" si="61"/>
        <v>0</v>
      </c>
      <c r="Q210" s="190">
        <v>0</v>
      </c>
      <c r="R210" s="190">
        <f t="shared" si="62"/>
        <v>0</v>
      </c>
      <c r="S210" s="190">
        <v>0</v>
      </c>
      <c r="T210" s="191">
        <f t="shared" si="63"/>
        <v>0</v>
      </c>
      <c r="U210" s="36"/>
      <c r="V210" s="36"/>
      <c r="W210" s="36"/>
      <c r="X210" s="36"/>
      <c r="Y210" s="36"/>
      <c r="Z210" s="36"/>
      <c r="AA210" s="36"/>
      <c r="AB210" s="36"/>
      <c r="AC210" s="36"/>
      <c r="AD210" s="36"/>
      <c r="AE210" s="36"/>
      <c r="AR210" s="192" t="s">
        <v>281</v>
      </c>
      <c r="AT210" s="192" t="s">
        <v>382</v>
      </c>
      <c r="AU210" s="192" t="s">
        <v>79</v>
      </c>
      <c r="AY210" s="19" t="s">
        <v>380</v>
      </c>
      <c r="BE210" s="193">
        <f t="shared" si="64"/>
        <v>0</v>
      </c>
      <c r="BF210" s="193">
        <f t="shared" si="65"/>
        <v>0</v>
      </c>
      <c r="BG210" s="193">
        <f t="shared" si="66"/>
        <v>0</v>
      </c>
      <c r="BH210" s="193">
        <f t="shared" si="67"/>
        <v>0</v>
      </c>
      <c r="BI210" s="193">
        <f t="shared" si="68"/>
        <v>0</v>
      </c>
      <c r="BJ210" s="19" t="s">
        <v>79</v>
      </c>
      <c r="BK210" s="193">
        <f t="shared" si="69"/>
        <v>0</v>
      </c>
      <c r="BL210" s="19" t="s">
        <v>281</v>
      </c>
      <c r="BM210" s="192" t="s">
        <v>1715</v>
      </c>
    </row>
    <row r="211" spans="1:65" s="2" customFormat="1" ht="16.5" customHeight="1">
      <c r="A211" s="36"/>
      <c r="B211" s="37"/>
      <c r="C211" s="181" t="s">
        <v>163</v>
      </c>
      <c r="D211" s="181" t="s">
        <v>382</v>
      </c>
      <c r="E211" s="182" t="s">
        <v>4914</v>
      </c>
      <c r="F211" s="183" t="s">
        <v>4915</v>
      </c>
      <c r="G211" s="184" t="s">
        <v>452</v>
      </c>
      <c r="H211" s="185">
        <v>620</v>
      </c>
      <c r="I211" s="186"/>
      <c r="J211" s="187">
        <f t="shared" si="60"/>
        <v>0</v>
      </c>
      <c r="K211" s="183" t="s">
        <v>19</v>
      </c>
      <c r="L211" s="41"/>
      <c r="M211" s="188" t="s">
        <v>19</v>
      </c>
      <c r="N211" s="189" t="s">
        <v>43</v>
      </c>
      <c r="O211" s="66"/>
      <c r="P211" s="190">
        <f t="shared" si="61"/>
        <v>0</v>
      </c>
      <c r="Q211" s="190">
        <v>0</v>
      </c>
      <c r="R211" s="190">
        <f t="shared" si="62"/>
        <v>0</v>
      </c>
      <c r="S211" s="190">
        <v>0</v>
      </c>
      <c r="T211" s="191">
        <f t="shared" si="63"/>
        <v>0</v>
      </c>
      <c r="U211" s="36"/>
      <c r="V211" s="36"/>
      <c r="W211" s="36"/>
      <c r="X211" s="36"/>
      <c r="Y211" s="36"/>
      <c r="Z211" s="36"/>
      <c r="AA211" s="36"/>
      <c r="AB211" s="36"/>
      <c r="AC211" s="36"/>
      <c r="AD211" s="36"/>
      <c r="AE211" s="36"/>
      <c r="AR211" s="192" t="s">
        <v>281</v>
      </c>
      <c r="AT211" s="192" t="s">
        <v>382</v>
      </c>
      <c r="AU211" s="192" t="s">
        <v>79</v>
      </c>
      <c r="AY211" s="19" t="s">
        <v>380</v>
      </c>
      <c r="BE211" s="193">
        <f t="shared" si="64"/>
        <v>0</v>
      </c>
      <c r="BF211" s="193">
        <f t="shared" si="65"/>
        <v>0</v>
      </c>
      <c r="BG211" s="193">
        <f t="shared" si="66"/>
        <v>0</v>
      </c>
      <c r="BH211" s="193">
        <f t="shared" si="67"/>
        <v>0</v>
      </c>
      <c r="BI211" s="193">
        <f t="shared" si="68"/>
        <v>0</v>
      </c>
      <c r="BJ211" s="19" t="s">
        <v>79</v>
      </c>
      <c r="BK211" s="193">
        <f t="shared" si="69"/>
        <v>0</v>
      </c>
      <c r="BL211" s="19" t="s">
        <v>281</v>
      </c>
      <c r="BM211" s="192" t="s">
        <v>1726</v>
      </c>
    </row>
    <row r="212" spans="1:65" s="2" customFormat="1" ht="16.5" customHeight="1">
      <c r="A212" s="36"/>
      <c r="B212" s="37"/>
      <c r="C212" s="181" t="s">
        <v>1024</v>
      </c>
      <c r="D212" s="181" t="s">
        <v>382</v>
      </c>
      <c r="E212" s="182" t="s">
        <v>4916</v>
      </c>
      <c r="F212" s="183" t="s">
        <v>4917</v>
      </c>
      <c r="G212" s="184" t="s">
        <v>2393</v>
      </c>
      <c r="H212" s="185">
        <v>23</v>
      </c>
      <c r="I212" s="186"/>
      <c r="J212" s="187">
        <f t="shared" si="60"/>
        <v>0</v>
      </c>
      <c r="K212" s="183" t="s">
        <v>19</v>
      </c>
      <c r="L212" s="41"/>
      <c r="M212" s="188" t="s">
        <v>19</v>
      </c>
      <c r="N212" s="189" t="s">
        <v>43</v>
      </c>
      <c r="O212" s="66"/>
      <c r="P212" s="190">
        <f t="shared" si="61"/>
        <v>0</v>
      </c>
      <c r="Q212" s="190">
        <v>0</v>
      </c>
      <c r="R212" s="190">
        <f t="shared" si="62"/>
        <v>0</v>
      </c>
      <c r="S212" s="190">
        <v>0</v>
      </c>
      <c r="T212" s="191">
        <f t="shared" si="63"/>
        <v>0</v>
      </c>
      <c r="U212" s="36"/>
      <c r="V212" s="36"/>
      <c r="W212" s="36"/>
      <c r="X212" s="36"/>
      <c r="Y212" s="36"/>
      <c r="Z212" s="36"/>
      <c r="AA212" s="36"/>
      <c r="AB212" s="36"/>
      <c r="AC212" s="36"/>
      <c r="AD212" s="36"/>
      <c r="AE212" s="36"/>
      <c r="AR212" s="192" t="s">
        <v>281</v>
      </c>
      <c r="AT212" s="192" t="s">
        <v>382</v>
      </c>
      <c r="AU212" s="192" t="s">
        <v>79</v>
      </c>
      <c r="AY212" s="19" t="s">
        <v>380</v>
      </c>
      <c r="BE212" s="193">
        <f t="shared" si="64"/>
        <v>0</v>
      </c>
      <c r="BF212" s="193">
        <f t="shared" si="65"/>
        <v>0</v>
      </c>
      <c r="BG212" s="193">
        <f t="shared" si="66"/>
        <v>0</v>
      </c>
      <c r="BH212" s="193">
        <f t="shared" si="67"/>
        <v>0</v>
      </c>
      <c r="BI212" s="193">
        <f t="shared" si="68"/>
        <v>0</v>
      </c>
      <c r="BJ212" s="19" t="s">
        <v>79</v>
      </c>
      <c r="BK212" s="193">
        <f t="shared" si="69"/>
        <v>0</v>
      </c>
      <c r="BL212" s="19" t="s">
        <v>281</v>
      </c>
      <c r="BM212" s="192" t="s">
        <v>1736</v>
      </c>
    </row>
    <row r="213" spans="1:65" s="2" customFormat="1" ht="16.5" customHeight="1">
      <c r="A213" s="36"/>
      <c r="B213" s="37"/>
      <c r="C213" s="181" t="s">
        <v>1029</v>
      </c>
      <c r="D213" s="181" t="s">
        <v>382</v>
      </c>
      <c r="E213" s="182" t="s">
        <v>4918</v>
      </c>
      <c r="F213" s="183" t="s">
        <v>4774</v>
      </c>
      <c r="G213" s="184" t="s">
        <v>2393</v>
      </c>
      <c r="H213" s="185">
        <v>26</v>
      </c>
      <c r="I213" s="186"/>
      <c r="J213" s="187">
        <f t="shared" si="60"/>
        <v>0</v>
      </c>
      <c r="K213" s="183" t="s">
        <v>19</v>
      </c>
      <c r="L213" s="41"/>
      <c r="M213" s="188" t="s">
        <v>19</v>
      </c>
      <c r="N213" s="189" t="s">
        <v>43</v>
      </c>
      <c r="O213" s="66"/>
      <c r="P213" s="190">
        <f t="shared" si="61"/>
        <v>0</v>
      </c>
      <c r="Q213" s="190">
        <v>0</v>
      </c>
      <c r="R213" s="190">
        <f t="shared" si="62"/>
        <v>0</v>
      </c>
      <c r="S213" s="190">
        <v>0</v>
      </c>
      <c r="T213" s="191">
        <f t="shared" si="63"/>
        <v>0</v>
      </c>
      <c r="U213" s="36"/>
      <c r="V213" s="36"/>
      <c r="W213" s="36"/>
      <c r="X213" s="36"/>
      <c r="Y213" s="36"/>
      <c r="Z213" s="36"/>
      <c r="AA213" s="36"/>
      <c r="AB213" s="36"/>
      <c r="AC213" s="36"/>
      <c r="AD213" s="36"/>
      <c r="AE213" s="36"/>
      <c r="AR213" s="192" t="s">
        <v>281</v>
      </c>
      <c r="AT213" s="192" t="s">
        <v>382</v>
      </c>
      <c r="AU213" s="192" t="s">
        <v>79</v>
      </c>
      <c r="AY213" s="19" t="s">
        <v>380</v>
      </c>
      <c r="BE213" s="193">
        <f t="shared" si="64"/>
        <v>0</v>
      </c>
      <c r="BF213" s="193">
        <f t="shared" si="65"/>
        <v>0</v>
      </c>
      <c r="BG213" s="193">
        <f t="shared" si="66"/>
        <v>0</v>
      </c>
      <c r="BH213" s="193">
        <f t="shared" si="67"/>
        <v>0</v>
      </c>
      <c r="BI213" s="193">
        <f t="shared" si="68"/>
        <v>0</v>
      </c>
      <c r="BJ213" s="19" t="s">
        <v>79</v>
      </c>
      <c r="BK213" s="193">
        <f t="shared" si="69"/>
        <v>0</v>
      </c>
      <c r="BL213" s="19" t="s">
        <v>281</v>
      </c>
      <c r="BM213" s="192" t="s">
        <v>1746</v>
      </c>
    </row>
    <row r="214" spans="1:65" s="12" customFormat="1" ht="25.9" customHeight="1">
      <c r="B214" s="165"/>
      <c r="C214" s="166"/>
      <c r="D214" s="167" t="s">
        <v>71</v>
      </c>
      <c r="E214" s="168" t="s">
        <v>405</v>
      </c>
      <c r="F214" s="168" t="s">
        <v>4919</v>
      </c>
      <c r="G214" s="166"/>
      <c r="H214" s="166"/>
      <c r="I214" s="169"/>
      <c r="J214" s="170">
        <f>BK214</f>
        <v>0</v>
      </c>
      <c r="K214" s="166"/>
      <c r="L214" s="171"/>
      <c r="M214" s="172"/>
      <c r="N214" s="173"/>
      <c r="O214" s="173"/>
      <c r="P214" s="174">
        <f>SUM(P215:P232)</f>
        <v>0</v>
      </c>
      <c r="Q214" s="173"/>
      <c r="R214" s="174">
        <f>SUM(R215:R232)</f>
        <v>0</v>
      </c>
      <c r="S214" s="173"/>
      <c r="T214" s="175">
        <f>SUM(T215:T232)</f>
        <v>0</v>
      </c>
      <c r="AR214" s="176" t="s">
        <v>79</v>
      </c>
      <c r="AT214" s="177" t="s">
        <v>71</v>
      </c>
      <c r="AU214" s="177" t="s">
        <v>72</v>
      </c>
      <c r="AY214" s="176" t="s">
        <v>380</v>
      </c>
      <c r="BK214" s="178">
        <f>SUM(BK215:BK232)</f>
        <v>0</v>
      </c>
    </row>
    <row r="215" spans="1:65" s="2" customFormat="1" ht="44.25" customHeight="1">
      <c r="A215" s="36"/>
      <c r="B215" s="37"/>
      <c r="C215" s="181" t="s">
        <v>1034</v>
      </c>
      <c r="D215" s="181" t="s">
        <v>382</v>
      </c>
      <c r="E215" s="182" t="s">
        <v>4920</v>
      </c>
      <c r="F215" s="183" t="s">
        <v>4921</v>
      </c>
      <c r="G215" s="184" t="s">
        <v>2393</v>
      </c>
      <c r="H215" s="185">
        <v>1</v>
      </c>
      <c r="I215" s="186"/>
      <c r="J215" s="187">
        <f t="shared" ref="J215:J232" si="70">ROUND(I215*H215,2)</f>
        <v>0</v>
      </c>
      <c r="K215" s="183" t="s">
        <v>19</v>
      </c>
      <c r="L215" s="41"/>
      <c r="M215" s="188" t="s">
        <v>19</v>
      </c>
      <c r="N215" s="189" t="s">
        <v>43</v>
      </c>
      <c r="O215" s="66"/>
      <c r="P215" s="190">
        <f t="shared" ref="P215:P232" si="71">O215*H215</f>
        <v>0</v>
      </c>
      <c r="Q215" s="190">
        <v>0</v>
      </c>
      <c r="R215" s="190">
        <f t="shared" ref="R215:R232" si="72">Q215*H215</f>
        <v>0</v>
      </c>
      <c r="S215" s="190">
        <v>0</v>
      </c>
      <c r="T215" s="191">
        <f t="shared" ref="T215:T232" si="73">S215*H215</f>
        <v>0</v>
      </c>
      <c r="U215" s="36"/>
      <c r="V215" s="36"/>
      <c r="W215" s="36"/>
      <c r="X215" s="36"/>
      <c r="Y215" s="36"/>
      <c r="Z215" s="36"/>
      <c r="AA215" s="36"/>
      <c r="AB215" s="36"/>
      <c r="AC215" s="36"/>
      <c r="AD215" s="36"/>
      <c r="AE215" s="36"/>
      <c r="AR215" s="192" t="s">
        <v>281</v>
      </c>
      <c r="AT215" s="192" t="s">
        <v>382</v>
      </c>
      <c r="AU215" s="192" t="s">
        <v>79</v>
      </c>
      <c r="AY215" s="19" t="s">
        <v>380</v>
      </c>
      <c r="BE215" s="193">
        <f t="shared" ref="BE215:BE232" si="74">IF(N215="základní",J215,0)</f>
        <v>0</v>
      </c>
      <c r="BF215" s="193">
        <f t="shared" ref="BF215:BF232" si="75">IF(N215="snížená",J215,0)</f>
        <v>0</v>
      </c>
      <c r="BG215" s="193">
        <f t="shared" ref="BG215:BG232" si="76">IF(N215="zákl. přenesená",J215,0)</f>
        <v>0</v>
      </c>
      <c r="BH215" s="193">
        <f t="shared" ref="BH215:BH232" si="77">IF(N215="sníž. přenesená",J215,0)</f>
        <v>0</v>
      </c>
      <c r="BI215" s="193">
        <f t="shared" ref="BI215:BI232" si="78">IF(N215="nulová",J215,0)</f>
        <v>0</v>
      </c>
      <c r="BJ215" s="19" t="s">
        <v>79</v>
      </c>
      <c r="BK215" s="193">
        <f t="shared" ref="BK215:BK232" si="79">ROUND(I215*H215,2)</f>
        <v>0</v>
      </c>
      <c r="BL215" s="19" t="s">
        <v>281</v>
      </c>
      <c r="BM215" s="192" t="s">
        <v>1756</v>
      </c>
    </row>
    <row r="216" spans="1:65" s="2" customFormat="1" ht="16.5" customHeight="1">
      <c r="A216" s="36"/>
      <c r="B216" s="37"/>
      <c r="C216" s="181" t="s">
        <v>1039</v>
      </c>
      <c r="D216" s="181" t="s">
        <v>382</v>
      </c>
      <c r="E216" s="182" t="s">
        <v>4922</v>
      </c>
      <c r="F216" s="183" t="s">
        <v>4923</v>
      </c>
      <c r="G216" s="184" t="s">
        <v>2393</v>
      </c>
      <c r="H216" s="185">
        <v>5</v>
      </c>
      <c r="I216" s="186"/>
      <c r="J216" s="187">
        <f t="shared" si="70"/>
        <v>0</v>
      </c>
      <c r="K216" s="183" t="s">
        <v>19</v>
      </c>
      <c r="L216" s="41"/>
      <c r="M216" s="188" t="s">
        <v>19</v>
      </c>
      <c r="N216" s="189" t="s">
        <v>43</v>
      </c>
      <c r="O216" s="66"/>
      <c r="P216" s="190">
        <f t="shared" si="71"/>
        <v>0</v>
      </c>
      <c r="Q216" s="190">
        <v>0</v>
      </c>
      <c r="R216" s="190">
        <f t="shared" si="72"/>
        <v>0</v>
      </c>
      <c r="S216" s="190">
        <v>0</v>
      </c>
      <c r="T216" s="191">
        <f t="shared" si="73"/>
        <v>0</v>
      </c>
      <c r="U216" s="36"/>
      <c r="V216" s="36"/>
      <c r="W216" s="36"/>
      <c r="X216" s="36"/>
      <c r="Y216" s="36"/>
      <c r="Z216" s="36"/>
      <c r="AA216" s="36"/>
      <c r="AB216" s="36"/>
      <c r="AC216" s="36"/>
      <c r="AD216" s="36"/>
      <c r="AE216" s="36"/>
      <c r="AR216" s="192" t="s">
        <v>281</v>
      </c>
      <c r="AT216" s="192" t="s">
        <v>382</v>
      </c>
      <c r="AU216" s="192" t="s">
        <v>79</v>
      </c>
      <c r="AY216" s="19" t="s">
        <v>380</v>
      </c>
      <c r="BE216" s="193">
        <f t="shared" si="74"/>
        <v>0</v>
      </c>
      <c r="BF216" s="193">
        <f t="shared" si="75"/>
        <v>0</v>
      </c>
      <c r="BG216" s="193">
        <f t="shared" si="76"/>
        <v>0</v>
      </c>
      <c r="BH216" s="193">
        <f t="shared" si="77"/>
        <v>0</v>
      </c>
      <c r="BI216" s="193">
        <f t="shared" si="78"/>
        <v>0</v>
      </c>
      <c r="BJ216" s="19" t="s">
        <v>79</v>
      </c>
      <c r="BK216" s="193">
        <f t="shared" si="79"/>
        <v>0</v>
      </c>
      <c r="BL216" s="19" t="s">
        <v>281</v>
      </c>
      <c r="BM216" s="192" t="s">
        <v>1771</v>
      </c>
    </row>
    <row r="217" spans="1:65" s="2" customFormat="1" ht="16.5" customHeight="1">
      <c r="A217" s="36"/>
      <c r="B217" s="37"/>
      <c r="C217" s="181" t="s">
        <v>1043</v>
      </c>
      <c r="D217" s="181" t="s">
        <v>382</v>
      </c>
      <c r="E217" s="182" t="s">
        <v>4924</v>
      </c>
      <c r="F217" s="183" t="s">
        <v>4925</v>
      </c>
      <c r="G217" s="184" t="s">
        <v>2393</v>
      </c>
      <c r="H217" s="185">
        <v>1</v>
      </c>
      <c r="I217" s="186"/>
      <c r="J217" s="187">
        <f t="shared" si="70"/>
        <v>0</v>
      </c>
      <c r="K217" s="183" t="s">
        <v>19</v>
      </c>
      <c r="L217" s="41"/>
      <c r="M217" s="188" t="s">
        <v>19</v>
      </c>
      <c r="N217" s="189" t="s">
        <v>43</v>
      </c>
      <c r="O217" s="66"/>
      <c r="P217" s="190">
        <f t="shared" si="71"/>
        <v>0</v>
      </c>
      <c r="Q217" s="190">
        <v>0</v>
      </c>
      <c r="R217" s="190">
        <f t="shared" si="72"/>
        <v>0</v>
      </c>
      <c r="S217" s="190">
        <v>0</v>
      </c>
      <c r="T217" s="191">
        <f t="shared" si="73"/>
        <v>0</v>
      </c>
      <c r="U217" s="36"/>
      <c r="V217" s="36"/>
      <c r="W217" s="36"/>
      <c r="X217" s="36"/>
      <c r="Y217" s="36"/>
      <c r="Z217" s="36"/>
      <c r="AA217" s="36"/>
      <c r="AB217" s="36"/>
      <c r="AC217" s="36"/>
      <c r="AD217" s="36"/>
      <c r="AE217" s="36"/>
      <c r="AR217" s="192" t="s">
        <v>281</v>
      </c>
      <c r="AT217" s="192" t="s">
        <v>382</v>
      </c>
      <c r="AU217" s="192" t="s">
        <v>79</v>
      </c>
      <c r="AY217" s="19" t="s">
        <v>380</v>
      </c>
      <c r="BE217" s="193">
        <f t="shared" si="74"/>
        <v>0</v>
      </c>
      <c r="BF217" s="193">
        <f t="shared" si="75"/>
        <v>0</v>
      </c>
      <c r="BG217" s="193">
        <f t="shared" si="76"/>
        <v>0</v>
      </c>
      <c r="BH217" s="193">
        <f t="shared" si="77"/>
        <v>0</v>
      </c>
      <c r="BI217" s="193">
        <f t="shared" si="78"/>
        <v>0</v>
      </c>
      <c r="BJ217" s="19" t="s">
        <v>79</v>
      </c>
      <c r="BK217" s="193">
        <f t="shared" si="79"/>
        <v>0</v>
      </c>
      <c r="BL217" s="19" t="s">
        <v>281</v>
      </c>
      <c r="BM217" s="192" t="s">
        <v>1787</v>
      </c>
    </row>
    <row r="218" spans="1:65" s="2" customFormat="1" ht="16.5" customHeight="1">
      <c r="A218" s="36"/>
      <c r="B218" s="37"/>
      <c r="C218" s="181" t="s">
        <v>1049</v>
      </c>
      <c r="D218" s="181" t="s">
        <v>382</v>
      </c>
      <c r="E218" s="182" t="s">
        <v>4926</v>
      </c>
      <c r="F218" s="183" t="s">
        <v>4927</v>
      </c>
      <c r="G218" s="184" t="s">
        <v>2393</v>
      </c>
      <c r="H218" s="185">
        <v>1</v>
      </c>
      <c r="I218" s="186"/>
      <c r="J218" s="187">
        <f t="shared" si="70"/>
        <v>0</v>
      </c>
      <c r="K218" s="183" t="s">
        <v>19</v>
      </c>
      <c r="L218" s="41"/>
      <c r="M218" s="188" t="s">
        <v>19</v>
      </c>
      <c r="N218" s="189" t="s">
        <v>43</v>
      </c>
      <c r="O218" s="66"/>
      <c r="P218" s="190">
        <f t="shared" si="71"/>
        <v>0</v>
      </c>
      <c r="Q218" s="190">
        <v>0</v>
      </c>
      <c r="R218" s="190">
        <f t="shared" si="72"/>
        <v>0</v>
      </c>
      <c r="S218" s="190">
        <v>0</v>
      </c>
      <c r="T218" s="191">
        <f t="shared" si="73"/>
        <v>0</v>
      </c>
      <c r="U218" s="36"/>
      <c r="V218" s="36"/>
      <c r="W218" s="36"/>
      <c r="X218" s="36"/>
      <c r="Y218" s="36"/>
      <c r="Z218" s="36"/>
      <c r="AA218" s="36"/>
      <c r="AB218" s="36"/>
      <c r="AC218" s="36"/>
      <c r="AD218" s="36"/>
      <c r="AE218" s="36"/>
      <c r="AR218" s="192" t="s">
        <v>281</v>
      </c>
      <c r="AT218" s="192" t="s">
        <v>382</v>
      </c>
      <c r="AU218" s="192" t="s">
        <v>79</v>
      </c>
      <c r="AY218" s="19" t="s">
        <v>380</v>
      </c>
      <c r="BE218" s="193">
        <f t="shared" si="74"/>
        <v>0</v>
      </c>
      <c r="BF218" s="193">
        <f t="shared" si="75"/>
        <v>0</v>
      </c>
      <c r="BG218" s="193">
        <f t="shared" si="76"/>
        <v>0</v>
      </c>
      <c r="BH218" s="193">
        <f t="shared" si="77"/>
        <v>0</v>
      </c>
      <c r="BI218" s="193">
        <f t="shared" si="78"/>
        <v>0</v>
      </c>
      <c r="BJ218" s="19" t="s">
        <v>79</v>
      </c>
      <c r="BK218" s="193">
        <f t="shared" si="79"/>
        <v>0</v>
      </c>
      <c r="BL218" s="19" t="s">
        <v>281</v>
      </c>
      <c r="BM218" s="192" t="s">
        <v>1800</v>
      </c>
    </row>
    <row r="219" spans="1:65" s="2" customFormat="1" ht="16.5" customHeight="1">
      <c r="A219" s="36"/>
      <c r="B219" s="37"/>
      <c r="C219" s="181" t="s">
        <v>1054</v>
      </c>
      <c r="D219" s="181" t="s">
        <v>382</v>
      </c>
      <c r="E219" s="182" t="s">
        <v>4928</v>
      </c>
      <c r="F219" s="183" t="s">
        <v>4929</v>
      </c>
      <c r="G219" s="184" t="s">
        <v>2393</v>
      </c>
      <c r="H219" s="185">
        <v>2</v>
      </c>
      <c r="I219" s="186"/>
      <c r="J219" s="187">
        <f t="shared" si="70"/>
        <v>0</v>
      </c>
      <c r="K219" s="183" t="s">
        <v>19</v>
      </c>
      <c r="L219" s="41"/>
      <c r="M219" s="188" t="s">
        <v>19</v>
      </c>
      <c r="N219" s="189" t="s">
        <v>43</v>
      </c>
      <c r="O219" s="66"/>
      <c r="P219" s="190">
        <f t="shared" si="71"/>
        <v>0</v>
      </c>
      <c r="Q219" s="190">
        <v>0</v>
      </c>
      <c r="R219" s="190">
        <f t="shared" si="72"/>
        <v>0</v>
      </c>
      <c r="S219" s="190">
        <v>0</v>
      </c>
      <c r="T219" s="191">
        <f t="shared" si="73"/>
        <v>0</v>
      </c>
      <c r="U219" s="36"/>
      <c r="V219" s="36"/>
      <c r="W219" s="36"/>
      <c r="X219" s="36"/>
      <c r="Y219" s="36"/>
      <c r="Z219" s="36"/>
      <c r="AA219" s="36"/>
      <c r="AB219" s="36"/>
      <c r="AC219" s="36"/>
      <c r="AD219" s="36"/>
      <c r="AE219" s="36"/>
      <c r="AR219" s="192" t="s">
        <v>281</v>
      </c>
      <c r="AT219" s="192" t="s">
        <v>382</v>
      </c>
      <c r="AU219" s="192" t="s">
        <v>79</v>
      </c>
      <c r="AY219" s="19" t="s">
        <v>380</v>
      </c>
      <c r="BE219" s="193">
        <f t="shared" si="74"/>
        <v>0</v>
      </c>
      <c r="BF219" s="193">
        <f t="shared" si="75"/>
        <v>0</v>
      </c>
      <c r="BG219" s="193">
        <f t="shared" si="76"/>
        <v>0</v>
      </c>
      <c r="BH219" s="193">
        <f t="shared" si="77"/>
        <v>0</v>
      </c>
      <c r="BI219" s="193">
        <f t="shared" si="78"/>
        <v>0</v>
      </c>
      <c r="BJ219" s="19" t="s">
        <v>79</v>
      </c>
      <c r="BK219" s="193">
        <f t="shared" si="79"/>
        <v>0</v>
      </c>
      <c r="BL219" s="19" t="s">
        <v>281</v>
      </c>
      <c r="BM219" s="192" t="s">
        <v>1809</v>
      </c>
    </row>
    <row r="220" spans="1:65" s="2" customFormat="1" ht="37.9" customHeight="1">
      <c r="A220" s="36"/>
      <c r="B220" s="37"/>
      <c r="C220" s="181" t="s">
        <v>1059</v>
      </c>
      <c r="D220" s="181" t="s">
        <v>382</v>
      </c>
      <c r="E220" s="182" t="s">
        <v>4930</v>
      </c>
      <c r="F220" s="183" t="s">
        <v>4931</v>
      </c>
      <c r="G220" s="184" t="s">
        <v>2393</v>
      </c>
      <c r="H220" s="185">
        <v>1</v>
      </c>
      <c r="I220" s="186"/>
      <c r="J220" s="187">
        <f t="shared" si="70"/>
        <v>0</v>
      </c>
      <c r="K220" s="183" t="s">
        <v>19</v>
      </c>
      <c r="L220" s="41"/>
      <c r="M220" s="188" t="s">
        <v>19</v>
      </c>
      <c r="N220" s="189" t="s">
        <v>43</v>
      </c>
      <c r="O220" s="66"/>
      <c r="P220" s="190">
        <f t="shared" si="71"/>
        <v>0</v>
      </c>
      <c r="Q220" s="190">
        <v>0</v>
      </c>
      <c r="R220" s="190">
        <f t="shared" si="72"/>
        <v>0</v>
      </c>
      <c r="S220" s="190">
        <v>0</v>
      </c>
      <c r="T220" s="191">
        <f t="shared" si="73"/>
        <v>0</v>
      </c>
      <c r="U220" s="36"/>
      <c r="V220" s="36"/>
      <c r="W220" s="36"/>
      <c r="X220" s="36"/>
      <c r="Y220" s="36"/>
      <c r="Z220" s="36"/>
      <c r="AA220" s="36"/>
      <c r="AB220" s="36"/>
      <c r="AC220" s="36"/>
      <c r="AD220" s="36"/>
      <c r="AE220" s="36"/>
      <c r="AR220" s="192" t="s">
        <v>281</v>
      </c>
      <c r="AT220" s="192" t="s">
        <v>382</v>
      </c>
      <c r="AU220" s="192" t="s">
        <v>79</v>
      </c>
      <c r="AY220" s="19" t="s">
        <v>380</v>
      </c>
      <c r="BE220" s="193">
        <f t="shared" si="74"/>
        <v>0</v>
      </c>
      <c r="BF220" s="193">
        <f t="shared" si="75"/>
        <v>0</v>
      </c>
      <c r="BG220" s="193">
        <f t="shared" si="76"/>
        <v>0</v>
      </c>
      <c r="BH220" s="193">
        <f t="shared" si="77"/>
        <v>0</v>
      </c>
      <c r="BI220" s="193">
        <f t="shared" si="78"/>
        <v>0</v>
      </c>
      <c r="BJ220" s="19" t="s">
        <v>79</v>
      </c>
      <c r="BK220" s="193">
        <f t="shared" si="79"/>
        <v>0</v>
      </c>
      <c r="BL220" s="19" t="s">
        <v>281</v>
      </c>
      <c r="BM220" s="192" t="s">
        <v>1821</v>
      </c>
    </row>
    <row r="221" spans="1:65" s="2" customFormat="1" ht="66.75" customHeight="1">
      <c r="A221" s="36"/>
      <c r="B221" s="37"/>
      <c r="C221" s="181" t="s">
        <v>1064</v>
      </c>
      <c r="D221" s="181" t="s">
        <v>382</v>
      </c>
      <c r="E221" s="182" t="s">
        <v>4932</v>
      </c>
      <c r="F221" s="183" t="s">
        <v>4933</v>
      </c>
      <c r="G221" s="184" t="s">
        <v>2393</v>
      </c>
      <c r="H221" s="185">
        <v>1</v>
      </c>
      <c r="I221" s="186"/>
      <c r="J221" s="187">
        <f t="shared" si="70"/>
        <v>0</v>
      </c>
      <c r="K221" s="183" t="s">
        <v>19</v>
      </c>
      <c r="L221" s="41"/>
      <c r="M221" s="188" t="s">
        <v>19</v>
      </c>
      <c r="N221" s="189" t="s">
        <v>43</v>
      </c>
      <c r="O221" s="66"/>
      <c r="P221" s="190">
        <f t="shared" si="71"/>
        <v>0</v>
      </c>
      <c r="Q221" s="190">
        <v>0</v>
      </c>
      <c r="R221" s="190">
        <f t="shared" si="72"/>
        <v>0</v>
      </c>
      <c r="S221" s="190">
        <v>0</v>
      </c>
      <c r="T221" s="191">
        <f t="shared" si="73"/>
        <v>0</v>
      </c>
      <c r="U221" s="36"/>
      <c r="V221" s="36"/>
      <c r="W221" s="36"/>
      <c r="X221" s="36"/>
      <c r="Y221" s="36"/>
      <c r="Z221" s="36"/>
      <c r="AA221" s="36"/>
      <c r="AB221" s="36"/>
      <c r="AC221" s="36"/>
      <c r="AD221" s="36"/>
      <c r="AE221" s="36"/>
      <c r="AR221" s="192" t="s">
        <v>281</v>
      </c>
      <c r="AT221" s="192" t="s">
        <v>382</v>
      </c>
      <c r="AU221" s="192" t="s">
        <v>79</v>
      </c>
      <c r="AY221" s="19" t="s">
        <v>380</v>
      </c>
      <c r="BE221" s="193">
        <f t="shared" si="74"/>
        <v>0</v>
      </c>
      <c r="BF221" s="193">
        <f t="shared" si="75"/>
        <v>0</v>
      </c>
      <c r="BG221" s="193">
        <f t="shared" si="76"/>
        <v>0</v>
      </c>
      <c r="BH221" s="193">
        <f t="shared" si="77"/>
        <v>0</v>
      </c>
      <c r="BI221" s="193">
        <f t="shared" si="78"/>
        <v>0</v>
      </c>
      <c r="BJ221" s="19" t="s">
        <v>79</v>
      </c>
      <c r="BK221" s="193">
        <f t="shared" si="79"/>
        <v>0</v>
      </c>
      <c r="BL221" s="19" t="s">
        <v>281</v>
      </c>
      <c r="BM221" s="192" t="s">
        <v>1831</v>
      </c>
    </row>
    <row r="222" spans="1:65" s="2" customFormat="1" ht="16.5" customHeight="1">
      <c r="A222" s="36"/>
      <c r="B222" s="37"/>
      <c r="C222" s="181" t="s">
        <v>1068</v>
      </c>
      <c r="D222" s="181" t="s">
        <v>382</v>
      </c>
      <c r="E222" s="182" t="s">
        <v>4934</v>
      </c>
      <c r="F222" s="183" t="s">
        <v>4935</v>
      </c>
      <c r="G222" s="184" t="s">
        <v>2393</v>
      </c>
      <c r="H222" s="185">
        <v>2</v>
      </c>
      <c r="I222" s="186"/>
      <c r="J222" s="187">
        <f t="shared" si="70"/>
        <v>0</v>
      </c>
      <c r="K222" s="183" t="s">
        <v>19</v>
      </c>
      <c r="L222" s="41"/>
      <c r="M222" s="188" t="s">
        <v>19</v>
      </c>
      <c r="N222" s="189" t="s">
        <v>43</v>
      </c>
      <c r="O222" s="66"/>
      <c r="P222" s="190">
        <f t="shared" si="71"/>
        <v>0</v>
      </c>
      <c r="Q222" s="190">
        <v>0</v>
      </c>
      <c r="R222" s="190">
        <f t="shared" si="72"/>
        <v>0</v>
      </c>
      <c r="S222" s="190">
        <v>0</v>
      </c>
      <c r="T222" s="191">
        <f t="shared" si="73"/>
        <v>0</v>
      </c>
      <c r="U222" s="36"/>
      <c r="V222" s="36"/>
      <c r="W222" s="36"/>
      <c r="X222" s="36"/>
      <c r="Y222" s="36"/>
      <c r="Z222" s="36"/>
      <c r="AA222" s="36"/>
      <c r="AB222" s="36"/>
      <c r="AC222" s="36"/>
      <c r="AD222" s="36"/>
      <c r="AE222" s="36"/>
      <c r="AR222" s="192" t="s">
        <v>281</v>
      </c>
      <c r="AT222" s="192" t="s">
        <v>382</v>
      </c>
      <c r="AU222" s="192" t="s">
        <v>79</v>
      </c>
      <c r="AY222" s="19" t="s">
        <v>380</v>
      </c>
      <c r="BE222" s="193">
        <f t="shared" si="74"/>
        <v>0</v>
      </c>
      <c r="BF222" s="193">
        <f t="shared" si="75"/>
        <v>0</v>
      </c>
      <c r="BG222" s="193">
        <f t="shared" si="76"/>
        <v>0</v>
      </c>
      <c r="BH222" s="193">
        <f t="shared" si="77"/>
        <v>0</v>
      </c>
      <c r="BI222" s="193">
        <f t="shared" si="78"/>
        <v>0</v>
      </c>
      <c r="BJ222" s="19" t="s">
        <v>79</v>
      </c>
      <c r="BK222" s="193">
        <f t="shared" si="79"/>
        <v>0</v>
      </c>
      <c r="BL222" s="19" t="s">
        <v>281</v>
      </c>
      <c r="BM222" s="192" t="s">
        <v>1846</v>
      </c>
    </row>
    <row r="223" spans="1:65" s="2" customFormat="1" ht="16.5" customHeight="1">
      <c r="A223" s="36"/>
      <c r="B223" s="37"/>
      <c r="C223" s="181" t="s">
        <v>1072</v>
      </c>
      <c r="D223" s="181" t="s">
        <v>382</v>
      </c>
      <c r="E223" s="182" t="s">
        <v>4936</v>
      </c>
      <c r="F223" s="183" t="s">
        <v>4937</v>
      </c>
      <c r="G223" s="184" t="s">
        <v>2393</v>
      </c>
      <c r="H223" s="185">
        <v>14</v>
      </c>
      <c r="I223" s="186"/>
      <c r="J223" s="187">
        <f t="shared" si="70"/>
        <v>0</v>
      </c>
      <c r="K223" s="183" t="s">
        <v>19</v>
      </c>
      <c r="L223" s="41"/>
      <c r="M223" s="188" t="s">
        <v>19</v>
      </c>
      <c r="N223" s="189" t="s">
        <v>43</v>
      </c>
      <c r="O223" s="66"/>
      <c r="P223" s="190">
        <f t="shared" si="71"/>
        <v>0</v>
      </c>
      <c r="Q223" s="190">
        <v>0</v>
      </c>
      <c r="R223" s="190">
        <f t="shared" si="72"/>
        <v>0</v>
      </c>
      <c r="S223" s="190">
        <v>0</v>
      </c>
      <c r="T223" s="191">
        <f t="shared" si="73"/>
        <v>0</v>
      </c>
      <c r="U223" s="36"/>
      <c r="V223" s="36"/>
      <c r="W223" s="36"/>
      <c r="X223" s="36"/>
      <c r="Y223" s="36"/>
      <c r="Z223" s="36"/>
      <c r="AA223" s="36"/>
      <c r="AB223" s="36"/>
      <c r="AC223" s="36"/>
      <c r="AD223" s="36"/>
      <c r="AE223" s="36"/>
      <c r="AR223" s="192" t="s">
        <v>281</v>
      </c>
      <c r="AT223" s="192" t="s">
        <v>382</v>
      </c>
      <c r="AU223" s="192" t="s">
        <v>79</v>
      </c>
      <c r="AY223" s="19" t="s">
        <v>380</v>
      </c>
      <c r="BE223" s="193">
        <f t="shared" si="74"/>
        <v>0</v>
      </c>
      <c r="BF223" s="193">
        <f t="shared" si="75"/>
        <v>0</v>
      </c>
      <c r="BG223" s="193">
        <f t="shared" si="76"/>
        <v>0</v>
      </c>
      <c r="BH223" s="193">
        <f t="shared" si="77"/>
        <v>0</v>
      </c>
      <c r="BI223" s="193">
        <f t="shared" si="78"/>
        <v>0</v>
      </c>
      <c r="BJ223" s="19" t="s">
        <v>79</v>
      </c>
      <c r="BK223" s="193">
        <f t="shared" si="79"/>
        <v>0</v>
      </c>
      <c r="BL223" s="19" t="s">
        <v>281</v>
      </c>
      <c r="BM223" s="192" t="s">
        <v>1855</v>
      </c>
    </row>
    <row r="224" spans="1:65" s="2" customFormat="1" ht="16.5" customHeight="1">
      <c r="A224" s="36"/>
      <c r="B224" s="37"/>
      <c r="C224" s="181" t="s">
        <v>1079</v>
      </c>
      <c r="D224" s="181" t="s">
        <v>382</v>
      </c>
      <c r="E224" s="182" t="s">
        <v>4938</v>
      </c>
      <c r="F224" s="183" t="s">
        <v>4939</v>
      </c>
      <c r="G224" s="184" t="s">
        <v>2393</v>
      </c>
      <c r="H224" s="185">
        <v>6</v>
      </c>
      <c r="I224" s="186"/>
      <c r="J224" s="187">
        <f t="shared" si="70"/>
        <v>0</v>
      </c>
      <c r="K224" s="183" t="s">
        <v>19</v>
      </c>
      <c r="L224" s="41"/>
      <c r="M224" s="188" t="s">
        <v>19</v>
      </c>
      <c r="N224" s="189" t="s">
        <v>43</v>
      </c>
      <c r="O224" s="66"/>
      <c r="P224" s="190">
        <f t="shared" si="71"/>
        <v>0</v>
      </c>
      <c r="Q224" s="190">
        <v>0</v>
      </c>
      <c r="R224" s="190">
        <f t="shared" si="72"/>
        <v>0</v>
      </c>
      <c r="S224" s="190">
        <v>0</v>
      </c>
      <c r="T224" s="191">
        <f t="shared" si="73"/>
        <v>0</v>
      </c>
      <c r="U224" s="36"/>
      <c r="V224" s="36"/>
      <c r="W224" s="36"/>
      <c r="X224" s="36"/>
      <c r="Y224" s="36"/>
      <c r="Z224" s="36"/>
      <c r="AA224" s="36"/>
      <c r="AB224" s="36"/>
      <c r="AC224" s="36"/>
      <c r="AD224" s="36"/>
      <c r="AE224" s="36"/>
      <c r="AR224" s="192" t="s">
        <v>281</v>
      </c>
      <c r="AT224" s="192" t="s">
        <v>382</v>
      </c>
      <c r="AU224" s="192" t="s">
        <v>79</v>
      </c>
      <c r="AY224" s="19" t="s">
        <v>380</v>
      </c>
      <c r="BE224" s="193">
        <f t="shared" si="74"/>
        <v>0</v>
      </c>
      <c r="BF224" s="193">
        <f t="shared" si="75"/>
        <v>0</v>
      </c>
      <c r="BG224" s="193">
        <f t="shared" si="76"/>
        <v>0</v>
      </c>
      <c r="BH224" s="193">
        <f t="shared" si="77"/>
        <v>0</v>
      </c>
      <c r="BI224" s="193">
        <f t="shared" si="78"/>
        <v>0</v>
      </c>
      <c r="BJ224" s="19" t="s">
        <v>79</v>
      </c>
      <c r="BK224" s="193">
        <f t="shared" si="79"/>
        <v>0</v>
      </c>
      <c r="BL224" s="19" t="s">
        <v>281</v>
      </c>
      <c r="BM224" s="192" t="s">
        <v>1865</v>
      </c>
    </row>
    <row r="225" spans="1:65" s="2" customFormat="1" ht="16.5" customHeight="1">
      <c r="A225" s="36"/>
      <c r="B225" s="37"/>
      <c r="C225" s="181" t="s">
        <v>1088</v>
      </c>
      <c r="D225" s="181" t="s">
        <v>382</v>
      </c>
      <c r="E225" s="182" t="s">
        <v>4940</v>
      </c>
      <c r="F225" s="183" t="s">
        <v>4941</v>
      </c>
      <c r="G225" s="184" t="s">
        <v>2393</v>
      </c>
      <c r="H225" s="185">
        <v>4</v>
      </c>
      <c r="I225" s="186"/>
      <c r="J225" s="187">
        <f t="shared" si="70"/>
        <v>0</v>
      </c>
      <c r="K225" s="183" t="s">
        <v>19</v>
      </c>
      <c r="L225" s="41"/>
      <c r="M225" s="188" t="s">
        <v>19</v>
      </c>
      <c r="N225" s="189" t="s">
        <v>43</v>
      </c>
      <c r="O225" s="66"/>
      <c r="P225" s="190">
        <f t="shared" si="71"/>
        <v>0</v>
      </c>
      <c r="Q225" s="190">
        <v>0</v>
      </c>
      <c r="R225" s="190">
        <f t="shared" si="72"/>
        <v>0</v>
      </c>
      <c r="S225" s="190">
        <v>0</v>
      </c>
      <c r="T225" s="191">
        <f t="shared" si="73"/>
        <v>0</v>
      </c>
      <c r="U225" s="36"/>
      <c r="V225" s="36"/>
      <c r="W225" s="36"/>
      <c r="X225" s="36"/>
      <c r="Y225" s="36"/>
      <c r="Z225" s="36"/>
      <c r="AA225" s="36"/>
      <c r="AB225" s="36"/>
      <c r="AC225" s="36"/>
      <c r="AD225" s="36"/>
      <c r="AE225" s="36"/>
      <c r="AR225" s="192" t="s">
        <v>281</v>
      </c>
      <c r="AT225" s="192" t="s">
        <v>382</v>
      </c>
      <c r="AU225" s="192" t="s">
        <v>79</v>
      </c>
      <c r="AY225" s="19" t="s">
        <v>380</v>
      </c>
      <c r="BE225" s="193">
        <f t="shared" si="74"/>
        <v>0</v>
      </c>
      <c r="BF225" s="193">
        <f t="shared" si="75"/>
        <v>0</v>
      </c>
      <c r="BG225" s="193">
        <f t="shared" si="76"/>
        <v>0</v>
      </c>
      <c r="BH225" s="193">
        <f t="shared" si="77"/>
        <v>0</v>
      </c>
      <c r="BI225" s="193">
        <f t="shared" si="78"/>
        <v>0</v>
      </c>
      <c r="BJ225" s="19" t="s">
        <v>79</v>
      </c>
      <c r="BK225" s="193">
        <f t="shared" si="79"/>
        <v>0</v>
      </c>
      <c r="BL225" s="19" t="s">
        <v>281</v>
      </c>
      <c r="BM225" s="192" t="s">
        <v>1875</v>
      </c>
    </row>
    <row r="226" spans="1:65" s="2" customFormat="1" ht="16.5" customHeight="1">
      <c r="A226" s="36"/>
      <c r="B226" s="37"/>
      <c r="C226" s="181" t="s">
        <v>1095</v>
      </c>
      <c r="D226" s="181" t="s">
        <v>382</v>
      </c>
      <c r="E226" s="182" t="s">
        <v>4942</v>
      </c>
      <c r="F226" s="183" t="s">
        <v>4943</v>
      </c>
      <c r="G226" s="184" t="s">
        <v>2393</v>
      </c>
      <c r="H226" s="185">
        <v>28</v>
      </c>
      <c r="I226" s="186"/>
      <c r="J226" s="187">
        <f t="shared" si="70"/>
        <v>0</v>
      </c>
      <c r="K226" s="183" t="s">
        <v>19</v>
      </c>
      <c r="L226" s="41"/>
      <c r="M226" s="188" t="s">
        <v>19</v>
      </c>
      <c r="N226" s="189" t="s">
        <v>43</v>
      </c>
      <c r="O226" s="66"/>
      <c r="P226" s="190">
        <f t="shared" si="71"/>
        <v>0</v>
      </c>
      <c r="Q226" s="190">
        <v>0</v>
      </c>
      <c r="R226" s="190">
        <f t="shared" si="72"/>
        <v>0</v>
      </c>
      <c r="S226" s="190">
        <v>0</v>
      </c>
      <c r="T226" s="191">
        <f t="shared" si="73"/>
        <v>0</v>
      </c>
      <c r="U226" s="36"/>
      <c r="V226" s="36"/>
      <c r="W226" s="36"/>
      <c r="X226" s="36"/>
      <c r="Y226" s="36"/>
      <c r="Z226" s="36"/>
      <c r="AA226" s="36"/>
      <c r="AB226" s="36"/>
      <c r="AC226" s="36"/>
      <c r="AD226" s="36"/>
      <c r="AE226" s="36"/>
      <c r="AR226" s="192" t="s">
        <v>281</v>
      </c>
      <c r="AT226" s="192" t="s">
        <v>382</v>
      </c>
      <c r="AU226" s="192" t="s">
        <v>79</v>
      </c>
      <c r="AY226" s="19" t="s">
        <v>380</v>
      </c>
      <c r="BE226" s="193">
        <f t="shared" si="74"/>
        <v>0</v>
      </c>
      <c r="BF226" s="193">
        <f t="shared" si="75"/>
        <v>0</v>
      </c>
      <c r="BG226" s="193">
        <f t="shared" si="76"/>
        <v>0</v>
      </c>
      <c r="BH226" s="193">
        <f t="shared" si="77"/>
        <v>0</v>
      </c>
      <c r="BI226" s="193">
        <f t="shared" si="78"/>
        <v>0</v>
      </c>
      <c r="BJ226" s="19" t="s">
        <v>79</v>
      </c>
      <c r="BK226" s="193">
        <f t="shared" si="79"/>
        <v>0</v>
      </c>
      <c r="BL226" s="19" t="s">
        <v>281</v>
      </c>
      <c r="BM226" s="192" t="s">
        <v>1887</v>
      </c>
    </row>
    <row r="227" spans="1:65" s="2" customFormat="1" ht="16.5" customHeight="1">
      <c r="A227" s="36"/>
      <c r="B227" s="37"/>
      <c r="C227" s="181" t="s">
        <v>1107</v>
      </c>
      <c r="D227" s="181" t="s">
        <v>382</v>
      </c>
      <c r="E227" s="182" t="s">
        <v>4944</v>
      </c>
      <c r="F227" s="183" t="s">
        <v>4945</v>
      </c>
      <c r="G227" s="184" t="s">
        <v>2393</v>
      </c>
      <c r="H227" s="185">
        <v>1</v>
      </c>
      <c r="I227" s="186"/>
      <c r="J227" s="187">
        <f t="shared" si="70"/>
        <v>0</v>
      </c>
      <c r="K227" s="183" t="s">
        <v>19</v>
      </c>
      <c r="L227" s="41"/>
      <c r="M227" s="188" t="s">
        <v>19</v>
      </c>
      <c r="N227" s="189" t="s">
        <v>43</v>
      </c>
      <c r="O227" s="66"/>
      <c r="P227" s="190">
        <f t="shared" si="71"/>
        <v>0</v>
      </c>
      <c r="Q227" s="190">
        <v>0</v>
      </c>
      <c r="R227" s="190">
        <f t="shared" si="72"/>
        <v>0</v>
      </c>
      <c r="S227" s="190">
        <v>0</v>
      </c>
      <c r="T227" s="191">
        <f t="shared" si="73"/>
        <v>0</v>
      </c>
      <c r="U227" s="36"/>
      <c r="V227" s="36"/>
      <c r="W227" s="36"/>
      <c r="X227" s="36"/>
      <c r="Y227" s="36"/>
      <c r="Z227" s="36"/>
      <c r="AA227" s="36"/>
      <c r="AB227" s="36"/>
      <c r="AC227" s="36"/>
      <c r="AD227" s="36"/>
      <c r="AE227" s="36"/>
      <c r="AR227" s="192" t="s">
        <v>281</v>
      </c>
      <c r="AT227" s="192" t="s">
        <v>382</v>
      </c>
      <c r="AU227" s="192" t="s">
        <v>79</v>
      </c>
      <c r="AY227" s="19" t="s">
        <v>380</v>
      </c>
      <c r="BE227" s="193">
        <f t="shared" si="74"/>
        <v>0</v>
      </c>
      <c r="BF227" s="193">
        <f t="shared" si="75"/>
        <v>0</v>
      </c>
      <c r="BG227" s="193">
        <f t="shared" si="76"/>
        <v>0</v>
      </c>
      <c r="BH227" s="193">
        <f t="shared" si="77"/>
        <v>0</v>
      </c>
      <c r="BI227" s="193">
        <f t="shared" si="78"/>
        <v>0</v>
      </c>
      <c r="BJ227" s="19" t="s">
        <v>79</v>
      </c>
      <c r="BK227" s="193">
        <f t="shared" si="79"/>
        <v>0</v>
      </c>
      <c r="BL227" s="19" t="s">
        <v>281</v>
      </c>
      <c r="BM227" s="192" t="s">
        <v>1899</v>
      </c>
    </row>
    <row r="228" spans="1:65" s="2" customFormat="1" ht="16.5" customHeight="1">
      <c r="A228" s="36"/>
      <c r="B228" s="37"/>
      <c r="C228" s="181" t="s">
        <v>1112</v>
      </c>
      <c r="D228" s="181" t="s">
        <v>382</v>
      </c>
      <c r="E228" s="182" t="s">
        <v>4946</v>
      </c>
      <c r="F228" s="183" t="s">
        <v>4947</v>
      </c>
      <c r="G228" s="184" t="s">
        <v>2393</v>
      </c>
      <c r="H228" s="185">
        <v>4</v>
      </c>
      <c r="I228" s="186"/>
      <c r="J228" s="187">
        <f t="shared" si="70"/>
        <v>0</v>
      </c>
      <c r="K228" s="183" t="s">
        <v>19</v>
      </c>
      <c r="L228" s="41"/>
      <c r="M228" s="188" t="s">
        <v>19</v>
      </c>
      <c r="N228" s="189" t="s">
        <v>43</v>
      </c>
      <c r="O228" s="66"/>
      <c r="P228" s="190">
        <f t="shared" si="71"/>
        <v>0</v>
      </c>
      <c r="Q228" s="190">
        <v>0</v>
      </c>
      <c r="R228" s="190">
        <f t="shared" si="72"/>
        <v>0</v>
      </c>
      <c r="S228" s="190">
        <v>0</v>
      </c>
      <c r="T228" s="191">
        <f t="shared" si="73"/>
        <v>0</v>
      </c>
      <c r="U228" s="36"/>
      <c r="V228" s="36"/>
      <c r="W228" s="36"/>
      <c r="X228" s="36"/>
      <c r="Y228" s="36"/>
      <c r="Z228" s="36"/>
      <c r="AA228" s="36"/>
      <c r="AB228" s="36"/>
      <c r="AC228" s="36"/>
      <c r="AD228" s="36"/>
      <c r="AE228" s="36"/>
      <c r="AR228" s="192" t="s">
        <v>281</v>
      </c>
      <c r="AT228" s="192" t="s">
        <v>382</v>
      </c>
      <c r="AU228" s="192" t="s">
        <v>79</v>
      </c>
      <c r="AY228" s="19" t="s">
        <v>380</v>
      </c>
      <c r="BE228" s="193">
        <f t="shared" si="74"/>
        <v>0</v>
      </c>
      <c r="BF228" s="193">
        <f t="shared" si="75"/>
        <v>0</v>
      </c>
      <c r="BG228" s="193">
        <f t="shared" si="76"/>
        <v>0</v>
      </c>
      <c r="BH228" s="193">
        <f t="shared" si="77"/>
        <v>0</v>
      </c>
      <c r="BI228" s="193">
        <f t="shared" si="78"/>
        <v>0</v>
      </c>
      <c r="BJ228" s="19" t="s">
        <v>79</v>
      </c>
      <c r="BK228" s="193">
        <f t="shared" si="79"/>
        <v>0</v>
      </c>
      <c r="BL228" s="19" t="s">
        <v>281</v>
      </c>
      <c r="BM228" s="192" t="s">
        <v>1907</v>
      </c>
    </row>
    <row r="229" spans="1:65" s="2" customFormat="1" ht="16.5" customHeight="1">
      <c r="A229" s="36"/>
      <c r="B229" s="37"/>
      <c r="C229" s="181" t="s">
        <v>1117</v>
      </c>
      <c r="D229" s="181" t="s">
        <v>382</v>
      </c>
      <c r="E229" s="182" t="s">
        <v>4948</v>
      </c>
      <c r="F229" s="183" t="s">
        <v>4949</v>
      </c>
      <c r="G229" s="184" t="s">
        <v>2393</v>
      </c>
      <c r="H229" s="185">
        <v>1</v>
      </c>
      <c r="I229" s="186"/>
      <c r="J229" s="187">
        <f t="shared" si="70"/>
        <v>0</v>
      </c>
      <c r="K229" s="183" t="s">
        <v>19</v>
      </c>
      <c r="L229" s="41"/>
      <c r="M229" s="188" t="s">
        <v>19</v>
      </c>
      <c r="N229" s="189" t="s">
        <v>43</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281</v>
      </c>
      <c r="AT229" s="192" t="s">
        <v>382</v>
      </c>
      <c r="AU229" s="192" t="s">
        <v>79</v>
      </c>
      <c r="AY229" s="19" t="s">
        <v>380</v>
      </c>
      <c r="BE229" s="193">
        <f t="shared" si="74"/>
        <v>0</v>
      </c>
      <c r="BF229" s="193">
        <f t="shared" si="75"/>
        <v>0</v>
      </c>
      <c r="BG229" s="193">
        <f t="shared" si="76"/>
        <v>0</v>
      </c>
      <c r="BH229" s="193">
        <f t="shared" si="77"/>
        <v>0</v>
      </c>
      <c r="BI229" s="193">
        <f t="shared" si="78"/>
        <v>0</v>
      </c>
      <c r="BJ229" s="19" t="s">
        <v>79</v>
      </c>
      <c r="BK229" s="193">
        <f t="shared" si="79"/>
        <v>0</v>
      </c>
      <c r="BL229" s="19" t="s">
        <v>281</v>
      </c>
      <c r="BM229" s="192" t="s">
        <v>1915</v>
      </c>
    </row>
    <row r="230" spans="1:65" s="2" customFormat="1" ht="16.5" customHeight="1">
      <c r="A230" s="36"/>
      <c r="B230" s="37"/>
      <c r="C230" s="181" t="s">
        <v>1122</v>
      </c>
      <c r="D230" s="181" t="s">
        <v>382</v>
      </c>
      <c r="E230" s="182" t="s">
        <v>4950</v>
      </c>
      <c r="F230" s="183" t="s">
        <v>4951</v>
      </c>
      <c r="G230" s="184" t="s">
        <v>452</v>
      </c>
      <c r="H230" s="185">
        <v>710</v>
      </c>
      <c r="I230" s="186"/>
      <c r="J230" s="187">
        <f t="shared" si="70"/>
        <v>0</v>
      </c>
      <c r="K230" s="183" t="s">
        <v>19</v>
      </c>
      <c r="L230" s="41"/>
      <c r="M230" s="188" t="s">
        <v>19</v>
      </c>
      <c r="N230" s="189" t="s">
        <v>43</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281</v>
      </c>
      <c r="AT230" s="192" t="s">
        <v>382</v>
      </c>
      <c r="AU230" s="192" t="s">
        <v>79</v>
      </c>
      <c r="AY230" s="19" t="s">
        <v>380</v>
      </c>
      <c r="BE230" s="193">
        <f t="shared" si="74"/>
        <v>0</v>
      </c>
      <c r="BF230" s="193">
        <f t="shared" si="75"/>
        <v>0</v>
      </c>
      <c r="BG230" s="193">
        <f t="shared" si="76"/>
        <v>0</v>
      </c>
      <c r="BH230" s="193">
        <f t="shared" si="77"/>
        <v>0</v>
      </c>
      <c r="BI230" s="193">
        <f t="shared" si="78"/>
        <v>0</v>
      </c>
      <c r="BJ230" s="19" t="s">
        <v>79</v>
      </c>
      <c r="BK230" s="193">
        <f t="shared" si="79"/>
        <v>0</v>
      </c>
      <c r="BL230" s="19" t="s">
        <v>281</v>
      </c>
      <c r="BM230" s="192" t="s">
        <v>1923</v>
      </c>
    </row>
    <row r="231" spans="1:65" s="2" customFormat="1" ht="16.5" customHeight="1">
      <c r="A231" s="36"/>
      <c r="B231" s="37"/>
      <c r="C231" s="181" t="s">
        <v>1126</v>
      </c>
      <c r="D231" s="181" t="s">
        <v>382</v>
      </c>
      <c r="E231" s="182" t="s">
        <v>4952</v>
      </c>
      <c r="F231" s="183" t="s">
        <v>4953</v>
      </c>
      <c r="G231" s="184" t="s">
        <v>2393</v>
      </c>
      <c r="H231" s="185">
        <v>1</v>
      </c>
      <c r="I231" s="186"/>
      <c r="J231" s="187">
        <f t="shared" si="70"/>
        <v>0</v>
      </c>
      <c r="K231" s="183" t="s">
        <v>19</v>
      </c>
      <c r="L231" s="41"/>
      <c r="M231" s="188" t="s">
        <v>19</v>
      </c>
      <c r="N231" s="189" t="s">
        <v>43</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281</v>
      </c>
      <c r="AT231" s="192" t="s">
        <v>382</v>
      </c>
      <c r="AU231" s="192" t="s">
        <v>79</v>
      </c>
      <c r="AY231" s="19" t="s">
        <v>380</v>
      </c>
      <c r="BE231" s="193">
        <f t="shared" si="74"/>
        <v>0</v>
      </c>
      <c r="BF231" s="193">
        <f t="shared" si="75"/>
        <v>0</v>
      </c>
      <c r="BG231" s="193">
        <f t="shared" si="76"/>
        <v>0</v>
      </c>
      <c r="BH231" s="193">
        <f t="shared" si="77"/>
        <v>0</v>
      </c>
      <c r="BI231" s="193">
        <f t="shared" si="78"/>
        <v>0</v>
      </c>
      <c r="BJ231" s="19" t="s">
        <v>79</v>
      </c>
      <c r="BK231" s="193">
        <f t="shared" si="79"/>
        <v>0</v>
      </c>
      <c r="BL231" s="19" t="s">
        <v>281</v>
      </c>
      <c r="BM231" s="192" t="s">
        <v>1931</v>
      </c>
    </row>
    <row r="232" spans="1:65" s="2" customFormat="1" ht="16.5" customHeight="1">
      <c r="A232" s="36"/>
      <c r="B232" s="37"/>
      <c r="C232" s="181" t="s">
        <v>1131</v>
      </c>
      <c r="D232" s="181" t="s">
        <v>382</v>
      </c>
      <c r="E232" s="182" t="s">
        <v>4954</v>
      </c>
      <c r="F232" s="183" t="s">
        <v>4955</v>
      </c>
      <c r="G232" s="184" t="s">
        <v>2393</v>
      </c>
      <c r="H232" s="185">
        <v>1</v>
      </c>
      <c r="I232" s="186"/>
      <c r="J232" s="187">
        <f t="shared" si="70"/>
        <v>0</v>
      </c>
      <c r="K232" s="183" t="s">
        <v>19</v>
      </c>
      <c r="L232" s="41"/>
      <c r="M232" s="188" t="s">
        <v>19</v>
      </c>
      <c r="N232" s="189" t="s">
        <v>43</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281</v>
      </c>
      <c r="AT232" s="192" t="s">
        <v>382</v>
      </c>
      <c r="AU232" s="192" t="s">
        <v>79</v>
      </c>
      <c r="AY232" s="19" t="s">
        <v>380</v>
      </c>
      <c r="BE232" s="193">
        <f t="shared" si="74"/>
        <v>0</v>
      </c>
      <c r="BF232" s="193">
        <f t="shared" si="75"/>
        <v>0</v>
      </c>
      <c r="BG232" s="193">
        <f t="shared" si="76"/>
        <v>0</v>
      </c>
      <c r="BH232" s="193">
        <f t="shared" si="77"/>
        <v>0</v>
      </c>
      <c r="BI232" s="193">
        <f t="shared" si="78"/>
        <v>0</v>
      </c>
      <c r="BJ232" s="19" t="s">
        <v>79</v>
      </c>
      <c r="BK232" s="193">
        <f t="shared" si="79"/>
        <v>0</v>
      </c>
      <c r="BL232" s="19" t="s">
        <v>281</v>
      </c>
      <c r="BM232" s="192" t="s">
        <v>1939</v>
      </c>
    </row>
    <row r="233" spans="1:65" s="12" customFormat="1" ht="25.9" customHeight="1">
      <c r="B233" s="165"/>
      <c r="C233" s="166"/>
      <c r="D233" s="167" t="s">
        <v>71</v>
      </c>
      <c r="E233" s="168" t="s">
        <v>4956</v>
      </c>
      <c r="F233" s="168" t="s">
        <v>4957</v>
      </c>
      <c r="G233" s="166"/>
      <c r="H233" s="166"/>
      <c r="I233" s="169"/>
      <c r="J233" s="170">
        <f>BK233</f>
        <v>0</v>
      </c>
      <c r="K233" s="166"/>
      <c r="L233" s="171"/>
      <c r="M233" s="172"/>
      <c r="N233" s="173"/>
      <c r="O233" s="173"/>
      <c r="P233" s="174">
        <f>SUM(P234:P245)</f>
        <v>0</v>
      </c>
      <c r="Q233" s="173"/>
      <c r="R233" s="174">
        <f>SUM(R234:R245)</f>
        <v>0</v>
      </c>
      <c r="S233" s="173"/>
      <c r="T233" s="175">
        <f>SUM(T234:T245)</f>
        <v>0</v>
      </c>
      <c r="AR233" s="176" t="s">
        <v>82</v>
      </c>
      <c r="AT233" s="177" t="s">
        <v>71</v>
      </c>
      <c r="AU233" s="177" t="s">
        <v>72</v>
      </c>
      <c r="AY233" s="176" t="s">
        <v>380</v>
      </c>
      <c r="BK233" s="178">
        <f>SUM(BK234:BK245)</f>
        <v>0</v>
      </c>
    </row>
    <row r="234" spans="1:65" s="2" customFormat="1" ht="16.5" customHeight="1">
      <c r="A234" s="36"/>
      <c r="B234" s="37"/>
      <c r="C234" s="181" t="s">
        <v>1136</v>
      </c>
      <c r="D234" s="181" t="s">
        <v>382</v>
      </c>
      <c r="E234" s="182" t="s">
        <v>4958</v>
      </c>
      <c r="F234" s="183" t="s">
        <v>4959</v>
      </c>
      <c r="G234" s="184" t="s">
        <v>2393</v>
      </c>
      <c r="H234" s="185">
        <v>1</v>
      </c>
      <c r="I234" s="186"/>
      <c r="J234" s="187">
        <f t="shared" ref="J234:J245" si="80">ROUND(I234*H234,2)</f>
        <v>0</v>
      </c>
      <c r="K234" s="183" t="s">
        <v>19</v>
      </c>
      <c r="L234" s="41"/>
      <c r="M234" s="188" t="s">
        <v>19</v>
      </c>
      <c r="N234" s="189" t="s">
        <v>43</v>
      </c>
      <c r="O234" s="66"/>
      <c r="P234" s="190">
        <f t="shared" ref="P234:P245" si="81">O234*H234</f>
        <v>0</v>
      </c>
      <c r="Q234" s="190">
        <v>0</v>
      </c>
      <c r="R234" s="190">
        <f t="shared" ref="R234:R245" si="82">Q234*H234</f>
        <v>0</v>
      </c>
      <c r="S234" s="190">
        <v>0</v>
      </c>
      <c r="T234" s="191">
        <f t="shared" ref="T234:T245" si="83">S234*H234</f>
        <v>0</v>
      </c>
      <c r="U234" s="36"/>
      <c r="V234" s="36"/>
      <c r="W234" s="36"/>
      <c r="X234" s="36"/>
      <c r="Y234" s="36"/>
      <c r="Z234" s="36"/>
      <c r="AA234" s="36"/>
      <c r="AB234" s="36"/>
      <c r="AC234" s="36"/>
      <c r="AD234" s="36"/>
      <c r="AE234" s="36"/>
      <c r="AR234" s="192" t="s">
        <v>281</v>
      </c>
      <c r="AT234" s="192" t="s">
        <v>382</v>
      </c>
      <c r="AU234" s="192" t="s">
        <v>79</v>
      </c>
      <c r="AY234" s="19" t="s">
        <v>380</v>
      </c>
      <c r="BE234" s="193">
        <f t="shared" ref="BE234:BE245" si="84">IF(N234="základní",J234,0)</f>
        <v>0</v>
      </c>
      <c r="BF234" s="193">
        <f t="shared" ref="BF234:BF245" si="85">IF(N234="snížená",J234,0)</f>
        <v>0</v>
      </c>
      <c r="BG234" s="193">
        <f t="shared" ref="BG234:BG245" si="86">IF(N234="zákl. přenesená",J234,0)</f>
        <v>0</v>
      </c>
      <c r="BH234" s="193">
        <f t="shared" ref="BH234:BH245" si="87">IF(N234="sníž. přenesená",J234,0)</f>
        <v>0</v>
      </c>
      <c r="BI234" s="193">
        <f t="shared" ref="BI234:BI245" si="88">IF(N234="nulová",J234,0)</f>
        <v>0</v>
      </c>
      <c r="BJ234" s="19" t="s">
        <v>79</v>
      </c>
      <c r="BK234" s="193">
        <f t="shared" ref="BK234:BK245" si="89">ROUND(I234*H234,2)</f>
        <v>0</v>
      </c>
      <c r="BL234" s="19" t="s">
        <v>281</v>
      </c>
      <c r="BM234" s="192" t="s">
        <v>4960</v>
      </c>
    </row>
    <row r="235" spans="1:65" s="2" customFormat="1" ht="16.5" customHeight="1">
      <c r="A235" s="36"/>
      <c r="B235" s="37"/>
      <c r="C235" s="181" t="s">
        <v>1140</v>
      </c>
      <c r="D235" s="181" t="s">
        <v>382</v>
      </c>
      <c r="E235" s="182" t="s">
        <v>4961</v>
      </c>
      <c r="F235" s="183" t="s">
        <v>4962</v>
      </c>
      <c r="G235" s="184" t="s">
        <v>2393</v>
      </c>
      <c r="H235" s="185">
        <v>1</v>
      </c>
      <c r="I235" s="186"/>
      <c r="J235" s="187">
        <f t="shared" si="80"/>
        <v>0</v>
      </c>
      <c r="K235" s="183" t="s">
        <v>19</v>
      </c>
      <c r="L235" s="41"/>
      <c r="M235" s="188" t="s">
        <v>19</v>
      </c>
      <c r="N235" s="189" t="s">
        <v>43</v>
      </c>
      <c r="O235" s="66"/>
      <c r="P235" s="190">
        <f t="shared" si="81"/>
        <v>0</v>
      </c>
      <c r="Q235" s="190">
        <v>0</v>
      </c>
      <c r="R235" s="190">
        <f t="shared" si="82"/>
        <v>0</v>
      </c>
      <c r="S235" s="190">
        <v>0</v>
      </c>
      <c r="T235" s="191">
        <f t="shared" si="83"/>
        <v>0</v>
      </c>
      <c r="U235" s="36"/>
      <c r="V235" s="36"/>
      <c r="W235" s="36"/>
      <c r="X235" s="36"/>
      <c r="Y235" s="36"/>
      <c r="Z235" s="36"/>
      <c r="AA235" s="36"/>
      <c r="AB235" s="36"/>
      <c r="AC235" s="36"/>
      <c r="AD235" s="36"/>
      <c r="AE235" s="36"/>
      <c r="AR235" s="192" t="s">
        <v>281</v>
      </c>
      <c r="AT235" s="192" t="s">
        <v>382</v>
      </c>
      <c r="AU235" s="192" t="s">
        <v>79</v>
      </c>
      <c r="AY235" s="19" t="s">
        <v>380</v>
      </c>
      <c r="BE235" s="193">
        <f t="shared" si="84"/>
        <v>0</v>
      </c>
      <c r="BF235" s="193">
        <f t="shared" si="85"/>
        <v>0</v>
      </c>
      <c r="BG235" s="193">
        <f t="shared" si="86"/>
        <v>0</v>
      </c>
      <c r="BH235" s="193">
        <f t="shared" si="87"/>
        <v>0</v>
      </c>
      <c r="BI235" s="193">
        <f t="shared" si="88"/>
        <v>0</v>
      </c>
      <c r="BJ235" s="19" t="s">
        <v>79</v>
      </c>
      <c r="BK235" s="193">
        <f t="shared" si="89"/>
        <v>0</v>
      </c>
      <c r="BL235" s="19" t="s">
        <v>281</v>
      </c>
      <c r="BM235" s="192" t="s">
        <v>4963</v>
      </c>
    </row>
    <row r="236" spans="1:65" s="2" customFormat="1" ht="16.5" customHeight="1">
      <c r="A236" s="36"/>
      <c r="B236" s="37"/>
      <c r="C236" s="181" t="s">
        <v>1150</v>
      </c>
      <c r="D236" s="181" t="s">
        <v>382</v>
      </c>
      <c r="E236" s="182" t="s">
        <v>4964</v>
      </c>
      <c r="F236" s="183" t="s">
        <v>4965</v>
      </c>
      <c r="G236" s="184" t="s">
        <v>2393</v>
      </c>
      <c r="H236" s="185">
        <v>5</v>
      </c>
      <c r="I236" s="186"/>
      <c r="J236" s="187">
        <f t="shared" si="80"/>
        <v>0</v>
      </c>
      <c r="K236" s="183" t="s">
        <v>19</v>
      </c>
      <c r="L236" s="41"/>
      <c r="M236" s="188" t="s">
        <v>19</v>
      </c>
      <c r="N236" s="189" t="s">
        <v>43</v>
      </c>
      <c r="O236" s="66"/>
      <c r="P236" s="190">
        <f t="shared" si="81"/>
        <v>0</v>
      </c>
      <c r="Q236" s="190">
        <v>0</v>
      </c>
      <c r="R236" s="190">
        <f t="shared" si="82"/>
        <v>0</v>
      </c>
      <c r="S236" s="190">
        <v>0</v>
      </c>
      <c r="T236" s="191">
        <f t="shared" si="83"/>
        <v>0</v>
      </c>
      <c r="U236" s="36"/>
      <c r="V236" s="36"/>
      <c r="W236" s="36"/>
      <c r="X236" s="36"/>
      <c r="Y236" s="36"/>
      <c r="Z236" s="36"/>
      <c r="AA236" s="36"/>
      <c r="AB236" s="36"/>
      <c r="AC236" s="36"/>
      <c r="AD236" s="36"/>
      <c r="AE236" s="36"/>
      <c r="AR236" s="192" t="s">
        <v>281</v>
      </c>
      <c r="AT236" s="192" t="s">
        <v>382</v>
      </c>
      <c r="AU236" s="192" t="s">
        <v>79</v>
      </c>
      <c r="AY236" s="19" t="s">
        <v>380</v>
      </c>
      <c r="BE236" s="193">
        <f t="shared" si="84"/>
        <v>0</v>
      </c>
      <c r="BF236" s="193">
        <f t="shared" si="85"/>
        <v>0</v>
      </c>
      <c r="BG236" s="193">
        <f t="shared" si="86"/>
        <v>0</v>
      </c>
      <c r="BH236" s="193">
        <f t="shared" si="87"/>
        <v>0</v>
      </c>
      <c r="BI236" s="193">
        <f t="shared" si="88"/>
        <v>0</v>
      </c>
      <c r="BJ236" s="19" t="s">
        <v>79</v>
      </c>
      <c r="BK236" s="193">
        <f t="shared" si="89"/>
        <v>0</v>
      </c>
      <c r="BL236" s="19" t="s">
        <v>281</v>
      </c>
      <c r="BM236" s="192" t="s">
        <v>4966</v>
      </c>
    </row>
    <row r="237" spans="1:65" s="2" customFormat="1" ht="16.5" customHeight="1">
      <c r="A237" s="36"/>
      <c r="B237" s="37"/>
      <c r="C237" s="181" t="s">
        <v>1156</v>
      </c>
      <c r="D237" s="181" t="s">
        <v>382</v>
      </c>
      <c r="E237" s="182" t="s">
        <v>4967</v>
      </c>
      <c r="F237" s="183" t="s">
        <v>4968</v>
      </c>
      <c r="G237" s="184" t="s">
        <v>2393</v>
      </c>
      <c r="H237" s="185">
        <v>1</v>
      </c>
      <c r="I237" s="186"/>
      <c r="J237" s="187">
        <f t="shared" si="80"/>
        <v>0</v>
      </c>
      <c r="K237" s="183" t="s">
        <v>19</v>
      </c>
      <c r="L237" s="41"/>
      <c r="M237" s="188" t="s">
        <v>19</v>
      </c>
      <c r="N237" s="189" t="s">
        <v>43</v>
      </c>
      <c r="O237" s="66"/>
      <c r="P237" s="190">
        <f t="shared" si="81"/>
        <v>0</v>
      </c>
      <c r="Q237" s="190">
        <v>0</v>
      </c>
      <c r="R237" s="190">
        <f t="shared" si="82"/>
        <v>0</v>
      </c>
      <c r="S237" s="190">
        <v>0</v>
      </c>
      <c r="T237" s="191">
        <f t="shared" si="83"/>
        <v>0</v>
      </c>
      <c r="U237" s="36"/>
      <c r="V237" s="36"/>
      <c r="W237" s="36"/>
      <c r="X237" s="36"/>
      <c r="Y237" s="36"/>
      <c r="Z237" s="36"/>
      <c r="AA237" s="36"/>
      <c r="AB237" s="36"/>
      <c r="AC237" s="36"/>
      <c r="AD237" s="36"/>
      <c r="AE237" s="36"/>
      <c r="AR237" s="192" t="s">
        <v>281</v>
      </c>
      <c r="AT237" s="192" t="s">
        <v>382</v>
      </c>
      <c r="AU237" s="192" t="s">
        <v>79</v>
      </c>
      <c r="AY237" s="19" t="s">
        <v>380</v>
      </c>
      <c r="BE237" s="193">
        <f t="shared" si="84"/>
        <v>0</v>
      </c>
      <c r="BF237" s="193">
        <f t="shared" si="85"/>
        <v>0</v>
      </c>
      <c r="BG237" s="193">
        <f t="shared" si="86"/>
        <v>0</v>
      </c>
      <c r="BH237" s="193">
        <f t="shared" si="87"/>
        <v>0</v>
      </c>
      <c r="BI237" s="193">
        <f t="shared" si="88"/>
        <v>0</v>
      </c>
      <c r="BJ237" s="19" t="s">
        <v>79</v>
      </c>
      <c r="BK237" s="193">
        <f t="shared" si="89"/>
        <v>0</v>
      </c>
      <c r="BL237" s="19" t="s">
        <v>281</v>
      </c>
      <c r="BM237" s="192" t="s">
        <v>4969</v>
      </c>
    </row>
    <row r="238" spans="1:65" s="2" customFormat="1" ht="16.5" customHeight="1">
      <c r="A238" s="36"/>
      <c r="B238" s="37"/>
      <c r="C238" s="181" t="s">
        <v>1161</v>
      </c>
      <c r="D238" s="181" t="s">
        <v>382</v>
      </c>
      <c r="E238" s="182" t="s">
        <v>4970</v>
      </c>
      <c r="F238" s="183" t="s">
        <v>4971</v>
      </c>
      <c r="G238" s="184" t="s">
        <v>2393</v>
      </c>
      <c r="H238" s="185">
        <v>1</v>
      </c>
      <c r="I238" s="186"/>
      <c r="J238" s="187">
        <f t="shared" si="80"/>
        <v>0</v>
      </c>
      <c r="K238" s="183" t="s">
        <v>19</v>
      </c>
      <c r="L238" s="41"/>
      <c r="M238" s="188" t="s">
        <v>19</v>
      </c>
      <c r="N238" s="189" t="s">
        <v>43</v>
      </c>
      <c r="O238" s="66"/>
      <c r="P238" s="190">
        <f t="shared" si="81"/>
        <v>0</v>
      </c>
      <c r="Q238" s="190">
        <v>0</v>
      </c>
      <c r="R238" s="190">
        <f t="shared" si="82"/>
        <v>0</v>
      </c>
      <c r="S238" s="190">
        <v>0</v>
      </c>
      <c r="T238" s="191">
        <f t="shared" si="83"/>
        <v>0</v>
      </c>
      <c r="U238" s="36"/>
      <c r="V238" s="36"/>
      <c r="W238" s="36"/>
      <c r="X238" s="36"/>
      <c r="Y238" s="36"/>
      <c r="Z238" s="36"/>
      <c r="AA238" s="36"/>
      <c r="AB238" s="36"/>
      <c r="AC238" s="36"/>
      <c r="AD238" s="36"/>
      <c r="AE238" s="36"/>
      <c r="AR238" s="192" t="s">
        <v>281</v>
      </c>
      <c r="AT238" s="192" t="s">
        <v>382</v>
      </c>
      <c r="AU238" s="192" t="s">
        <v>79</v>
      </c>
      <c r="AY238" s="19" t="s">
        <v>380</v>
      </c>
      <c r="BE238" s="193">
        <f t="shared" si="84"/>
        <v>0</v>
      </c>
      <c r="BF238" s="193">
        <f t="shared" si="85"/>
        <v>0</v>
      </c>
      <c r="BG238" s="193">
        <f t="shared" si="86"/>
        <v>0</v>
      </c>
      <c r="BH238" s="193">
        <f t="shared" si="87"/>
        <v>0</v>
      </c>
      <c r="BI238" s="193">
        <f t="shared" si="88"/>
        <v>0</v>
      </c>
      <c r="BJ238" s="19" t="s">
        <v>79</v>
      </c>
      <c r="BK238" s="193">
        <f t="shared" si="89"/>
        <v>0</v>
      </c>
      <c r="BL238" s="19" t="s">
        <v>281</v>
      </c>
      <c r="BM238" s="192" t="s">
        <v>4972</v>
      </c>
    </row>
    <row r="239" spans="1:65" s="2" customFormat="1" ht="16.5" customHeight="1">
      <c r="A239" s="36"/>
      <c r="B239" s="37"/>
      <c r="C239" s="181" t="s">
        <v>1165</v>
      </c>
      <c r="D239" s="181" t="s">
        <v>382</v>
      </c>
      <c r="E239" s="182" t="s">
        <v>4973</v>
      </c>
      <c r="F239" s="183" t="s">
        <v>4974</v>
      </c>
      <c r="G239" s="184" t="s">
        <v>2393</v>
      </c>
      <c r="H239" s="185">
        <v>20</v>
      </c>
      <c r="I239" s="186"/>
      <c r="J239" s="187">
        <f t="shared" si="80"/>
        <v>0</v>
      </c>
      <c r="K239" s="183" t="s">
        <v>19</v>
      </c>
      <c r="L239" s="41"/>
      <c r="M239" s="188" t="s">
        <v>19</v>
      </c>
      <c r="N239" s="189" t="s">
        <v>43</v>
      </c>
      <c r="O239" s="66"/>
      <c r="P239" s="190">
        <f t="shared" si="81"/>
        <v>0</v>
      </c>
      <c r="Q239" s="190">
        <v>0</v>
      </c>
      <c r="R239" s="190">
        <f t="shared" si="82"/>
        <v>0</v>
      </c>
      <c r="S239" s="190">
        <v>0</v>
      </c>
      <c r="T239" s="191">
        <f t="shared" si="83"/>
        <v>0</v>
      </c>
      <c r="U239" s="36"/>
      <c r="V239" s="36"/>
      <c r="W239" s="36"/>
      <c r="X239" s="36"/>
      <c r="Y239" s="36"/>
      <c r="Z239" s="36"/>
      <c r="AA239" s="36"/>
      <c r="AB239" s="36"/>
      <c r="AC239" s="36"/>
      <c r="AD239" s="36"/>
      <c r="AE239" s="36"/>
      <c r="AR239" s="192" t="s">
        <v>281</v>
      </c>
      <c r="AT239" s="192" t="s">
        <v>382</v>
      </c>
      <c r="AU239" s="192" t="s">
        <v>79</v>
      </c>
      <c r="AY239" s="19" t="s">
        <v>380</v>
      </c>
      <c r="BE239" s="193">
        <f t="shared" si="84"/>
        <v>0</v>
      </c>
      <c r="BF239" s="193">
        <f t="shared" si="85"/>
        <v>0</v>
      </c>
      <c r="BG239" s="193">
        <f t="shared" si="86"/>
        <v>0</v>
      </c>
      <c r="BH239" s="193">
        <f t="shared" si="87"/>
        <v>0</v>
      </c>
      <c r="BI239" s="193">
        <f t="shared" si="88"/>
        <v>0</v>
      </c>
      <c r="BJ239" s="19" t="s">
        <v>79</v>
      </c>
      <c r="BK239" s="193">
        <f t="shared" si="89"/>
        <v>0</v>
      </c>
      <c r="BL239" s="19" t="s">
        <v>281</v>
      </c>
      <c r="BM239" s="192" t="s">
        <v>4975</v>
      </c>
    </row>
    <row r="240" spans="1:65" s="2" customFormat="1" ht="16.5" customHeight="1">
      <c r="A240" s="36"/>
      <c r="B240" s="37"/>
      <c r="C240" s="181" t="s">
        <v>1178</v>
      </c>
      <c r="D240" s="181" t="s">
        <v>382</v>
      </c>
      <c r="E240" s="182" t="s">
        <v>4976</v>
      </c>
      <c r="F240" s="183" t="s">
        <v>4943</v>
      </c>
      <c r="G240" s="184" t="s">
        <v>2393</v>
      </c>
      <c r="H240" s="185">
        <v>32</v>
      </c>
      <c r="I240" s="186"/>
      <c r="J240" s="187">
        <f t="shared" si="80"/>
        <v>0</v>
      </c>
      <c r="K240" s="183" t="s">
        <v>19</v>
      </c>
      <c r="L240" s="41"/>
      <c r="M240" s="188" t="s">
        <v>19</v>
      </c>
      <c r="N240" s="189" t="s">
        <v>43</v>
      </c>
      <c r="O240" s="66"/>
      <c r="P240" s="190">
        <f t="shared" si="81"/>
        <v>0</v>
      </c>
      <c r="Q240" s="190">
        <v>0</v>
      </c>
      <c r="R240" s="190">
        <f t="shared" si="82"/>
        <v>0</v>
      </c>
      <c r="S240" s="190">
        <v>0</v>
      </c>
      <c r="T240" s="191">
        <f t="shared" si="83"/>
        <v>0</v>
      </c>
      <c r="U240" s="36"/>
      <c r="V240" s="36"/>
      <c r="W240" s="36"/>
      <c r="X240" s="36"/>
      <c r="Y240" s="36"/>
      <c r="Z240" s="36"/>
      <c r="AA240" s="36"/>
      <c r="AB240" s="36"/>
      <c r="AC240" s="36"/>
      <c r="AD240" s="36"/>
      <c r="AE240" s="36"/>
      <c r="AR240" s="192" t="s">
        <v>281</v>
      </c>
      <c r="AT240" s="192" t="s">
        <v>382</v>
      </c>
      <c r="AU240" s="192" t="s">
        <v>79</v>
      </c>
      <c r="AY240" s="19" t="s">
        <v>380</v>
      </c>
      <c r="BE240" s="193">
        <f t="shared" si="84"/>
        <v>0</v>
      </c>
      <c r="BF240" s="193">
        <f t="shared" si="85"/>
        <v>0</v>
      </c>
      <c r="BG240" s="193">
        <f t="shared" si="86"/>
        <v>0</v>
      </c>
      <c r="BH240" s="193">
        <f t="shared" si="87"/>
        <v>0</v>
      </c>
      <c r="BI240" s="193">
        <f t="shared" si="88"/>
        <v>0</v>
      </c>
      <c r="BJ240" s="19" t="s">
        <v>79</v>
      </c>
      <c r="BK240" s="193">
        <f t="shared" si="89"/>
        <v>0</v>
      </c>
      <c r="BL240" s="19" t="s">
        <v>281</v>
      </c>
      <c r="BM240" s="192" t="s">
        <v>4977</v>
      </c>
    </row>
    <row r="241" spans="1:65" s="2" customFormat="1" ht="16.5" customHeight="1">
      <c r="A241" s="36"/>
      <c r="B241" s="37"/>
      <c r="C241" s="181" t="s">
        <v>1183</v>
      </c>
      <c r="D241" s="181" t="s">
        <v>382</v>
      </c>
      <c r="E241" s="182" t="s">
        <v>4978</v>
      </c>
      <c r="F241" s="183" t="s">
        <v>4979</v>
      </c>
      <c r="G241" s="184" t="s">
        <v>2393</v>
      </c>
      <c r="H241" s="185">
        <v>4</v>
      </c>
      <c r="I241" s="186"/>
      <c r="J241" s="187">
        <f t="shared" si="80"/>
        <v>0</v>
      </c>
      <c r="K241" s="183" t="s">
        <v>19</v>
      </c>
      <c r="L241" s="41"/>
      <c r="M241" s="188" t="s">
        <v>19</v>
      </c>
      <c r="N241" s="189" t="s">
        <v>43</v>
      </c>
      <c r="O241" s="66"/>
      <c r="P241" s="190">
        <f t="shared" si="81"/>
        <v>0</v>
      </c>
      <c r="Q241" s="190">
        <v>0</v>
      </c>
      <c r="R241" s="190">
        <f t="shared" si="82"/>
        <v>0</v>
      </c>
      <c r="S241" s="190">
        <v>0</v>
      </c>
      <c r="T241" s="191">
        <f t="shared" si="83"/>
        <v>0</v>
      </c>
      <c r="U241" s="36"/>
      <c r="V241" s="36"/>
      <c r="W241" s="36"/>
      <c r="X241" s="36"/>
      <c r="Y241" s="36"/>
      <c r="Z241" s="36"/>
      <c r="AA241" s="36"/>
      <c r="AB241" s="36"/>
      <c r="AC241" s="36"/>
      <c r="AD241" s="36"/>
      <c r="AE241" s="36"/>
      <c r="AR241" s="192" t="s">
        <v>281</v>
      </c>
      <c r="AT241" s="192" t="s">
        <v>382</v>
      </c>
      <c r="AU241" s="192" t="s">
        <v>79</v>
      </c>
      <c r="AY241" s="19" t="s">
        <v>380</v>
      </c>
      <c r="BE241" s="193">
        <f t="shared" si="84"/>
        <v>0</v>
      </c>
      <c r="BF241" s="193">
        <f t="shared" si="85"/>
        <v>0</v>
      </c>
      <c r="BG241" s="193">
        <f t="shared" si="86"/>
        <v>0</v>
      </c>
      <c r="BH241" s="193">
        <f t="shared" si="87"/>
        <v>0</v>
      </c>
      <c r="BI241" s="193">
        <f t="shared" si="88"/>
        <v>0</v>
      </c>
      <c r="BJ241" s="19" t="s">
        <v>79</v>
      </c>
      <c r="BK241" s="193">
        <f t="shared" si="89"/>
        <v>0</v>
      </c>
      <c r="BL241" s="19" t="s">
        <v>281</v>
      </c>
      <c r="BM241" s="192" t="s">
        <v>4980</v>
      </c>
    </row>
    <row r="242" spans="1:65" s="2" customFormat="1" ht="16.5" customHeight="1">
      <c r="A242" s="36"/>
      <c r="B242" s="37"/>
      <c r="C242" s="181" t="s">
        <v>1188</v>
      </c>
      <c r="D242" s="181" t="s">
        <v>382</v>
      </c>
      <c r="E242" s="182" t="s">
        <v>4981</v>
      </c>
      <c r="F242" s="183" t="s">
        <v>4982</v>
      </c>
      <c r="G242" s="184" t="s">
        <v>2393</v>
      </c>
      <c r="H242" s="185">
        <v>1</v>
      </c>
      <c r="I242" s="186"/>
      <c r="J242" s="187">
        <f t="shared" si="80"/>
        <v>0</v>
      </c>
      <c r="K242" s="183" t="s">
        <v>19</v>
      </c>
      <c r="L242" s="41"/>
      <c r="M242" s="188" t="s">
        <v>19</v>
      </c>
      <c r="N242" s="189" t="s">
        <v>43</v>
      </c>
      <c r="O242" s="66"/>
      <c r="P242" s="190">
        <f t="shared" si="81"/>
        <v>0</v>
      </c>
      <c r="Q242" s="190">
        <v>0</v>
      </c>
      <c r="R242" s="190">
        <f t="shared" si="82"/>
        <v>0</v>
      </c>
      <c r="S242" s="190">
        <v>0</v>
      </c>
      <c r="T242" s="191">
        <f t="shared" si="83"/>
        <v>0</v>
      </c>
      <c r="U242" s="36"/>
      <c r="V242" s="36"/>
      <c r="W242" s="36"/>
      <c r="X242" s="36"/>
      <c r="Y242" s="36"/>
      <c r="Z242" s="36"/>
      <c r="AA242" s="36"/>
      <c r="AB242" s="36"/>
      <c r="AC242" s="36"/>
      <c r="AD242" s="36"/>
      <c r="AE242" s="36"/>
      <c r="AR242" s="192" t="s">
        <v>281</v>
      </c>
      <c r="AT242" s="192" t="s">
        <v>382</v>
      </c>
      <c r="AU242" s="192" t="s">
        <v>79</v>
      </c>
      <c r="AY242" s="19" t="s">
        <v>380</v>
      </c>
      <c r="BE242" s="193">
        <f t="shared" si="84"/>
        <v>0</v>
      </c>
      <c r="BF242" s="193">
        <f t="shared" si="85"/>
        <v>0</v>
      </c>
      <c r="BG242" s="193">
        <f t="shared" si="86"/>
        <v>0</v>
      </c>
      <c r="BH242" s="193">
        <f t="shared" si="87"/>
        <v>0</v>
      </c>
      <c r="BI242" s="193">
        <f t="shared" si="88"/>
        <v>0</v>
      </c>
      <c r="BJ242" s="19" t="s">
        <v>79</v>
      </c>
      <c r="BK242" s="193">
        <f t="shared" si="89"/>
        <v>0</v>
      </c>
      <c r="BL242" s="19" t="s">
        <v>281</v>
      </c>
      <c r="BM242" s="192" t="s">
        <v>4983</v>
      </c>
    </row>
    <row r="243" spans="1:65" s="2" customFormat="1" ht="16.5" customHeight="1">
      <c r="A243" s="36"/>
      <c r="B243" s="37"/>
      <c r="C243" s="181" t="s">
        <v>1193</v>
      </c>
      <c r="D243" s="181" t="s">
        <v>382</v>
      </c>
      <c r="E243" s="182" t="s">
        <v>4984</v>
      </c>
      <c r="F243" s="183" t="s">
        <v>4985</v>
      </c>
      <c r="G243" s="184" t="s">
        <v>452</v>
      </c>
      <c r="H243" s="185">
        <v>410</v>
      </c>
      <c r="I243" s="186"/>
      <c r="J243" s="187">
        <f t="shared" si="80"/>
        <v>0</v>
      </c>
      <c r="K243" s="183" t="s">
        <v>19</v>
      </c>
      <c r="L243" s="41"/>
      <c r="M243" s="188" t="s">
        <v>19</v>
      </c>
      <c r="N243" s="189" t="s">
        <v>43</v>
      </c>
      <c r="O243" s="66"/>
      <c r="P243" s="190">
        <f t="shared" si="81"/>
        <v>0</v>
      </c>
      <c r="Q243" s="190">
        <v>0</v>
      </c>
      <c r="R243" s="190">
        <f t="shared" si="82"/>
        <v>0</v>
      </c>
      <c r="S243" s="190">
        <v>0</v>
      </c>
      <c r="T243" s="191">
        <f t="shared" si="83"/>
        <v>0</v>
      </c>
      <c r="U243" s="36"/>
      <c r="V243" s="36"/>
      <c r="W243" s="36"/>
      <c r="X243" s="36"/>
      <c r="Y243" s="36"/>
      <c r="Z243" s="36"/>
      <c r="AA243" s="36"/>
      <c r="AB243" s="36"/>
      <c r="AC243" s="36"/>
      <c r="AD243" s="36"/>
      <c r="AE243" s="36"/>
      <c r="AR243" s="192" t="s">
        <v>281</v>
      </c>
      <c r="AT243" s="192" t="s">
        <v>382</v>
      </c>
      <c r="AU243" s="192" t="s">
        <v>79</v>
      </c>
      <c r="AY243" s="19" t="s">
        <v>380</v>
      </c>
      <c r="BE243" s="193">
        <f t="shared" si="84"/>
        <v>0</v>
      </c>
      <c r="BF243" s="193">
        <f t="shared" si="85"/>
        <v>0</v>
      </c>
      <c r="BG243" s="193">
        <f t="shared" si="86"/>
        <v>0</v>
      </c>
      <c r="BH243" s="193">
        <f t="shared" si="87"/>
        <v>0</v>
      </c>
      <c r="BI243" s="193">
        <f t="shared" si="88"/>
        <v>0</v>
      </c>
      <c r="BJ243" s="19" t="s">
        <v>79</v>
      </c>
      <c r="BK243" s="193">
        <f t="shared" si="89"/>
        <v>0</v>
      </c>
      <c r="BL243" s="19" t="s">
        <v>281</v>
      </c>
      <c r="BM243" s="192" t="s">
        <v>4986</v>
      </c>
    </row>
    <row r="244" spans="1:65" s="2" customFormat="1" ht="16.5" customHeight="1">
      <c r="A244" s="36"/>
      <c r="B244" s="37"/>
      <c r="C244" s="181" t="s">
        <v>1203</v>
      </c>
      <c r="D244" s="181" t="s">
        <v>382</v>
      </c>
      <c r="E244" s="182" t="s">
        <v>4987</v>
      </c>
      <c r="F244" s="183" t="s">
        <v>4988</v>
      </c>
      <c r="G244" s="184" t="s">
        <v>2393</v>
      </c>
      <c r="H244" s="185">
        <v>1</v>
      </c>
      <c r="I244" s="186"/>
      <c r="J244" s="187">
        <f t="shared" si="80"/>
        <v>0</v>
      </c>
      <c r="K244" s="183" t="s">
        <v>19</v>
      </c>
      <c r="L244" s="41"/>
      <c r="M244" s="188" t="s">
        <v>19</v>
      </c>
      <c r="N244" s="189" t="s">
        <v>43</v>
      </c>
      <c r="O244" s="66"/>
      <c r="P244" s="190">
        <f t="shared" si="81"/>
        <v>0</v>
      </c>
      <c r="Q244" s="190">
        <v>0</v>
      </c>
      <c r="R244" s="190">
        <f t="shared" si="82"/>
        <v>0</v>
      </c>
      <c r="S244" s="190">
        <v>0</v>
      </c>
      <c r="T244" s="191">
        <f t="shared" si="83"/>
        <v>0</v>
      </c>
      <c r="U244" s="36"/>
      <c r="V244" s="36"/>
      <c r="W244" s="36"/>
      <c r="X244" s="36"/>
      <c r="Y244" s="36"/>
      <c r="Z244" s="36"/>
      <c r="AA244" s="36"/>
      <c r="AB244" s="36"/>
      <c r="AC244" s="36"/>
      <c r="AD244" s="36"/>
      <c r="AE244" s="36"/>
      <c r="AR244" s="192" t="s">
        <v>281</v>
      </c>
      <c r="AT244" s="192" t="s">
        <v>382</v>
      </c>
      <c r="AU244" s="192" t="s">
        <v>79</v>
      </c>
      <c r="AY244" s="19" t="s">
        <v>380</v>
      </c>
      <c r="BE244" s="193">
        <f t="shared" si="84"/>
        <v>0</v>
      </c>
      <c r="BF244" s="193">
        <f t="shared" si="85"/>
        <v>0</v>
      </c>
      <c r="BG244" s="193">
        <f t="shared" si="86"/>
        <v>0</v>
      </c>
      <c r="BH244" s="193">
        <f t="shared" si="87"/>
        <v>0</v>
      </c>
      <c r="BI244" s="193">
        <f t="shared" si="88"/>
        <v>0</v>
      </c>
      <c r="BJ244" s="19" t="s">
        <v>79</v>
      </c>
      <c r="BK244" s="193">
        <f t="shared" si="89"/>
        <v>0</v>
      </c>
      <c r="BL244" s="19" t="s">
        <v>281</v>
      </c>
      <c r="BM244" s="192" t="s">
        <v>4989</v>
      </c>
    </row>
    <row r="245" spans="1:65" s="2" customFormat="1" ht="16.5" customHeight="1">
      <c r="A245" s="36"/>
      <c r="B245" s="37"/>
      <c r="C245" s="181" t="s">
        <v>1209</v>
      </c>
      <c r="D245" s="181" t="s">
        <v>382</v>
      </c>
      <c r="E245" s="182" t="s">
        <v>4990</v>
      </c>
      <c r="F245" s="183" t="s">
        <v>4991</v>
      </c>
      <c r="G245" s="184" t="s">
        <v>2393</v>
      </c>
      <c r="H245" s="185">
        <v>1</v>
      </c>
      <c r="I245" s="186"/>
      <c r="J245" s="187">
        <f t="shared" si="80"/>
        <v>0</v>
      </c>
      <c r="K245" s="183" t="s">
        <v>19</v>
      </c>
      <c r="L245" s="41"/>
      <c r="M245" s="188" t="s">
        <v>19</v>
      </c>
      <c r="N245" s="189" t="s">
        <v>43</v>
      </c>
      <c r="O245" s="66"/>
      <c r="P245" s="190">
        <f t="shared" si="81"/>
        <v>0</v>
      </c>
      <c r="Q245" s="190">
        <v>0</v>
      </c>
      <c r="R245" s="190">
        <f t="shared" si="82"/>
        <v>0</v>
      </c>
      <c r="S245" s="190">
        <v>0</v>
      </c>
      <c r="T245" s="191">
        <f t="shared" si="83"/>
        <v>0</v>
      </c>
      <c r="U245" s="36"/>
      <c r="V245" s="36"/>
      <c r="W245" s="36"/>
      <c r="X245" s="36"/>
      <c r="Y245" s="36"/>
      <c r="Z245" s="36"/>
      <c r="AA245" s="36"/>
      <c r="AB245" s="36"/>
      <c r="AC245" s="36"/>
      <c r="AD245" s="36"/>
      <c r="AE245" s="36"/>
      <c r="AR245" s="192" t="s">
        <v>281</v>
      </c>
      <c r="AT245" s="192" t="s">
        <v>382</v>
      </c>
      <c r="AU245" s="192" t="s">
        <v>79</v>
      </c>
      <c r="AY245" s="19" t="s">
        <v>380</v>
      </c>
      <c r="BE245" s="193">
        <f t="shared" si="84"/>
        <v>0</v>
      </c>
      <c r="BF245" s="193">
        <f t="shared" si="85"/>
        <v>0</v>
      </c>
      <c r="BG245" s="193">
        <f t="shared" si="86"/>
        <v>0</v>
      </c>
      <c r="BH245" s="193">
        <f t="shared" si="87"/>
        <v>0</v>
      </c>
      <c r="BI245" s="193">
        <f t="shared" si="88"/>
        <v>0</v>
      </c>
      <c r="BJ245" s="19" t="s">
        <v>79</v>
      </c>
      <c r="BK245" s="193">
        <f t="shared" si="89"/>
        <v>0</v>
      </c>
      <c r="BL245" s="19" t="s">
        <v>281</v>
      </c>
      <c r="BM245" s="192" t="s">
        <v>4992</v>
      </c>
    </row>
    <row r="246" spans="1:65" s="12" customFormat="1" ht="25.9" customHeight="1">
      <c r="B246" s="165"/>
      <c r="C246" s="166"/>
      <c r="D246" s="167" t="s">
        <v>71</v>
      </c>
      <c r="E246" s="168" t="s">
        <v>411</v>
      </c>
      <c r="F246" s="168" t="s">
        <v>4993</v>
      </c>
      <c r="G246" s="166"/>
      <c r="H246" s="166"/>
      <c r="I246" s="169"/>
      <c r="J246" s="170">
        <f>BK246</f>
        <v>0</v>
      </c>
      <c r="K246" s="166"/>
      <c r="L246" s="171"/>
      <c r="M246" s="172"/>
      <c r="N246" s="173"/>
      <c r="O246" s="173"/>
      <c r="P246" s="174">
        <f>SUM(P247:P250)</f>
        <v>0</v>
      </c>
      <c r="Q246" s="173"/>
      <c r="R246" s="174">
        <f>SUM(R247:R250)</f>
        <v>0</v>
      </c>
      <c r="S246" s="173"/>
      <c r="T246" s="175">
        <f>SUM(T247:T250)</f>
        <v>0</v>
      </c>
      <c r="AR246" s="176" t="s">
        <v>79</v>
      </c>
      <c r="AT246" s="177" t="s">
        <v>71</v>
      </c>
      <c r="AU246" s="177" t="s">
        <v>72</v>
      </c>
      <c r="AY246" s="176" t="s">
        <v>380</v>
      </c>
      <c r="BK246" s="178">
        <f>SUM(BK247:BK250)</f>
        <v>0</v>
      </c>
    </row>
    <row r="247" spans="1:65" s="2" customFormat="1" ht="37.9" customHeight="1">
      <c r="A247" s="36"/>
      <c r="B247" s="37"/>
      <c r="C247" s="181" t="s">
        <v>1215</v>
      </c>
      <c r="D247" s="181" t="s">
        <v>382</v>
      </c>
      <c r="E247" s="182" t="s">
        <v>4994</v>
      </c>
      <c r="F247" s="183" t="s">
        <v>4995</v>
      </c>
      <c r="G247" s="184" t="s">
        <v>2393</v>
      </c>
      <c r="H247" s="185">
        <v>2</v>
      </c>
      <c r="I247" s="186"/>
      <c r="J247" s="187">
        <f>ROUND(I247*H247,2)</f>
        <v>0</v>
      </c>
      <c r="K247" s="183" t="s">
        <v>19</v>
      </c>
      <c r="L247" s="41"/>
      <c r="M247" s="188" t="s">
        <v>19</v>
      </c>
      <c r="N247" s="189" t="s">
        <v>43</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281</v>
      </c>
      <c r="AT247" s="192" t="s">
        <v>382</v>
      </c>
      <c r="AU247" s="192" t="s">
        <v>79</v>
      </c>
      <c r="AY247" s="19" t="s">
        <v>380</v>
      </c>
      <c r="BE247" s="193">
        <f>IF(N247="základní",J247,0)</f>
        <v>0</v>
      </c>
      <c r="BF247" s="193">
        <f>IF(N247="snížená",J247,0)</f>
        <v>0</v>
      </c>
      <c r="BG247" s="193">
        <f>IF(N247="zákl. přenesená",J247,0)</f>
        <v>0</v>
      </c>
      <c r="BH247" s="193">
        <f>IF(N247="sníž. přenesená",J247,0)</f>
        <v>0</v>
      </c>
      <c r="BI247" s="193">
        <f>IF(N247="nulová",J247,0)</f>
        <v>0</v>
      </c>
      <c r="BJ247" s="19" t="s">
        <v>79</v>
      </c>
      <c r="BK247" s="193">
        <f>ROUND(I247*H247,2)</f>
        <v>0</v>
      </c>
      <c r="BL247" s="19" t="s">
        <v>281</v>
      </c>
      <c r="BM247" s="192" t="s">
        <v>1947</v>
      </c>
    </row>
    <row r="248" spans="1:65" s="2" customFormat="1" ht="16.5" customHeight="1">
      <c r="A248" s="36"/>
      <c r="B248" s="37"/>
      <c r="C248" s="181" t="s">
        <v>1222</v>
      </c>
      <c r="D248" s="181" t="s">
        <v>382</v>
      </c>
      <c r="E248" s="182" t="s">
        <v>4996</v>
      </c>
      <c r="F248" s="183" t="s">
        <v>4997</v>
      </c>
      <c r="G248" s="184" t="s">
        <v>452</v>
      </c>
      <c r="H248" s="185">
        <v>150</v>
      </c>
      <c r="I248" s="186"/>
      <c r="J248" s="187">
        <f>ROUND(I248*H248,2)</f>
        <v>0</v>
      </c>
      <c r="K248" s="183" t="s">
        <v>19</v>
      </c>
      <c r="L248" s="41"/>
      <c r="M248" s="188" t="s">
        <v>19</v>
      </c>
      <c r="N248" s="189" t="s">
        <v>43</v>
      </c>
      <c r="O248" s="66"/>
      <c r="P248" s="190">
        <f>O248*H248</f>
        <v>0</v>
      </c>
      <c r="Q248" s="190">
        <v>0</v>
      </c>
      <c r="R248" s="190">
        <f>Q248*H248</f>
        <v>0</v>
      </c>
      <c r="S248" s="190">
        <v>0</v>
      </c>
      <c r="T248" s="191">
        <f>S248*H248</f>
        <v>0</v>
      </c>
      <c r="U248" s="36"/>
      <c r="V248" s="36"/>
      <c r="W248" s="36"/>
      <c r="X248" s="36"/>
      <c r="Y248" s="36"/>
      <c r="Z248" s="36"/>
      <c r="AA248" s="36"/>
      <c r="AB248" s="36"/>
      <c r="AC248" s="36"/>
      <c r="AD248" s="36"/>
      <c r="AE248" s="36"/>
      <c r="AR248" s="192" t="s">
        <v>281</v>
      </c>
      <c r="AT248" s="192" t="s">
        <v>382</v>
      </c>
      <c r="AU248" s="192" t="s">
        <v>79</v>
      </c>
      <c r="AY248" s="19" t="s">
        <v>380</v>
      </c>
      <c r="BE248" s="193">
        <f>IF(N248="základní",J248,0)</f>
        <v>0</v>
      </c>
      <c r="BF248" s="193">
        <f>IF(N248="snížená",J248,0)</f>
        <v>0</v>
      </c>
      <c r="BG248" s="193">
        <f>IF(N248="zákl. přenesená",J248,0)</f>
        <v>0</v>
      </c>
      <c r="BH248" s="193">
        <f>IF(N248="sníž. přenesená",J248,0)</f>
        <v>0</v>
      </c>
      <c r="BI248" s="193">
        <f>IF(N248="nulová",J248,0)</f>
        <v>0</v>
      </c>
      <c r="BJ248" s="19" t="s">
        <v>79</v>
      </c>
      <c r="BK248" s="193">
        <f>ROUND(I248*H248,2)</f>
        <v>0</v>
      </c>
      <c r="BL248" s="19" t="s">
        <v>281</v>
      </c>
      <c r="BM248" s="192" t="s">
        <v>1955</v>
      </c>
    </row>
    <row r="249" spans="1:65" s="2" customFormat="1" ht="16.5" customHeight="1">
      <c r="A249" s="36"/>
      <c r="B249" s="37"/>
      <c r="C249" s="181" t="s">
        <v>1234</v>
      </c>
      <c r="D249" s="181" t="s">
        <v>382</v>
      </c>
      <c r="E249" s="182" t="s">
        <v>4998</v>
      </c>
      <c r="F249" s="183" t="s">
        <v>4999</v>
      </c>
      <c r="G249" s="184" t="s">
        <v>2393</v>
      </c>
      <c r="H249" s="185">
        <v>10</v>
      </c>
      <c r="I249" s="186"/>
      <c r="J249" s="187">
        <f>ROUND(I249*H249,2)</f>
        <v>0</v>
      </c>
      <c r="K249" s="183" t="s">
        <v>19</v>
      </c>
      <c r="L249" s="41"/>
      <c r="M249" s="188" t="s">
        <v>19</v>
      </c>
      <c r="N249" s="189" t="s">
        <v>43</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281</v>
      </c>
      <c r="AT249" s="192" t="s">
        <v>382</v>
      </c>
      <c r="AU249" s="192" t="s">
        <v>79</v>
      </c>
      <c r="AY249" s="19" t="s">
        <v>380</v>
      </c>
      <c r="BE249" s="193">
        <f>IF(N249="základní",J249,0)</f>
        <v>0</v>
      </c>
      <c r="BF249" s="193">
        <f>IF(N249="snížená",J249,0)</f>
        <v>0</v>
      </c>
      <c r="BG249" s="193">
        <f>IF(N249="zákl. přenesená",J249,0)</f>
        <v>0</v>
      </c>
      <c r="BH249" s="193">
        <f>IF(N249="sníž. přenesená",J249,0)</f>
        <v>0</v>
      </c>
      <c r="BI249" s="193">
        <f>IF(N249="nulová",J249,0)</f>
        <v>0</v>
      </c>
      <c r="BJ249" s="19" t="s">
        <v>79</v>
      </c>
      <c r="BK249" s="193">
        <f>ROUND(I249*H249,2)</f>
        <v>0</v>
      </c>
      <c r="BL249" s="19" t="s">
        <v>281</v>
      </c>
      <c r="BM249" s="192" t="s">
        <v>1963</v>
      </c>
    </row>
    <row r="250" spans="1:65" s="2" customFormat="1" ht="16.5" customHeight="1">
      <c r="A250" s="36"/>
      <c r="B250" s="37"/>
      <c r="C250" s="181" t="s">
        <v>1239</v>
      </c>
      <c r="D250" s="181" t="s">
        <v>382</v>
      </c>
      <c r="E250" s="182" t="s">
        <v>5000</v>
      </c>
      <c r="F250" s="183" t="s">
        <v>4955</v>
      </c>
      <c r="G250" s="184" t="s">
        <v>2393</v>
      </c>
      <c r="H250" s="185">
        <v>1</v>
      </c>
      <c r="I250" s="186"/>
      <c r="J250" s="187">
        <f>ROUND(I250*H250,2)</f>
        <v>0</v>
      </c>
      <c r="K250" s="183" t="s">
        <v>19</v>
      </c>
      <c r="L250" s="41"/>
      <c r="M250" s="188" t="s">
        <v>19</v>
      </c>
      <c r="N250" s="189"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281</v>
      </c>
      <c r="AT250" s="192" t="s">
        <v>382</v>
      </c>
      <c r="AU250" s="192" t="s">
        <v>79</v>
      </c>
      <c r="AY250" s="19" t="s">
        <v>380</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281</v>
      </c>
      <c r="BM250" s="192" t="s">
        <v>1971</v>
      </c>
    </row>
    <row r="251" spans="1:65" s="12" customFormat="1" ht="25.9" customHeight="1">
      <c r="B251" s="165"/>
      <c r="C251" s="166"/>
      <c r="D251" s="167" t="s">
        <v>71</v>
      </c>
      <c r="E251" s="168" t="s">
        <v>5001</v>
      </c>
      <c r="F251" s="168" t="s">
        <v>5002</v>
      </c>
      <c r="G251" s="166"/>
      <c r="H251" s="166"/>
      <c r="I251" s="169"/>
      <c r="J251" s="170">
        <f>BK251</f>
        <v>0</v>
      </c>
      <c r="K251" s="166"/>
      <c r="L251" s="171"/>
      <c r="M251" s="172"/>
      <c r="N251" s="173"/>
      <c r="O251" s="173"/>
      <c r="P251" s="174">
        <f>SUM(P252:P254)</f>
        <v>0</v>
      </c>
      <c r="Q251" s="173"/>
      <c r="R251" s="174">
        <f>SUM(R252:R254)</f>
        <v>0</v>
      </c>
      <c r="S251" s="173"/>
      <c r="T251" s="175">
        <f>SUM(T252:T254)</f>
        <v>0</v>
      </c>
      <c r="AR251" s="176" t="s">
        <v>79</v>
      </c>
      <c r="AT251" s="177" t="s">
        <v>71</v>
      </c>
      <c r="AU251" s="177" t="s">
        <v>72</v>
      </c>
      <c r="AY251" s="176" t="s">
        <v>380</v>
      </c>
      <c r="BK251" s="178">
        <f>SUM(BK252:BK254)</f>
        <v>0</v>
      </c>
    </row>
    <row r="252" spans="1:65" s="2" customFormat="1" ht="16.5" customHeight="1">
      <c r="A252" s="36"/>
      <c r="B252" s="37"/>
      <c r="C252" s="181" t="s">
        <v>1245</v>
      </c>
      <c r="D252" s="181" t="s">
        <v>382</v>
      </c>
      <c r="E252" s="182" t="s">
        <v>5003</v>
      </c>
      <c r="F252" s="183" t="s">
        <v>5004</v>
      </c>
      <c r="G252" s="184" t="s">
        <v>2393</v>
      </c>
      <c r="H252" s="185">
        <v>12</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281</v>
      </c>
      <c r="AT252" s="192" t="s">
        <v>382</v>
      </c>
      <c r="AU252" s="192" t="s">
        <v>79</v>
      </c>
      <c r="AY252" s="19" t="s">
        <v>380</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281</v>
      </c>
      <c r="BM252" s="192" t="s">
        <v>1979</v>
      </c>
    </row>
    <row r="253" spans="1:65" s="2" customFormat="1" ht="16.5" customHeight="1">
      <c r="A253" s="36"/>
      <c r="B253" s="37"/>
      <c r="C253" s="181" t="s">
        <v>1251</v>
      </c>
      <c r="D253" s="181" t="s">
        <v>382</v>
      </c>
      <c r="E253" s="182" t="s">
        <v>5005</v>
      </c>
      <c r="F253" s="183" t="s">
        <v>4985</v>
      </c>
      <c r="G253" s="184" t="s">
        <v>452</v>
      </c>
      <c r="H253" s="185">
        <v>150</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281</v>
      </c>
      <c r="AT253" s="192" t="s">
        <v>382</v>
      </c>
      <c r="AU253" s="192" t="s">
        <v>79</v>
      </c>
      <c r="AY253" s="19" t="s">
        <v>380</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281</v>
      </c>
      <c r="BM253" s="192" t="s">
        <v>1987</v>
      </c>
    </row>
    <row r="254" spans="1:65" s="2" customFormat="1" ht="16.5" customHeight="1">
      <c r="A254" s="36"/>
      <c r="B254" s="37"/>
      <c r="C254" s="181" t="s">
        <v>1256</v>
      </c>
      <c r="D254" s="181" t="s">
        <v>382</v>
      </c>
      <c r="E254" s="182" t="s">
        <v>5006</v>
      </c>
      <c r="F254" s="183" t="s">
        <v>4999</v>
      </c>
      <c r="G254" s="184" t="s">
        <v>2393</v>
      </c>
      <c r="H254" s="185">
        <v>10</v>
      </c>
      <c r="I254" s="186"/>
      <c r="J254" s="187">
        <f>ROUND(I254*H254,2)</f>
        <v>0</v>
      </c>
      <c r="K254" s="183" t="s">
        <v>19</v>
      </c>
      <c r="L254" s="41"/>
      <c r="M254" s="252" t="s">
        <v>19</v>
      </c>
      <c r="N254" s="253" t="s">
        <v>43</v>
      </c>
      <c r="O254" s="254"/>
      <c r="P254" s="255">
        <f>O254*H254</f>
        <v>0</v>
      </c>
      <c r="Q254" s="255">
        <v>0</v>
      </c>
      <c r="R254" s="255">
        <f>Q254*H254</f>
        <v>0</v>
      </c>
      <c r="S254" s="255">
        <v>0</v>
      </c>
      <c r="T254" s="256">
        <f>S254*H254</f>
        <v>0</v>
      </c>
      <c r="U254" s="36"/>
      <c r="V254" s="36"/>
      <c r="W254" s="36"/>
      <c r="X254" s="36"/>
      <c r="Y254" s="36"/>
      <c r="Z254" s="36"/>
      <c r="AA254" s="36"/>
      <c r="AB254" s="36"/>
      <c r="AC254" s="36"/>
      <c r="AD254" s="36"/>
      <c r="AE254" s="36"/>
      <c r="AR254" s="192" t="s">
        <v>281</v>
      </c>
      <c r="AT254" s="192" t="s">
        <v>382</v>
      </c>
      <c r="AU254" s="192" t="s">
        <v>79</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281</v>
      </c>
      <c r="BM254" s="192" t="s">
        <v>1995</v>
      </c>
    </row>
    <row r="255" spans="1:65" s="2" customFormat="1" ht="6.95" customHeight="1">
      <c r="A255" s="36"/>
      <c r="B255" s="49"/>
      <c r="C255" s="50"/>
      <c r="D255" s="50"/>
      <c r="E255" s="50"/>
      <c r="F255" s="50"/>
      <c r="G255" s="50"/>
      <c r="H255" s="50"/>
      <c r="I255" s="50"/>
      <c r="J255" s="50"/>
      <c r="K255" s="50"/>
      <c r="L255" s="41"/>
      <c r="M255" s="36"/>
      <c r="O255" s="36"/>
      <c r="P255" s="36"/>
      <c r="Q255" s="36"/>
      <c r="R255" s="36"/>
      <c r="S255" s="36"/>
      <c r="T255" s="36"/>
      <c r="U255" s="36"/>
      <c r="V255" s="36"/>
      <c r="W255" s="36"/>
      <c r="X255" s="36"/>
      <c r="Y255" s="36"/>
      <c r="Z255" s="36"/>
      <c r="AA255" s="36"/>
      <c r="AB255" s="36"/>
      <c r="AC255" s="36"/>
      <c r="AD255" s="36"/>
      <c r="AE255" s="36"/>
    </row>
  </sheetData>
  <sheetProtection algorithmName="SHA-512" hashValue="nUqU+1GZQD6yoeRdrIp9y/8AyThhnPVwHEly58vqs2+pF8IZO5jdyEWFKkev9jC2q5OL/cBuRzrYlPBOSWo2Hw==" saltValue="MUfXHhFF/d4SvYbjL8j/pc70dik2mRi4WEb1dhmgPPO9qJHF1s3fOwwpo3fi8jne53nq3ZN2eYTN5OEIouO1fQ==" spinCount="100000" sheet="1" objects="1" scenarios="1" formatColumns="0" formatRows="0" autoFilter="0"/>
  <autoFilter ref="C96:K254" xr:uid="{00000000-0009-0000-0000-00001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5007</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5008</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ROUND(J91,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ROUND((SUM(BE91:BE194)),  2)</f>
        <v>0</v>
      </c>
      <c r="G35" s="36"/>
      <c r="H35" s="36"/>
      <c r="I35" s="127">
        <v>0.21</v>
      </c>
      <c r="J35" s="126">
        <f>ROUND(((SUM(BE91:BE194))*I35),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ROUND((SUM(BF91:BF194)),  2)</f>
        <v>0</v>
      </c>
      <c r="G36" s="36"/>
      <c r="H36" s="36"/>
      <c r="I36" s="127">
        <v>0.15</v>
      </c>
      <c r="J36" s="126">
        <f>ROUND(((SUM(BF91:BF194))*I36),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ROUND((SUM(BG91:BG194)),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ROUND((SUM(BH91:BH194)),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ROUND((SUM(BI91:BI194)),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MAR - ZAŘÍZENÍ PRO MĚŘENÍ A REGULACI</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J91</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5009</v>
      </c>
      <c r="E64" s="146"/>
      <c r="F64" s="146"/>
      <c r="G64" s="146"/>
      <c r="H64" s="146"/>
      <c r="I64" s="146"/>
      <c r="J64" s="147">
        <f>J92</f>
        <v>0</v>
      </c>
      <c r="K64" s="144"/>
      <c r="L64" s="148"/>
    </row>
    <row r="65" spans="1:31" s="9" customFormat="1" ht="24.95" customHeight="1">
      <c r="B65" s="143"/>
      <c r="C65" s="144"/>
      <c r="D65" s="145" t="s">
        <v>5010</v>
      </c>
      <c r="E65" s="146"/>
      <c r="F65" s="146"/>
      <c r="G65" s="146"/>
      <c r="H65" s="146"/>
      <c r="I65" s="146"/>
      <c r="J65" s="147">
        <f>J94</f>
        <v>0</v>
      </c>
      <c r="K65" s="144"/>
      <c r="L65" s="148"/>
    </row>
    <row r="66" spans="1:31" s="9" customFormat="1" ht="24.95" customHeight="1">
      <c r="B66" s="143"/>
      <c r="C66" s="144"/>
      <c r="D66" s="145" t="s">
        <v>5011</v>
      </c>
      <c r="E66" s="146"/>
      <c r="F66" s="146"/>
      <c r="G66" s="146"/>
      <c r="H66" s="146"/>
      <c r="I66" s="146"/>
      <c r="J66" s="147">
        <f>J117</f>
        <v>0</v>
      </c>
      <c r="K66" s="144"/>
      <c r="L66" s="148"/>
    </row>
    <row r="67" spans="1:31" s="9" customFormat="1" ht="24.95" customHeight="1">
      <c r="B67" s="143"/>
      <c r="C67" s="144"/>
      <c r="D67" s="145" t="s">
        <v>5012</v>
      </c>
      <c r="E67" s="146"/>
      <c r="F67" s="146"/>
      <c r="G67" s="146"/>
      <c r="H67" s="146"/>
      <c r="I67" s="146"/>
      <c r="J67" s="147">
        <f>J154</f>
        <v>0</v>
      </c>
      <c r="K67" s="144"/>
      <c r="L67" s="148"/>
    </row>
    <row r="68" spans="1:31" s="9" customFormat="1" ht="24.95" customHeight="1">
      <c r="B68" s="143"/>
      <c r="C68" s="144"/>
      <c r="D68" s="145" t="s">
        <v>5013</v>
      </c>
      <c r="E68" s="146"/>
      <c r="F68" s="146"/>
      <c r="G68" s="146"/>
      <c r="H68" s="146"/>
      <c r="I68" s="146"/>
      <c r="J68" s="147">
        <f>J181</f>
        <v>0</v>
      </c>
      <c r="K68" s="144"/>
      <c r="L68" s="148"/>
    </row>
    <row r="69" spans="1:31" s="9" customFormat="1" ht="24.95" customHeight="1">
      <c r="B69" s="143"/>
      <c r="C69" s="144"/>
      <c r="D69" s="145" t="s">
        <v>5014</v>
      </c>
      <c r="E69" s="146"/>
      <c r="F69" s="146"/>
      <c r="G69" s="146"/>
      <c r="H69" s="146"/>
      <c r="I69" s="146"/>
      <c r="J69" s="147">
        <f>J188</f>
        <v>0</v>
      </c>
      <c r="K69" s="144"/>
      <c r="L69" s="148"/>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365</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v>
      </c>
      <c r="F79" s="417"/>
      <c r="G79" s="417"/>
      <c r="H79" s="417"/>
      <c r="I79" s="38"/>
      <c r="J79" s="38"/>
      <c r="K79" s="38"/>
      <c r="L79" s="116"/>
      <c r="S79" s="36"/>
      <c r="T79" s="36"/>
      <c r="U79" s="36"/>
      <c r="V79" s="36"/>
      <c r="W79" s="36"/>
      <c r="X79" s="36"/>
      <c r="Y79" s="36"/>
      <c r="Z79" s="36"/>
      <c r="AA79" s="36"/>
      <c r="AB79" s="36"/>
      <c r="AC79" s="36"/>
      <c r="AD79" s="36"/>
      <c r="AE79" s="36"/>
    </row>
    <row r="80" spans="1:31" s="1" customFormat="1" ht="12" customHeight="1">
      <c r="B80" s="23"/>
      <c r="C80" s="31" t="s">
        <v>282</v>
      </c>
      <c r="D80" s="24"/>
      <c r="E80" s="24"/>
      <c r="F80" s="24"/>
      <c r="G80" s="24"/>
      <c r="H80" s="24"/>
      <c r="I80" s="24"/>
      <c r="J80" s="24"/>
      <c r="K80" s="24"/>
      <c r="L80" s="22"/>
    </row>
    <row r="81" spans="1:65" s="2" customFormat="1" ht="16.5" customHeight="1">
      <c r="A81" s="36"/>
      <c r="B81" s="37"/>
      <c r="C81" s="38"/>
      <c r="D81" s="38"/>
      <c r="E81" s="416" t="s">
        <v>285</v>
      </c>
      <c r="F81" s="418"/>
      <c r="G81" s="418"/>
      <c r="H81" s="41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288</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387" t="str">
        <f>E11</f>
        <v>MAR - ZAŘÍZENÍ PRO MĚŘENÍ A REGULACI</v>
      </c>
      <c r="F83" s="418"/>
      <c r="G83" s="418"/>
      <c r="H83" s="418"/>
      <c r="I83" s="38"/>
      <c r="J83" s="38"/>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4. 8. 2021</v>
      </c>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UP V OLOMOUCI, KŘÍŽOVSKÉHO 511/8, 779 00</v>
      </c>
      <c r="G87" s="38"/>
      <c r="H87" s="38"/>
      <c r="I87" s="31" t="s">
        <v>31</v>
      </c>
      <c r="J87" s="34" t="str">
        <f>E23</f>
        <v>ALFAPROJEKT OLOMOUC a.s.</v>
      </c>
      <c r="K87" s="38"/>
      <c r="L87" s="116"/>
      <c r="S87" s="36"/>
      <c r="T87" s="36"/>
      <c r="U87" s="36"/>
      <c r="V87" s="36"/>
      <c r="W87" s="36"/>
      <c r="X87" s="36"/>
      <c r="Y87" s="36"/>
      <c r="Z87" s="36"/>
      <c r="AA87" s="36"/>
      <c r="AB87" s="36"/>
      <c r="AC87" s="36"/>
      <c r="AD87" s="36"/>
      <c r="AE87" s="36"/>
    </row>
    <row r="88" spans="1:65" s="2" customFormat="1" ht="25.7" customHeight="1">
      <c r="A88" s="36"/>
      <c r="B88" s="37"/>
      <c r="C88" s="31" t="s">
        <v>29</v>
      </c>
      <c r="D88" s="38"/>
      <c r="E88" s="38"/>
      <c r="F88" s="29" t="str">
        <f>IF(E20="","",E20)</f>
        <v>Vyplň údaj</v>
      </c>
      <c r="G88" s="38"/>
      <c r="H88" s="38"/>
      <c r="I88" s="31" t="s">
        <v>34</v>
      </c>
      <c r="J88" s="34" t="str">
        <f>E26</f>
        <v>PROPOS LIBEREC s.r.o.</v>
      </c>
      <c r="K88" s="38"/>
      <c r="L88" s="116"/>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5" s="11" customFormat="1" ht="29.25" customHeight="1">
      <c r="A90" s="154"/>
      <c r="B90" s="155"/>
      <c r="C90" s="156" t="s">
        <v>366</v>
      </c>
      <c r="D90" s="157" t="s">
        <v>57</v>
      </c>
      <c r="E90" s="157" t="s">
        <v>53</v>
      </c>
      <c r="F90" s="157" t="s">
        <v>54</v>
      </c>
      <c r="G90" s="157" t="s">
        <v>367</v>
      </c>
      <c r="H90" s="157" t="s">
        <v>368</v>
      </c>
      <c r="I90" s="157" t="s">
        <v>369</v>
      </c>
      <c r="J90" s="157" t="s">
        <v>334</v>
      </c>
      <c r="K90" s="158" t="s">
        <v>370</v>
      </c>
      <c r="L90" s="159"/>
      <c r="M90" s="70" t="s">
        <v>19</v>
      </c>
      <c r="N90" s="71" t="s">
        <v>42</v>
      </c>
      <c r="O90" s="71" t="s">
        <v>371</v>
      </c>
      <c r="P90" s="71" t="s">
        <v>372</v>
      </c>
      <c r="Q90" s="71" t="s">
        <v>373</v>
      </c>
      <c r="R90" s="71" t="s">
        <v>374</v>
      </c>
      <c r="S90" s="71" t="s">
        <v>375</v>
      </c>
      <c r="T90" s="72" t="s">
        <v>376</v>
      </c>
      <c r="U90" s="154"/>
      <c r="V90" s="154"/>
      <c r="W90" s="154"/>
      <c r="X90" s="154"/>
      <c r="Y90" s="154"/>
      <c r="Z90" s="154"/>
      <c r="AA90" s="154"/>
      <c r="AB90" s="154"/>
      <c r="AC90" s="154"/>
      <c r="AD90" s="154"/>
      <c r="AE90" s="154"/>
    </row>
    <row r="91" spans="1:65" s="2" customFormat="1" ht="22.9" customHeight="1">
      <c r="A91" s="36"/>
      <c r="B91" s="37"/>
      <c r="C91" s="77" t="s">
        <v>377</v>
      </c>
      <c r="D91" s="38"/>
      <c r="E91" s="38"/>
      <c r="F91" s="38"/>
      <c r="G91" s="38"/>
      <c r="H91" s="38"/>
      <c r="I91" s="38"/>
      <c r="J91" s="160">
        <f>BK91</f>
        <v>0</v>
      </c>
      <c r="K91" s="38"/>
      <c r="L91" s="41"/>
      <c r="M91" s="73"/>
      <c r="N91" s="161"/>
      <c r="O91" s="74"/>
      <c r="P91" s="162">
        <f>P92+P94+P117+P154+P181+P188</f>
        <v>0</v>
      </c>
      <c r="Q91" s="74"/>
      <c r="R91" s="162">
        <f>R92+R94+R117+R154+R181+R188</f>
        <v>0</v>
      </c>
      <c r="S91" s="74"/>
      <c r="T91" s="163">
        <f>T92+T94+T117+T154+T181+T188</f>
        <v>0</v>
      </c>
      <c r="U91" s="36"/>
      <c r="V91" s="36"/>
      <c r="W91" s="36"/>
      <c r="X91" s="36"/>
      <c r="Y91" s="36"/>
      <c r="Z91" s="36"/>
      <c r="AA91" s="36"/>
      <c r="AB91" s="36"/>
      <c r="AC91" s="36"/>
      <c r="AD91" s="36"/>
      <c r="AE91" s="36"/>
      <c r="AT91" s="19" t="s">
        <v>71</v>
      </c>
      <c r="AU91" s="19" t="s">
        <v>335</v>
      </c>
      <c r="BK91" s="164">
        <f>BK92+BK94+BK117+BK154+BK181+BK188</f>
        <v>0</v>
      </c>
    </row>
    <row r="92" spans="1:65" s="12" customFormat="1" ht="25.9" customHeight="1">
      <c r="B92" s="165"/>
      <c r="C92" s="166"/>
      <c r="D92" s="167" t="s">
        <v>71</v>
      </c>
      <c r="E92" s="168" t="s">
        <v>79</v>
      </c>
      <c r="F92" s="168" t="s">
        <v>5015</v>
      </c>
      <c r="G92" s="166"/>
      <c r="H92" s="166"/>
      <c r="I92" s="169"/>
      <c r="J92" s="170">
        <f>BK92</f>
        <v>0</v>
      </c>
      <c r="K92" s="166"/>
      <c r="L92" s="171"/>
      <c r="M92" s="172"/>
      <c r="N92" s="173"/>
      <c r="O92" s="173"/>
      <c r="P92" s="174">
        <f>P93</f>
        <v>0</v>
      </c>
      <c r="Q92" s="173"/>
      <c r="R92" s="174">
        <f>R93</f>
        <v>0</v>
      </c>
      <c r="S92" s="173"/>
      <c r="T92" s="175">
        <f>T93</f>
        <v>0</v>
      </c>
      <c r="AR92" s="176" t="s">
        <v>79</v>
      </c>
      <c r="AT92" s="177" t="s">
        <v>71</v>
      </c>
      <c r="AU92" s="177" t="s">
        <v>72</v>
      </c>
      <c r="AY92" s="176" t="s">
        <v>380</v>
      </c>
      <c r="BK92" s="178">
        <f>BK93</f>
        <v>0</v>
      </c>
    </row>
    <row r="93" spans="1:65" s="2" customFormat="1" ht="16.5" customHeight="1">
      <c r="A93" s="36"/>
      <c r="B93" s="37"/>
      <c r="C93" s="181" t="s">
        <v>79</v>
      </c>
      <c r="D93" s="181" t="s">
        <v>382</v>
      </c>
      <c r="E93" s="182" t="s">
        <v>5016</v>
      </c>
      <c r="F93" s="183" t="s">
        <v>5017</v>
      </c>
      <c r="G93" s="184" t="s">
        <v>2393</v>
      </c>
      <c r="H93" s="185">
        <v>2</v>
      </c>
      <c r="I93" s="186"/>
      <c r="J93" s="187">
        <f>ROUND(I93*H93,2)</f>
        <v>0</v>
      </c>
      <c r="K93" s="183" t="s">
        <v>19</v>
      </c>
      <c r="L93" s="41"/>
      <c r="M93" s="188" t="s">
        <v>19</v>
      </c>
      <c r="N93" s="189" t="s">
        <v>43</v>
      </c>
      <c r="O93" s="66"/>
      <c r="P93" s="190">
        <f>O93*H93</f>
        <v>0</v>
      </c>
      <c r="Q93" s="190">
        <v>0</v>
      </c>
      <c r="R93" s="190">
        <f>Q93*H93</f>
        <v>0</v>
      </c>
      <c r="S93" s="190">
        <v>0</v>
      </c>
      <c r="T93" s="191">
        <f>S93*H93</f>
        <v>0</v>
      </c>
      <c r="U93" s="36"/>
      <c r="V93" s="36"/>
      <c r="W93" s="36"/>
      <c r="X93" s="36"/>
      <c r="Y93" s="36"/>
      <c r="Z93" s="36"/>
      <c r="AA93" s="36"/>
      <c r="AB93" s="36"/>
      <c r="AC93" s="36"/>
      <c r="AD93" s="36"/>
      <c r="AE93" s="36"/>
      <c r="AR93" s="192" t="s">
        <v>281</v>
      </c>
      <c r="AT93" s="192" t="s">
        <v>382</v>
      </c>
      <c r="AU93" s="192" t="s">
        <v>79</v>
      </c>
      <c r="AY93" s="19" t="s">
        <v>380</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281</v>
      </c>
      <c r="BM93" s="192" t="s">
        <v>82</v>
      </c>
    </row>
    <row r="94" spans="1:65" s="12" customFormat="1" ht="25.9" customHeight="1">
      <c r="B94" s="165"/>
      <c r="C94" s="166"/>
      <c r="D94" s="167" t="s">
        <v>71</v>
      </c>
      <c r="E94" s="168" t="s">
        <v>82</v>
      </c>
      <c r="F94" s="168" t="s">
        <v>5018</v>
      </c>
      <c r="G94" s="166"/>
      <c r="H94" s="166"/>
      <c r="I94" s="169"/>
      <c r="J94" s="170">
        <f>BK94</f>
        <v>0</v>
      </c>
      <c r="K94" s="166"/>
      <c r="L94" s="171"/>
      <c r="M94" s="172"/>
      <c r="N94" s="173"/>
      <c r="O94" s="173"/>
      <c r="P94" s="174">
        <f>SUM(P95:P116)</f>
        <v>0</v>
      </c>
      <c r="Q94" s="173"/>
      <c r="R94" s="174">
        <f>SUM(R95:R116)</f>
        <v>0</v>
      </c>
      <c r="S94" s="173"/>
      <c r="T94" s="175">
        <f>SUM(T95:T116)</f>
        <v>0</v>
      </c>
      <c r="AR94" s="176" t="s">
        <v>79</v>
      </c>
      <c r="AT94" s="177" t="s">
        <v>71</v>
      </c>
      <c r="AU94" s="177" t="s">
        <v>72</v>
      </c>
      <c r="AY94" s="176" t="s">
        <v>380</v>
      </c>
      <c r="BK94" s="178">
        <f>SUM(BK95:BK116)</f>
        <v>0</v>
      </c>
    </row>
    <row r="95" spans="1:65" s="2" customFormat="1" ht="16.5" customHeight="1">
      <c r="A95" s="36"/>
      <c r="B95" s="37"/>
      <c r="C95" s="181" t="s">
        <v>82</v>
      </c>
      <c r="D95" s="181" t="s">
        <v>382</v>
      </c>
      <c r="E95" s="182" t="s">
        <v>5019</v>
      </c>
      <c r="F95" s="183" t="s">
        <v>5020</v>
      </c>
      <c r="G95" s="184" t="s">
        <v>2393</v>
      </c>
      <c r="H95" s="185">
        <v>31</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281</v>
      </c>
      <c r="AT95" s="192" t="s">
        <v>382</v>
      </c>
      <c r="AU95" s="192" t="s">
        <v>79</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281</v>
      </c>
      <c r="BM95" s="192" t="s">
        <v>386</v>
      </c>
    </row>
    <row r="96" spans="1:65" s="14" customFormat="1" ht="11.25">
      <c r="B96" s="205"/>
      <c r="C96" s="206"/>
      <c r="D96" s="196" t="s">
        <v>388</v>
      </c>
      <c r="E96" s="207" t="s">
        <v>19</v>
      </c>
      <c r="F96" s="208" t="s">
        <v>5021</v>
      </c>
      <c r="G96" s="206"/>
      <c r="H96" s="209">
        <v>31</v>
      </c>
      <c r="I96" s="210"/>
      <c r="J96" s="206"/>
      <c r="K96" s="206"/>
      <c r="L96" s="211"/>
      <c r="M96" s="212"/>
      <c r="N96" s="213"/>
      <c r="O96" s="213"/>
      <c r="P96" s="213"/>
      <c r="Q96" s="213"/>
      <c r="R96" s="213"/>
      <c r="S96" s="213"/>
      <c r="T96" s="214"/>
      <c r="AT96" s="215" t="s">
        <v>388</v>
      </c>
      <c r="AU96" s="215" t="s">
        <v>79</v>
      </c>
      <c r="AV96" s="14" t="s">
        <v>82</v>
      </c>
      <c r="AW96" s="14" t="s">
        <v>33</v>
      </c>
      <c r="AX96" s="14" t="s">
        <v>72</v>
      </c>
      <c r="AY96" s="215" t="s">
        <v>380</v>
      </c>
    </row>
    <row r="97" spans="1:65" s="15" customFormat="1" ht="11.25">
      <c r="B97" s="216"/>
      <c r="C97" s="217"/>
      <c r="D97" s="196" t="s">
        <v>388</v>
      </c>
      <c r="E97" s="218" t="s">
        <v>19</v>
      </c>
      <c r="F97" s="219" t="s">
        <v>419</v>
      </c>
      <c r="G97" s="217"/>
      <c r="H97" s="220">
        <v>31</v>
      </c>
      <c r="I97" s="221"/>
      <c r="J97" s="217"/>
      <c r="K97" s="217"/>
      <c r="L97" s="222"/>
      <c r="M97" s="223"/>
      <c r="N97" s="224"/>
      <c r="O97" s="224"/>
      <c r="P97" s="224"/>
      <c r="Q97" s="224"/>
      <c r="R97" s="224"/>
      <c r="S97" s="224"/>
      <c r="T97" s="225"/>
      <c r="AT97" s="226" t="s">
        <v>388</v>
      </c>
      <c r="AU97" s="226" t="s">
        <v>79</v>
      </c>
      <c r="AV97" s="15" t="s">
        <v>386</v>
      </c>
      <c r="AW97" s="15" t="s">
        <v>33</v>
      </c>
      <c r="AX97" s="15" t="s">
        <v>79</v>
      </c>
      <c r="AY97" s="226" t="s">
        <v>380</v>
      </c>
    </row>
    <row r="98" spans="1:65" s="2" customFormat="1" ht="16.5" customHeight="1">
      <c r="A98" s="36"/>
      <c r="B98" s="37"/>
      <c r="C98" s="227" t="s">
        <v>99</v>
      </c>
      <c r="D98" s="227" t="s">
        <v>465</v>
      </c>
      <c r="E98" s="228" t="s">
        <v>5022</v>
      </c>
      <c r="F98" s="229" t="s">
        <v>5023</v>
      </c>
      <c r="G98" s="230" t="s">
        <v>2393</v>
      </c>
      <c r="H98" s="231">
        <v>23</v>
      </c>
      <c r="I98" s="232"/>
      <c r="J98" s="233">
        <f>ROUND(I98*H98,2)</f>
        <v>0</v>
      </c>
      <c r="K98" s="229" t="s">
        <v>19</v>
      </c>
      <c r="L98" s="234"/>
      <c r="M98" s="235" t="s">
        <v>19</v>
      </c>
      <c r="N98" s="236"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546</v>
      </c>
      <c r="AT98" s="192" t="s">
        <v>465</v>
      </c>
      <c r="AU98" s="192" t="s">
        <v>79</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411</v>
      </c>
    </row>
    <row r="99" spans="1:65" s="2" customFormat="1" ht="16.5" customHeight="1">
      <c r="A99" s="36"/>
      <c r="B99" s="37"/>
      <c r="C99" s="227" t="s">
        <v>386</v>
      </c>
      <c r="D99" s="227" t="s">
        <v>465</v>
      </c>
      <c r="E99" s="228" t="s">
        <v>5024</v>
      </c>
      <c r="F99" s="229" t="s">
        <v>5025</v>
      </c>
      <c r="G99" s="230" t="s">
        <v>2393</v>
      </c>
      <c r="H99" s="231">
        <v>8</v>
      </c>
      <c r="I99" s="232"/>
      <c r="J99" s="233">
        <f>ROUND(I99*H99,2)</f>
        <v>0</v>
      </c>
      <c r="K99" s="229" t="s">
        <v>19</v>
      </c>
      <c r="L99" s="234"/>
      <c r="M99" s="235" t="s">
        <v>19</v>
      </c>
      <c r="N99" s="236"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546</v>
      </c>
      <c r="AT99" s="192" t="s">
        <v>465</v>
      </c>
      <c r="AU99" s="192" t="s">
        <v>79</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424</v>
      </c>
    </row>
    <row r="100" spans="1:65" s="2" customFormat="1" ht="16.5" customHeight="1">
      <c r="A100" s="36"/>
      <c r="B100" s="37"/>
      <c r="C100" s="181" t="s">
        <v>405</v>
      </c>
      <c r="D100" s="181" t="s">
        <v>382</v>
      </c>
      <c r="E100" s="182" t="s">
        <v>5026</v>
      </c>
      <c r="F100" s="183" t="s">
        <v>5027</v>
      </c>
      <c r="G100" s="184" t="s">
        <v>2393</v>
      </c>
      <c r="H100" s="185">
        <v>31</v>
      </c>
      <c r="I100" s="186"/>
      <c r="J100" s="187">
        <f>ROUND(I100*H100,2)</f>
        <v>0</v>
      </c>
      <c r="K100" s="183" t="s">
        <v>19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79</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122</v>
      </c>
    </row>
    <row r="101" spans="1:65" s="2" customFormat="1" ht="21.75" customHeight="1">
      <c r="A101" s="36"/>
      <c r="B101" s="37"/>
      <c r="C101" s="227" t="s">
        <v>411</v>
      </c>
      <c r="D101" s="227" t="s">
        <v>465</v>
      </c>
      <c r="E101" s="228" t="s">
        <v>5028</v>
      </c>
      <c r="F101" s="229" t="s">
        <v>5029</v>
      </c>
      <c r="G101" s="230" t="s">
        <v>2393</v>
      </c>
      <c r="H101" s="231">
        <v>31</v>
      </c>
      <c r="I101" s="232"/>
      <c r="J101" s="233">
        <f>ROUND(I101*H101,2)</f>
        <v>0</v>
      </c>
      <c r="K101" s="229" t="s">
        <v>19</v>
      </c>
      <c r="L101" s="234"/>
      <c r="M101" s="235" t="s">
        <v>19</v>
      </c>
      <c r="N101" s="236"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546</v>
      </c>
      <c r="AT101" s="192" t="s">
        <v>465</v>
      </c>
      <c r="AU101" s="192" t="s">
        <v>79</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128</v>
      </c>
    </row>
    <row r="102" spans="1:65" s="2" customFormat="1" ht="16.5" customHeight="1">
      <c r="A102" s="36"/>
      <c r="B102" s="37"/>
      <c r="C102" s="181" t="s">
        <v>420</v>
      </c>
      <c r="D102" s="181" t="s">
        <v>382</v>
      </c>
      <c r="E102" s="182" t="s">
        <v>5030</v>
      </c>
      <c r="F102" s="183" t="s">
        <v>5031</v>
      </c>
      <c r="G102" s="184" t="s">
        <v>2393</v>
      </c>
      <c r="H102" s="185">
        <v>15</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79</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134</v>
      </c>
    </row>
    <row r="103" spans="1:65" s="14" customFormat="1" ht="11.25">
      <c r="B103" s="205"/>
      <c r="C103" s="206"/>
      <c r="D103" s="196" t="s">
        <v>388</v>
      </c>
      <c r="E103" s="207" t="s">
        <v>19</v>
      </c>
      <c r="F103" s="208" t="s">
        <v>5032</v>
      </c>
      <c r="G103" s="206"/>
      <c r="H103" s="209">
        <v>15</v>
      </c>
      <c r="I103" s="210"/>
      <c r="J103" s="206"/>
      <c r="K103" s="206"/>
      <c r="L103" s="211"/>
      <c r="M103" s="212"/>
      <c r="N103" s="213"/>
      <c r="O103" s="213"/>
      <c r="P103" s="213"/>
      <c r="Q103" s="213"/>
      <c r="R103" s="213"/>
      <c r="S103" s="213"/>
      <c r="T103" s="214"/>
      <c r="AT103" s="215" t="s">
        <v>388</v>
      </c>
      <c r="AU103" s="215" t="s">
        <v>79</v>
      </c>
      <c r="AV103" s="14" t="s">
        <v>82</v>
      </c>
      <c r="AW103" s="14" t="s">
        <v>33</v>
      </c>
      <c r="AX103" s="14" t="s">
        <v>72</v>
      </c>
      <c r="AY103" s="215" t="s">
        <v>380</v>
      </c>
    </row>
    <row r="104" spans="1:65" s="15" customFormat="1" ht="11.25">
      <c r="B104" s="216"/>
      <c r="C104" s="217"/>
      <c r="D104" s="196" t="s">
        <v>388</v>
      </c>
      <c r="E104" s="218" t="s">
        <v>19</v>
      </c>
      <c r="F104" s="219" t="s">
        <v>419</v>
      </c>
      <c r="G104" s="217"/>
      <c r="H104" s="220">
        <v>15</v>
      </c>
      <c r="I104" s="221"/>
      <c r="J104" s="217"/>
      <c r="K104" s="217"/>
      <c r="L104" s="222"/>
      <c r="M104" s="223"/>
      <c r="N104" s="224"/>
      <c r="O104" s="224"/>
      <c r="P104" s="224"/>
      <c r="Q104" s="224"/>
      <c r="R104" s="224"/>
      <c r="S104" s="224"/>
      <c r="T104" s="225"/>
      <c r="AT104" s="226" t="s">
        <v>388</v>
      </c>
      <c r="AU104" s="226" t="s">
        <v>79</v>
      </c>
      <c r="AV104" s="15" t="s">
        <v>386</v>
      </c>
      <c r="AW104" s="15" t="s">
        <v>33</v>
      </c>
      <c r="AX104" s="15" t="s">
        <v>79</v>
      </c>
      <c r="AY104" s="226" t="s">
        <v>380</v>
      </c>
    </row>
    <row r="105" spans="1:65" s="2" customFormat="1" ht="16.5" customHeight="1">
      <c r="A105" s="36"/>
      <c r="B105" s="37"/>
      <c r="C105" s="227" t="s">
        <v>424</v>
      </c>
      <c r="D105" s="227" t="s">
        <v>465</v>
      </c>
      <c r="E105" s="228" t="s">
        <v>5033</v>
      </c>
      <c r="F105" s="229" t="s">
        <v>5034</v>
      </c>
      <c r="G105" s="230" t="s">
        <v>2393</v>
      </c>
      <c r="H105" s="231">
        <v>3</v>
      </c>
      <c r="I105" s="232"/>
      <c r="J105" s="233">
        <f t="shared" ref="J105:J116" si="0">ROUND(I105*H105,2)</f>
        <v>0</v>
      </c>
      <c r="K105" s="229" t="s">
        <v>19</v>
      </c>
      <c r="L105" s="234"/>
      <c r="M105" s="235" t="s">
        <v>19</v>
      </c>
      <c r="N105" s="236" t="s">
        <v>43</v>
      </c>
      <c r="O105" s="66"/>
      <c r="P105" s="190">
        <f t="shared" ref="P105:P116" si="1">O105*H105</f>
        <v>0</v>
      </c>
      <c r="Q105" s="190">
        <v>0</v>
      </c>
      <c r="R105" s="190">
        <f t="shared" ref="R105:R116" si="2">Q105*H105</f>
        <v>0</v>
      </c>
      <c r="S105" s="190">
        <v>0</v>
      </c>
      <c r="T105" s="191">
        <f t="shared" ref="T105:T116" si="3">S105*H105</f>
        <v>0</v>
      </c>
      <c r="U105" s="36"/>
      <c r="V105" s="36"/>
      <c r="W105" s="36"/>
      <c r="X105" s="36"/>
      <c r="Y105" s="36"/>
      <c r="Z105" s="36"/>
      <c r="AA105" s="36"/>
      <c r="AB105" s="36"/>
      <c r="AC105" s="36"/>
      <c r="AD105" s="36"/>
      <c r="AE105" s="36"/>
      <c r="AR105" s="192" t="s">
        <v>546</v>
      </c>
      <c r="AT105" s="192" t="s">
        <v>465</v>
      </c>
      <c r="AU105" s="192" t="s">
        <v>79</v>
      </c>
      <c r="AY105" s="19" t="s">
        <v>380</v>
      </c>
      <c r="BE105" s="193">
        <f t="shared" ref="BE105:BE116" si="4">IF(N105="základní",J105,0)</f>
        <v>0</v>
      </c>
      <c r="BF105" s="193">
        <f t="shared" ref="BF105:BF116" si="5">IF(N105="snížená",J105,0)</f>
        <v>0</v>
      </c>
      <c r="BG105" s="193">
        <f t="shared" ref="BG105:BG116" si="6">IF(N105="zákl. přenesená",J105,0)</f>
        <v>0</v>
      </c>
      <c r="BH105" s="193">
        <f t="shared" ref="BH105:BH116" si="7">IF(N105="sníž. přenesená",J105,0)</f>
        <v>0</v>
      </c>
      <c r="BI105" s="193">
        <f t="shared" ref="BI105:BI116" si="8">IF(N105="nulová",J105,0)</f>
        <v>0</v>
      </c>
      <c r="BJ105" s="19" t="s">
        <v>79</v>
      </c>
      <c r="BK105" s="193">
        <f t="shared" ref="BK105:BK116" si="9">ROUND(I105*H105,2)</f>
        <v>0</v>
      </c>
      <c r="BL105" s="19" t="s">
        <v>281</v>
      </c>
      <c r="BM105" s="192" t="s">
        <v>281</v>
      </c>
    </row>
    <row r="106" spans="1:65" s="2" customFormat="1" ht="16.5" customHeight="1">
      <c r="A106" s="36"/>
      <c r="B106" s="37"/>
      <c r="C106" s="227" t="s">
        <v>430</v>
      </c>
      <c r="D106" s="227" t="s">
        <v>465</v>
      </c>
      <c r="E106" s="228" t="s">
        <v>5035</v>
      </c>
      <c r="F106" s="229" t="s">
        <v>5036</v>
      </c>
      <c r="G106" s="230" t="s">
        <v>2393</v>
      </c>
      <c r="H106" s="231">
        <v>1</v>
      </c>
      <c r="I106" s="232"/>
      <c r="J106" s="233">
        <f t="shared" si="0"/>
        <v>0</v>
      </c>
      <c r="K106" s="229" t="s">
        <v>19</v>
      </c>
      <c r="L106" s="234"/>
      <c r="M106" s="235" t="s">
        <v>19</v>
      </c>
      <c r="N106" s="236"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546</v>
      </c>
      <c r="AT106" s="192" t="s">
        <v>465</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477</v>
      </c>
    </row>
    <row r="107" spans="1:65" s="2" customFormat="1" ht="16.5" customHeight="1">
      <c r="A107" s="36"/>
      <c r="B107" s="37"/>
      <c r="C107" s="227" t="s">
        <v>122</v>
      </c>
      <c r="D107" s="227" t="s">
        <v>465</v>
      </c>
      <c r="E107" s="228" t="s">
        <v>5037</v>
      </c>
      <c r="F107" s="229" t="s">
        <v>5038</v>
      </c>
      <c r="G107" s="230" t="s">
        <v>2393</v>
      </c>
      <c r="H107" s="231">
        <v>1</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546</v>
      </c>
      <c r="AT107" s="192" t="s">
        <v>465</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281</v>
      </c>
      <c r="BM107" s="192" t="s">
        <v>486</v>
      </c>
    </row>
    <row r="108" spans="1:65" s="2" customFormat="1" ht="16.5" customHeight="1">
      <c r="A108" s="36"/>
      <c r="B108" s="37"/>
      <c r="C108" s="227" t="s">
        <v>125</v>
      </c>
      <c r="D108" s="227" t="s">
        <v>465</v>
      </c>
      <c r="E108" s="228" t="s">
        <v>5039</v>
      </c>
      <c r="F108" s="229" t="s">
        <v>5040</v>
      </c>
      <c r="G108" s="230" t="s">
        <v>2393</v>
      </c>
      <c r="H108" s="231">
        <v>1</v>
      </c>
      <c r="I108" s="232"/>
      <c r="J108" s="233">
        <f t="shared" si="0"/>
        <v>0</v>
      </c>
      <c r="K108" s="229" t="s">
        <v>19</v>
      </c>
      <c r="L108" s="234"/>
      <c r="M108" s="235" t="s">
        <v>19</v>
      </c>
      <c r="N108" s="236"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546</v>
      </c>
      <c r="AT108" s="192" t="s">
        <v>465</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281</v>
      </c>
      <c r="BM108" s="192" t="s">
        <v>495</v>
      </c>
    </row>
    <row r="109" spans="1:65" s="2" customFormat="1" ht="16.5" customHeight="1">
      <c r="A109" s="36"/>
      <c r="B109" s="37"/>
      <c r="C109" s="227" t="s">
        <v>128</v>
      </c>
      <c r="D109" s="227" t="s">
        <v>465</v>
      </c>
      <c r="E109" s="228" t="s">
        <v>5041</v>
      </c>
      <c r="F109" s="229" t="s">
        <v>5042</v>
      </c>
      <c r="G109" s="230" t="s">
        <v>2393</v>
      </c>
      <c r="H109" s="231">
        <v>1</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546</v>
      </c>
      <c r="AT109" s="192" t="s">
        <v>465</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281</v>
      </c>
      <c r="BM109" s="192" t="s">
        <v>505</v>
      </c>
    </row>
    <row r="110" spans="1:65" s="2" customFormat="1" ht="16.5" customHeight="1">
      <c r="A110" s="36"/>
      <c r="B110" s="37"/>
      <c r="C110" s="227" t="s">
        <v>131</v>
      </c>
      <c r="D110" s="227" t="s">
        <v>465</v>
      </c>
      <c r="E110" s="228" t="s">
        <v>5043</v>
      </c>
      <c r="F110" s="229" t="s">
        <v>5044</v>
      </c>
      <c r="G110" s="230" t="s">
        <v>2393</v>
      </c>
      <c r="H110" s="231">
        <v>1</v>
      </c>
      <c r="I110" s="232"/>
      <c r="J110" s="233">
        <f t="shared" si="0"/>
        <v>0</v>
      </c>
      <c r="K110" s="229" t="s">
        <v>19</v>
      </c>
      <c r="L110" s="234"/>
      <c r="M110" s="235" t="s">
        <v>19</v>
      </c>
      <c r="N110" s="236"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546</v>
      </c>
      <c r="AT110" s="192" t="s">
        <v>465</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281</v>
      </c>
      <c r="BM110" s="192" t="s">
        <v>514</v>
      </c>
    </row>
    <row r="111" spans="1:65" s="2" customFormat="1" ht="16.5" customHeight="1">
      <c r="A111" s="36"/>
      <c r="B111" s="37"/>
      <c r="C111" s="227" t="s">
        <v>134</v>
      </c>
      <c r="D111" s="227" t="s">
        <v>465</v>
      </c>
      <c r="E111" s="228" t="s">
        <v>5045</v>
      </c>
      <c r="F111" s="229" t="s">
        <v>5046</v>
      </c>
      <c r="G111" s="230" t="s">
        <v>2393</v>
      </c>
      <c r="H111" s="231">
        <v>1</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546</v>
      </c>
      <c r="AT111" s="192" t="s">
        <v>465</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281</v>
      </c>
      <c r="BM111" s="192" t="s">
        <v>525</v>
      </c>
    </row>
    <row r="112" spans="1:65" s="2" customFormat="1" ht="16.5" customHeight="1">
      <c r="A112" s="36"/>
      <c r="B112" s="37"/>
      <c r="C112" s="227" t="s">
        <v>8</v>
      </c>
      <c r="D112" s="227" t="s">
        <v>465</v>
      </c>
      <c r="E112" s="228" t="s">
        <v>5047</v>
      </c>
      <c r="F112" s="229" t="s">
        <v>5048</v>
      </c>
      <c r="G112" s="230" t="s">
        <v>2393</v>
      </c>
      <c r="H112" s="231">
        <v>1</v>
      </c>
      <c r="I112" s="232"/>
      <c r="J112" s="233">
        <f t="shared" si="0"/>
        <v>0</v>
      </c>
      <c r="K112" s="229" t="s">
        <v>19</v>
      </c>
      <c r="L112" s="234"/>
      <c r="M112" s="235" t="s">
        <v>19</v>
      </c>
      <c r="N112" s="236"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546</v>
      </c>
      <c r="AT112" s="192" t="s">
        <v>465</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281</v>
      </c>
      <c r="BM112" s="192" t="s">
        <v>534</v>
      </c>
    </row>
    <row r="113" spans="1:65" s="2" customFormat="1" ht="16.5" customHeight="1">
      <c r="A113" s="36"/>
      <c r="B113" s="37"/>
      <c r="C113" s="227" t="s">
        <v>281</v>
      </c>
      <c r="D113" s="227" t="s">
        <v>465</v>
      </c>
      <c r="E113" s="228" t="s">
        <v>5049</v>
      </c>
      <c r="F113" s="229" t="s">
        <v>5050</v>
      </c>
      <c r="G113" s="230" t="s">
        <v>2393</v>
      </c>
      <c r="H113" s="231">
        <v>2</v>
      </c>
      <c r="I113" s="232"/>
      <c r="J113" s="233">
        <f t="shared" si="0"/>
        <v>0</v>
      </c>
      <c r="K113" s="229" t="s">
        <v>19</v>
      </c>
      <c r="L113" s="234"/>
      <c r="M113" s="235" t="s">
        <v>19</v>
      </c>
      <c r="N113" s="236"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546</v>
      </c>
      <c r="AT113" s="192" t="s">
        <v>465</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281</v>
      </c>
      <c r="BM113" s="192" t="s">
        <v>546</v>
      </c>
    </row>
    <row r="114" spans="1:65" s="2" customFormat="1" ht="16.5" customHeight="1">
      <c r="A114" s="36"/>
      <c r="B114" s="37"/>
      <c r="C114" s="227" t="s">
        <v>471</v>
      </c>
      <c r="D114" s="227" t="s">
        <v>465</v>
      </c>
      <c r="E114" s="228" t="s">
        <v>5051</v>
      </c>
      <c r="F114" s="229" t="s">
        <v>5052</v>
      </c>
      <c r="G114" s="230" t="s">
        <v>2393</v>
      </c>
      <c r="H114" s="231">
        <v>1</v>
      </c>
      <c r="I114" s="232"/>
      <c r="J114" s="233">
        <f t="shared" si="0"/>
        <v>0</v>
      </c>
      <c r="K114" s="229" t="s">
        <v>19</v>
      </c>
      <c r="L114" s="234"/>
      <c r="M114" s="235" t="s">
        <v>19</v>
      </c>
      <c r="N114" s="236"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546</v>
      </c>
      <c r="AT114" s="192" t="s">
        <v>465</v>
      </c>
      <c r="AU114" s="192" t="s">
        <v>79</v>
      </c>
      <c r="AY114" s="19" t="s">
        <v>380</v>
      </c>
      <c r="BE114" s="193">
        <f t="shared" si="4"/>
        <v>0</v>
      </c>
      <c r="BF114" s="193">
        <f t="shared" si="5"/>
        <v>0</v>
      </c>
      <c r="BG114" s="193">
        <f t="shared" si="6"/>
        <v>0</v>
      </c>
      <c r="BH114" s="193">
        <f t="shared" si="7"/>
        <v>0</v>
      </c>
      <c r="BI114" s="193">
        <f t="shared" si="8"/>
        <v>0</v>
      </c>
      <c r="BJ114" s="19" t="s">
        <v>79</v>
      </c>
      <c r="BK114" s="193">
        <f t="shared" si="9"/>
        <v>0</v>
      </c>
      <c r="BL114" s="19" t="s">
        <v>281</v>
      </c>
      <c r="BM114" s="192" t="s">
        <v>556</v>
      </c>
    </row>
    <row r="115" spans="1:65" s="2" customFormat="1" ht="16.5" customHeight="1">
      <c r="A115" s="36"/>
      <c r="B115" s="37"/>
      <c r="C115" s="227" t="s">
        <v>477</v>
      </c>
      <c r="D115" s="227" t="s">
        <v>465</v>
      </c>
      <c r="E115" s="228" t="s">
        <v>5053</v>
      </c>
      <c r="F115" s="229" t="s">
        <v>5054</v>
      </c>
      <c r="G115" s="230" t="s">
        <v>2393</v>
      </c>
      <c r="H115" s="231">
        <v>1</v>
      </c>
      <c r="I115" s="232"/>
      <c r="J115" s="233">
        <f t="shared" si="0"/>
        <v>0</v>
      </c>
      <c r="K115" s="229" t="s">
        <v>19</v>
      </c>
      <c r="L115" s="234"/>
      <c r="M115" s="235" t="s">
        <v>19</v>
      </c>
      <c r="N115" s="236"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546</v>
      </c>
      <c r="AT115" s="192" t="s">
        <v>465</v>
      </c>
      <c r="AU115" s="192" t="s">
        <v>79</v>
      </c>
      <c r="AY115" s="19" t="s">
        <v>380</v>
      </c>
      <c r="BE115" s="193">
        <f t="shared" si="4"/>
        <v>0</v>
      </c>
      <c r="BF115" s="193">
        <f t="shared" si="5"/>
        <v>0</v>
      </c>
      <c r="BG115" s="193">
        <f t="shared" si="6"/>
        <v>0</v>
      </c>
      <c r="BH115" s="193">
        <f t="shared" si="7"/>
        <v>0</v>
      </c>
      <c r="BI115" s="193">
        <f t="shared" si="8"/>
        <v>0</v>
      </c>
      <c r="BJ115" s="19" t="s">
        <v>79</v>
      </c>
      <c r="BK115" s="193">
        <f t="shared" si="9"/>
        <v>0</v>
      </c>
      <c r="BL115" s="19" t="s">
        <v>281</v>
      </c>
      <c r="BM115" s="192" t="s">
        <v>579</v>
      </c>
    </row>
    <row r="116" spans="1:65" s="2" customFormat="1" ht="16.5" customHeight="1">
      <c r="A116" s="36"/>
      <c r="B116" s="37"/>
      <c r="C116" s="227" t="s">
        <v>284</v>
      </c>
      <c r="D116" s="227" t="s">
        <v>465</v>
      </c>
      <c r="E116" s="228" t="s">
        <v>5055</v>
      </c>
      <c r="F116" s="229" t="s">
        <v>5056</v>
      </c>
      <c r="G116" s="230" t="s">
        <v>2393</v>
      </c>
      <c r="H116" s="231">
        <v>1</v>
      </c>
      <c r="I116" s="232"/>
      <c r="J116" s="233">
        <f t="shared" si="0"/>
        <v>0</v>
      </c>
      <c r="K116" s="229" t="s">
        <v>19</v>
      </c>
      <c r="L116" s="234"/>
      <c r="M116" s="235" t="s">
        <v>19</v>
      </c>
      <c r="N116" s="236"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546</v>
      </c>
      <c r="AT116" s="192" t="s">
        <v>465</v>
      </c>
      <c r="AU116" s="192" t="s">
        <v>79</v>
      </c>
      <c r="AY116" s="19" t="s">
        <v>380</v>
      </c>
      <c r="BE116" s="193">
        <f t="shared" si="4"/>
        <v>0</v>
      </c>
      <c r="BF116" s="193">
        <f t="shared" si="5"/>
        <v>0</v>
      </c>
      <c r="BG116" s="193">
        <f t="shared" si="6"/>
        <v>0</v>
      </c>
      <c r="BH116" s="193">
        <f t="shared" si="7"/>
        <v>0</v>
      </c>
      <c r="BI116" s="193">
        <f t="shared" si="8"/>
        <v>0</v>
      </c>
      <c r="BJ116" s="19" t="s">
        <v>79</v>
      </c>
      <c r="BK116" s="193">
        <f t="shared" si="9"/>
        <v>0</v>
      </c>
      <c r="BL116" s="19" t="s">
        <v>281</v>
      </c>
      <c r="BM116" s="192" t="s">
        <v>619</v>
      </c>
    </row>
    <row r="117" spans="1:65" s="12" customFormat="1" ht="25.9" customHeight="1">
      <c r="B117" s="165"/>
      <c r="C117" s="166"/>
      <c r="D117" s="167" t="s">
        <v>71</v>
      </c>
      <c r="E117" s="168" t="s">
        <v>99</v>
      </c>
      <c r="F117" s="168" t="s">
        <v>5057</v>
      </c>
      <c r="G117" s="166"/>
      <c r="H117" s="166"/>
      <c r="I117" s="169"/>
      <c r="J117" s="170">
        <f>BK117</f>
        <v>0</v>
      </c>
      <c r="K117" s="166"/>
      <c r="L117" s="171"/>
      <c r="M117" s="172"/>
      <c r="N117" s="173"/>
      <c r="O117" s="173"/>
      <c r="P117" s="174">
        <f>SUM(P118:P153)</f>
        <v>0</v>
      </c>
      <c r="Q117" s="173"/>
      <c r="R117" s="174">
        <f>SUM(R118:R153)</f>
        <v>0</v>
      </c>
      <c r="S117" s="173"/>
      <c r="T117" s="175">
        <f>SUM(T118:T153)</f>
        <v>0</v>
      </c>
      <c r="AR117" s="176" t="s">
        <v>79</v>
      </c>
      <c r="AT117" s="177" t="s">
        <v>71</v>
      </c>
      <c r="AU117" s="177" t="s">
        <v>72</v>
      </c>
      <c r="AY117" s="176" t="s">
        <v>380</v>
      </c>
      <c r="BK117" s="178">
        <f>SUM(BK118:BK153)</f>
        <v>0</v>
      </c>
    </row>
    <row r="118" spans="1:65" s="2" customFormat="1" ht="21.75" customHeight="1">
      <c r="A118" s="36"/>
      <c r="B118" s="37"/>
      <c r="C118" s="181" t="s">
        <v>486</v>
      </c>
      <c r="D118" s="181" t="s">
        <v>382</v>
      </c>
      <c r="E118" s="182" t="s">
        <v>5058</v>
      </c>
      <c r="F118" s="183" t="s">
        <v>5059</v>
      </c>
      <c r="G118" s="184" t="s">
        <v>452</v>
      </c>
      <c r="H118" s="185">
        <v>594</v>
      </c>
      <c r="I118" s="186"/>
      <c r="J118" s="187">
        <f t="shared" ref="J118:J149" si="10">ROUND(I118*H118,2)</f>
        <v>0</v>
      </c>
      <c r="K118" s="183" t="s">
        <v>19</v>
      </c>
      <c r="L118" s="41"/>
      <c r="M118" s="188" t="s">
        <v>19</v>
      </c>
      <c r="N118" s="189" t="s">
        <v>43</v>
      </c>
      <c r="O118" s="66"/>
      <c r="P118" s="190">
        <f t="shared" ref="P118:P149" si="11">O118*H118</f>
        <v>0</v>
      </c>
      <c r="Q118" s="190">
        <v>0</v>
      </c>
      <c r="R118" s="190">
        <f t="shared" ref="R118:R149" si="12">Q118*H118</f>
        <v>0</v>
      </c>
      <c r="S118" s="190">
        <v>0</v>
      </c>
      <c r="T118" s="191">
        <f t="shared" ref="T118:T149" si="13">S118*H118</f>
        <v>0</v>
      </c>
      <c r="U118" s="36"/>
      <c r="V118" s="36"/>
      <c r="W118" s="36"/>
      <c r="X118" s="36"/>
      <c r="Y118" s="36"/>
      <c r="Z118" s="36"/>
      <c r="AA118" s="36"/>
      <c r="AB118" s="36"/>
      <c r="AC118" s="36"/>
      <c r="AD118" s="36"/>
      <c r="AE118" s="36"/>
      <c r="AR118" s="192" t="s">
        <v>281</v>
      </c>
      <c r="AT118" s="192" t="s">
        <v>382</v>
      </c>
      <c r="AU118" s="192" t="s">
        <v>79</v>
      </c>
      <c r="AY118" s="19" t="s">
        <v>380</v>
      </c>
      <c r="BE118" s="193">
        <f t="shared" ref="BE118:BE149" si="14">IF(N118="základní",J118,0)</f>
        <v>0</v>
      </c>
      <c r="BF118" s="193">
        <f t="shared" ref="BF118:BF149" si="15">IF(N118="snížená",J118,0)</f>
        <v>0</v>
      </c>
      <c r="BG118" s="193">
        <f t="shared" ref="BG118:BG149" si="16">IF(N118="zákl. přenesená",J118,0)</f>
        <v>0</v>
      </c>
      <c r="BH118" s="193">
        <f t="shared" ref="BH118:BH149" si="17">IF(N118="sníž. přenesená",J118,0)</f>
        <v>0</v>
      </c>
      <c r="BI118" s="193">
        <f t="shared" ref="BI118:BI149" si="18">IF(N118="nulová",J118,0)</f>
        <v>0</v>
      </c>
      <c r="BJ118" s="19" t="s">
        <v>79</v>
      </c>
      <c r="BK118" s="193">
        <f t="shared" ref="BK118:BK149" si="19">ROUND(I118*H118,2)</f>
        <v>0</v>
      </c>
      <c r="BL118" s="19" t="s">
        <v>281</v>
      </c>
      <c r="BM118" s="192" t="s">
        <v>631</v>
      </c>
    </row>
    <row r="119" spans="1:65" s="2" customFormat="1" ht="16.5" customHeight="1">
      <c r="A119" s="36"/>
      <c r="B119" s="37"/>
      <c r="C119" s="227" t="s">
        <v>7</v>
      </c>
      <c r="D119" s="227" t="s">
        <v>465</v>
      </c>
      <c r="E119" s="228" t="s">
        <v>5060</v>
      </c>
      <c r="F119" s="229" t="s">
        <v>5061</v>
      </c>
      <c r="G119" s="230" t="s">
        <v>452</v>
      </c>
      <c r="H119" s="231">
        <v>76</v>
      </c>
      <c r="I119" s="232"/>
      <c r="J119" s="233">
        <f t="shared" si="10"/>
        <v>0</v>
      </c>
      <c r="K119" s="229" t="s">
        <v>19</v>
      </c>
      <c r="L119" s="234"/>
      <c r="M119" s="235" t="s">
        <v>19</v>
      </c>
      <c r="N119" s="236"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546</v>
      </c>
      <c r="AT119" s="192" t="s">
        <v>465</v>
      </c>
      <c r="AU119" s="192" t="s">
        <v>79</v>
      </c>
      <c r="AY119" s="19" t="s">
        <v>380</v>
      </c>
      <c r="BE119" s="193">
        <f t="shared" si="14"/>
        <v>0</v>
      </c>
      <c r="BF119" s="193">
        <f t="shared" si="15"/>
        <v>0</v>
      </c>
      <c r="BG119" s="193">
        <f t="shared" si="16"/>
        <v>0</v>
      </c>
      <c r="BH119" s="193">
        <f t="shared" si="17"/>
        <v>0</v>
      </c>
      <c r="BI119" s="193">
        <f t="shared" si="18"/>
        <v>0</v>
      </c>
      <c r="BJ119" s="19" t="s">
        <v>79</v>
      </c>
      <c r="BK119" s="193">
        <f t="shared" si="19"/>
        <v>0</v>
      </c>
      <c r="BL119" s="19" t="s">
        <v>281</v>
      </c>
      <c r="BM119" s="192" t="s">
        <v>644</v>
      </c>
    </row>
    <row r="120" spans="1:65" s="2" customFormat="1" ht="16.5" customHeight="1">
      <c r="A120" s="36"/>
      <c r="B120" s="37"/>
      <c r="C120" s="227" t="s">
        <v>495</v>
      </c>
      <c r="D120" s="227" t="s">
        <v>465</v>
      </c>
      <c r="E120" s="228" t="s">
        <v>5062</v>
      </c>
      <c r="F120" s="229" t="s">
        <v>5063</v>
      </c>
      <c r="G120" s="230" t="s">
        <v>452</v>
      </c>
      <c r="H120" s="231">
        <v>146</v>
      </c>
      <c r="I120" s="232"/>
      <c r="J120" s="233">
        <f t="shared" si="10"/>
        <v>0</v>
      </c>
      <c r="K120" s="229" t="s">
        <v>19</v>
      </c>
      <c r="L120" s="234"/>
      <c r="M120" s="235" t="s">
        <v>19</v>
      </c>
      <c r="N120" s="236"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546</v>
      </c>
      <c r="AT120" s="192" t="s">
        <v>465</v>
      </c>
      <c r="AU120" s="192" t="s">
        <v>79</v>
      </c>
      <c r="AY120" s="19" t="s">
        <v>380</v>
      </c>
      <c r="BE120" s="193">
        <f t="shared" si="14"/>
        <v>0</v>
      </c>
      <c r="BF120" s="193">
        <f t="shared" si="15"/>
        <v>0</v>
      </c>
      <c r="BG120" s="193">
        <f t="shared" si="16"/>
        <v>0</v>
      </c>
      <c r="BH120" s="193">
        <f t="shared" si="17"/>
        <v>0</v>
      </c>
      <c r="BI120" s="193">
        <f t="shared" si="18"/>
        <v>0</v>
      </c>
      <c r="BJ120" s="19" t="s">
        <v>79</v>
      </c>
      <c r="BK120" s="193">
        <f t="shared" si="19"/>
        <v>0</v>
      </c>
      <c r="BL120" s="19" t="s">
        <v>281</v>
      </c>
      <c r="BM120" s="192" t="s">
        <v>652</v>
      </c>
    </row>
    <row r="121" spans="1:65" s="2" customFormat="1" ht="16.5" customHeight="1">
      <c r="A121" s="36"/>
      <c r="B121" s="37"/>
      <c r="C121" s="227" t="s">
        <v>500</v>
      </c>
      <c r="D121" s="227" t="s">
        <v>465</v>
      </c>
      <c r="E121" s="228" t="s">
        <v>5064</v>
      </c>
      <c r="F121" s="229" t="s">
        <v>5065</v>
      </c>
      <c r="G121" s="230" t="s">
        <v>452</v>
      </c>
      <c r="H121" s="231">
        <v>48</v>
      </c>
      <c r="I121" s="232"/>
      <c r="J121" s="233">
        <f t="shared" si="10"/>
        <v>0</v>
      </c>
      <c r="K121" s="229" t="s">
        <v>19</v>
      </c>
      <c r="L121" s="234"/>
      <c r="M121" s="235" t="s">
        <v>19</v>
      </c>
      <c r="N121" s="236"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546</v>
      </c>
      <c r="AT121" s="192" t="s">
        <v>465</v>
      </c>
      <c r="AU121" s="192" t="s">
        <v>79</v>
      </c>
      <c r="AY121" s="19" t="s">
        <v>380</v>
      </c>
      <c r="BE121" s="193">
        <f t="shared" si="14"/>
        <v>0</v>
      </c>
      <c r="BF121" s="193">
        <f t="shared" si="15"/>
        <v>0</v>
      </c>
      <c r="BG121" s="193">
        <f t="shared" si="16"/>
        <v>0</v>
      </c>
      <c r="BH121" s="193">
        <f t="shared" si="17"/>
        <v>0</v>
      </c>
      <c r="BI121" s="193">
        <f t="shared" si="18"/>
        <v>0</v>
      </c>
      <c r="BJ121" s="19" t="s">
        <v>79</v>
      </c>
      <c r="BK121" s="193">
        <f t="shared" si="19"/>
        <v>0</v>
      </c>
      <c r="BL121" s="19" t="s">
        <v>281</v>
      </c>
      <c r="BM121" s="192" t="s">
        <v>660</v>
      </c>
    </row>
    <row r="122" spans="1:65" s="2" customFormat="1" ht="16.5" customHeight="1">
      <c r="A122" s="36"/>
      <c r="B122" s="37"/>
      <c r="C122" s="227" t="s">
        <v>505</v>
      </c>
      <c r="D122" s="227" t="s">
        <v>465</v>
      </c>
      <c r="E122" s="228" t="s">
        <v>5066</v>
      </c>
      <c r="F122" s="229" t="s">
        <v>5067</v>
      </c>
      <c r="G122" s="230" t="s">
        <v>452</v>
      </c>
      <c r="H122" s="231">
        <v>8</v>
      </c>
      <c r="I122" s="232"/>
      <c r="J122" s="233">
        <f t="shared" si="10"/>
        <v>0</v>
      </c>
      <c r="K122" s="229" t="s">
        <v>19</v>
      </c>
      <c r="L122" s="234"/>
      <c r="M122" s="235" t="s">
        <v>19</v>
      </c>
      <c r="N122" s="236"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546</v>
      </c>
      <c r="AT122" s="192" t="s">
        <v>465</v>
      </c>
      <c r="AU122" s="192" t="s">
        <v>79</v>
      </c>
      <c r="AY122" s="19" t="s">
        <v>380</v>
      </c>
      <c r="BE122" s="193">
        <f t="shared" si="14"/>
        <v>0</v>
      </c>
      <c r="BF122" s="193">
        <f t="shared" si="15"/>
        <v>0</v>
      </c>
      <c r="BG122" s="193">
        <f t="shared" si="16"/>
        <v>0</v>
      </c>
      <c r="BH122" s="193">
        <f t="shared" si="17"/>
        <v>0</v>
      </c>
      <c r="BI122" s="193">
        <f t="shared" si="18"/>
        <v>0</v>
      </c>
      <c r="BJ122" s="19" t="s">
        <v>79</v>
      </c>
      <c r="BK122" s="193">
        <f t="shared" si="19"/>
        <v>0</v>
      </c>
      <c r="BL122" s="19" t="s">
        <v>281</v>
      </c>
      <c r="BM122" s="192" t="s">
        <v>668</v>
      </c>
    </row>
    <row r="123" spans="1:65" s="2" customFormat="1" ht="16.5" customHeight="1">
      <c r="A123" s="36"/>
      <c r="B123" s="37"/>
      <c r="C123" s="227" t="s">
        <v>509</v>
      </c>
      <c r="D123" s="227" t="s">
        <v>465</v>
      </c>
      <c r="E123" s="228" t="s">
        <v>5068</v>
      </c>
      <c r="F123" s="229" t="s">
        <v>5069</v>
      </c>
      <c r="G123" s="230" t="s">
        <v>452</v>
      </c>
      <c r="H123" s="231">
        <v>316</v>
      </c>
      <c r="I123" s="232"/>
      <c r="J123" s="233">
        <f t="shared" si="10"/>
        <v>0</v>
      </c>
      <c r="K123" s="229" t="s">
        <v>19</v>
      </c>
      <c r="L123" s="234"/>
      <c r="M123" s="235" t="s">
        <v>19</v>
      </c>
      <c r="N123" s="236"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546</v>
      </c>
      <c r="AT123" s="192" t="s">
        <v>465</v>
      </c>
      <c r="AU123" s="192" t="s">
        <v>79</v>
      </c>
      <c r="AY123" s="19" t="s">
        <v>380</v>
      </c>
      <c r="BE123" s="193">
        <f t="shared" si="14"/>
        <v>0</v>
      </c>
      <c r="BF123" s="193">
        <f t="shared" si="15"/>
        <v>0</v>
      </c>
      <c r="BG123" s="193">
        <f t="shared" si="16"/>
        <v>0</v>
      </c>
      <c r="BH123" s="193">
        <f t="shared" si="17"/>
        <v>0</v>
      </c>
      <c r="BI123" s="193">
        <f t="shared" si="18"/>
        <v>0</v>
      </c>
      <c r="BJ123" s="19" t="s">
        <v>79</v>
      </c>
      <c r="BK123" s="193">
        <f t="shared" si="19"/>
        <v>0</v>
      </c>
      <c r="BL123" s="19" t="s">
        <v>281</v>
      </c>
      <c r="BM123" s="192" t="s">
        <v>677</v>
      </c>
    </row>
    <row r="124" spans="1:65" s="2" customFormat="1" ht="16.5" customHeight="1">
      <c r="A124" s="36"/>
      <c r="B124" s="37"/>
      <c r="C124" s="181" t="s">
        <v>514</v>
      </c>
      <c r="D124" s="181" t="s">
        <v>382</v>
      </c>
      <c r="E124" s="182" t="s">
        <v>5070</v>
      </c>
      <c r="F124" s="183" t="s">
        <v>5071</v>
      </c>
      <c r="G124" s="184" t="s">
        <v>452</v>
      </c>
      <c r="H124" s="185">
        <v>541</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281</v>
      </c>
      <c r="AT124" s="192" t="s">
        <v>382</v>
      </c>
      <c r="AU124" s="192" t="s">
        <v>79</v>
      </c>
      <c r="AY124" s="19" t="s">
        <v>380</v>
      </c>
      <c r="BE124" s="193">
        <f t="shared" si="14"/>
        <v>0</v>
      </c>
      <c r="BF124" s="193">
        <f t="shared" si="15"/>
        <v>0</v>
      </c>
      <c r="BG124" s="193">
        <f t="shared" si="16"/>
        <v>0</v>
      </c>
      <c r="BH124" s="193">
        <f t="shared" si="17"/>
        <v>0</v>
      </c>
      <c r="BI124" s="193">
        <f t="shared" si="18"/>
        <v>0</v>
      </c>
      <c r="BJ124" s="19" t="s">
        <v>79</v>
      </c>
      <c r="BK124" s="193">
        <f t="shared" si="19"/>
        <v>0</v>
      </c>
      <c r="BL124" s="19" t="s">
        <v>281</v>
      </c>
      <c r="BM124" s="192" t="s">
        <v>699</v>
      </c>
    </row>
    <row r="125" spans="1:65" s="2" customFormat="1" ht="16.5" customHeight="1">
      <c r="A125" s="36"/>
      <c r="B125" s="37"/>
      <c r="C125" s="227" t="s">
        <v>520</v>
      </c>
      <c r="D125" s="227" t="s">
        <v>465</v>
      </c>
      <c r="E125" s="228" t="s">
        <v>5072</v>
      </c>
      <c r="F125" s="229" t="s">
        <v>5073</v>
      </c>
      <c r="G125" s="230" t="s">
        <v>452</v>
      </c>
      <c r="H125" s="231">
        <v>63</v>
      </c>
      <c r="I125" s="232"/>
      <c r="J125" s="233">
        <f t="shared" si="10"/>
        <v>0</v>
      </c>
      <c r="K125" s="229" t="s">
        <v>19</v>
      </c>
      <c r="L125" s="234"/>
      <c r="M125" s="235" t="s">
        <v>19</v>
      </c>
      <c r="N125" s="236"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546</v>
      </c>
      <c r="AT125" s="192" t="s">
        <v>465</v>
      </c>
      <c r="AU125" s="192" t="s">
        <v>79</v>
      </c>
      <c r="AY125" s="19" t="s">
        <v>380</v>
      </c>
      <c r="BE125" s="193">
        <f t="shared" si="14"/>
        <v>0</v>
      </c>
      <c r="BF125" s="193">
        <f t="shared" si="15"/>
        <v>0</v>
      </c>
      <c r="BG125" s="193">
        <f t="shared" si="16"/>
        <v>0</v>
      </c>
      <c r="BH125" s="193">
        <f t="shared" si="17"/>
        <v>0</v>
      </c>
      <c r="BI125" s="193">
        <f t="shared" si="18"/>
        <v>0</v>
      </c>
      <c r="BJ125" s="19" t="s">
        <v>79</v>
      </c>
      <c r="BK125" s="193">
        <f t="shared" si="19"/>
        <v>0</v>
      </c>
      <c r="BL125" s="19" t="s">
        <v>281</v>
      </c>
      <c r="BM125" s="192" t="s">
        <v>709</v>
      </c>
    </row>
    <row r="126" spans="1:65" s="2" customFormat="1" ht="16.5" customHeight="1">
      <c r="A126" s="36"/>
      <c r="B126" s="37"/>
      <c r="C126" s="227" t="s">
        <v>525</v>
      </c>
      <c r="D126" s="227" t="s">
        <v>465</v>
      </c>
      <c r="E126" s="228" t="s">
        <v>5074</v>
      </c>
      <c r="F126" s="229" t="s">
        <v>5075</v>
      </c>
      <c r="G126" s="230" t="s">
        <v>452</v>
      </c>
      <c r="H126" s="231">
        <v>466</v>
      </c>
      <c r="I126" s="232"/>
      <c r="J126" s="233">
        <f t="shared" si="10"/>
        <v>0</v>
      </c>
      <c r="K126" s="229" t="s">
        <v>19</v>
      </c>
      <c r="L126" s="234"/>
      <c r="M126" s="235" t="s">
        <v>19</v>
      </c>
      <c r="N126" s="236"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546</v>
      </c>
      <c r="AT126" s="192" t="s">
        <v>465</v>
      </c>
      <c r="AU126" s="192" t="s">
        <v>79</v>
      </c>
      <c r="AY126" s="19" t="s">
        <v>380</v>
      </c>
      <c r="BE126" s="193">
        <f t="shared" si="14"/>
        <v>0</v>
      </c>
      <c r="BF126" s="193">
        <f t="shared" si="15"/>
        <v>0</v>
      </c>
      <c r="BG126" s="193">
        <f t="shared" si="16"/>
        <v>0</v>
      </c>
      <c r="BH126" s="193">
        <f t="shared" si="17"/>
        <v>0</v>
      </c>
      <c r="BI126" s="193">
        <f t="shared" si="18"/>
        <v>0</v>
      </c>
      <c r="BJ126" s="19" t="s">
        <v>79</v>
      </c>
      <c r="BK126" s="193">
        <f t="shared" si="19"/>
        <v>0</v>
      </c>
      <c r="BL126" s="19" t="s">
        <v>281</v>
      </c>
      <c r="BM126" s="192" t="s">
        <v>733</v>
      </c>
    </row>
    <row r="127" spans="1:65" s="2" customFormat="1" ht="16.5" customHeight="1">
      <c r="A127" s="36"/>
      <c r="B127" s="37"/>
      <c r="C127" s="227" t="s">
        <v>529</v>
      </c>
      <c r="D127" s="227" t="s">
        <v>465</v>
      </c>
      <c r="E127" s="228" t="s">
        <v>5076</v>
      </c>
      <c r="F127" s="229" t="s">
        <v>5077</v>
      </c>
      <c r="G127" s="230" t="s">
        <v>452</v>
      </c>
      <c r="H127" s="231">
        <v>12</v>
      </c>
      <c r="I127" s="232"/>
      <c r="J127" s="233">
        <f t="shared" si="10"/>
        <v>0</v>
      </c>
      <c r="K127" s="229" t="s">
        <v>19</v>
      </c>
      <c r="L127" s="234"/>
      <c r="M127" s="235" t="s">
        <v>19</v>
      </c>
      <c r="N127" s="236"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546</v>
      </c>
      <c r="AT127" s="192" t="s">
        <v>465</v>
      </c>
      <c r="AU127" s="192" t="s">
        <v>79</v>
      </c>
      <c r="AY127" s="19" t="s">
        <v>380</v>
      </c>
      <c r="BE127" s="193">
        <f t="shared" si="14"/>
        <v>0</v>
      </c>
      <c r="BF127" s="193">
        <f t="shared" si="15"/>
        <v>0</v>
      </c>
      <c r="BG127" s="193">
        <f t="shared" si="16"/>
        <v>0</v>
      </c>
      <c r="BH127" s="193">
        <f t="shared" si="17"/>
        <v>0</v>
      </c>
      <c r="BI127" s="193">
        <f t="shared" si="18"/>
        <v>0</v>
      </c>
      <c r="BJ127" s="19" t="s">
        <v>79</v>
      </c>
      <c r="BK127" s="193">
        <f t="shared" si="19"/>
        <v>0</v>
      </c>
      <c r="BL127" s="19" t="s">
        <v>281</v>
      </c>
      <c r="BM127" s="192" t="s">
        <v>753</v>
      </c>
    </row>
    <row r="128" spans="1:65" s="2" customFormat="1" ht="16.5" customHeight="1">
      <c r="A128" s="36"/>
      <c r="B128" s="37"/>
      <c r="C128" s="181" t="s">
        <v>534</v>
      </c>
      <c r="D128" s="181" t="s">
        <v>382</v>
      </c>
      <c r="E128" s="182" t="s">
        <v>5078</v>
      </c>
      <c r="F128" s="183" t="s">
        <v>5079</v>
      </c>
      <c r="G128" s="184" t="s">
        <v>2393</v>
      </c>
      <c r="H128" s="185">
        <v>47</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281</v>
      </c>
      <c r="AT128" s="192" t="s">
        <v>382</v>
      </c>
      <c r="AU128" s="192" t="s">
        <v>79</v>
      </c>
      <c r="AY128" s="19" t="s">
        <v>380</v>
      </c>
      <c r="BE128" s="193">
        <f t="shared" si="14"/>
        <v>0</v>
      </c>
      <c r="BF128" s="193">
        <f t="shared" si="15"/>
        <v>0</v>
      </c>
      <c r="BG128" s="193">
        <f t="shared" si="16"/>
        <v>0</v>
      </c>
      <c r="BH128" s="193">
        <f t="shared" si="17"/>
        <v>0</v>
      </c>
      <c r="BI128" s="193">
        <f t="shared" si="18"/>
        <v>0</v>
      </c>
      <c r="BJ128" s="19" t="s">
        <v>79</v>
      </c>
      <c r="BK128" s="193">
        <f t="shared" si="19"/>
        <v>0</v>
      </c>
      <c r="BL128" s="19" t="s">
        <v>281</v>
      </c>
      <c r="BM128" s="192" t="s">
        <v>767</v>
      </c>
    </row>
    <row r="129" spans="1:65" s="2" customFormat="1" ht="16.5" customHeight="1">
      <c r="A129" s="36"/>
      <c r="B129" s="37"/>
      <c r="C129" s="227" t="s">
        <v>540</v>
      </c>
      <c r="D129" s="227" t="s">
        <v>465</v>
      </c>
      <c r="E129" s="228" t="s">
        <v>5080</v>
      </c>
      <c r="F129" s="229" t="s">
        <v>5081</v>
      </c>
      <c r="G129" s="230" t="s">
        <v>2393</v>
      </c>
      <c r="H129" s="231">
        <v>47</v>
      </c>
      <c r="I129" s="232"/>
      <c r="J129" s="233">
        <f t="shared" si="10"/>
        <v>0</v>
      </c>
      <c r="K129" s="229" t="s">
        <v>19</v>
      </c>
      <c r="L129" s="234"/>
      <c r="M129" s="235" t="s">
        <v>19</v>
      </c>
      <c r="N129" s="236"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546</v>
      </c>
      <c r="AT129" s="192" t="s">
        <v>465</v>
      </c>
      <c r="AU129" s="192" t="s">
        <v>79</v>
      </c>
      <c r="AY129" s="19" t="s">
        <v>380</v>
      </c>
      <c r="BE129" s="193">
        <f t="shared" si="14"/>
        <v>0</v>
      </c>
      <c r="BF129" s="193">
        <f t="shared" si="15"/>
        <v>0</v>
      </c>
      <c r="BG129" s="193">
        <f t="shared" si="16"/>
        <v>0</v>
      </c>
      <c r="BH129" s="193">
        <f t="shared" si="17"/>
        <v>0</v>
      </c>
      <c r="BI129" s="193">
        <f t="shared" si="18"/>
        <v>0</v>
      </c>
      <c r="BJ129" s="19" t="s">
        <v>79</v>
      </c>
      <c r="BK129" s="193">
        <f t="shared" si="19"/>
        <v>0</v>
      </c>
      <c r="BL129" s="19" t="s">
        <v>281</v>
      </c>
      <c r="BM129" s="192" t="s">
        <v>776</v>
      </c>
    </row>
    <row r="130" spans="1:65" s="2" customFormat="1" ht="16.5" customHeight="1">
      <c r="A130" s="36"/>
      <c r="B130" s="37"/>
      <c r="C130" s="181" t="s">
        <v>546</v>
      </c>
      <c r="D130" s="181" t="s">
        <v>382</v>
      </c>
      <c r="E130" s="182" t="s">
        <v>5082</v>
      </c>
      <c r="F130" s="183" t="s">
        <v>5083</v>
      </c>
      <c r="G130" s="184" t="s">
        <v>452</v>
      </c>
      <c r="H130" s="185">
        <v>30</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281</v>
      </c>
      <c r="AT130" s="192" t="s">
        <v>382</v>
      </c>
      <c r="AU130" s="192" t="s">
        <v>79</v>
      </c>
      <c r="AY130" s="19" t="s">
        <v>380</v>
      </c>
      <c r="BE130" s="193">
        <f t="shared" si="14"/>
        <v>0</v>
      </c>
      <c r="BF130" s="193">
        <f t="shared" si="15"/>
        <v>0</v>
      </c>
      <c r="BG130" s="193">
        <f t="shared" si="16"/>
        <v>0</v>
      </c>
      <c r="BH130" s="193">
        <f t="shared" si="17"/>
        <v>0</v>
      </c>
      <c r="BI130" s="193">
        <f t="shared" si="18"/>
        <v>0</v>
      </c>
      <c r="BJ130" s="19" t="s">
        <v>79</v>
      </c>
      <c r="BK130" s="193">
        <f t="shared" si="19"/>
        <v>0</v>
      </c>
      <c r="BL130" s="19" t="s">
        <v>281</v>
      </c>
      <c r="BM130" s="192" t="s">
        <v>787</v>
      </c>
    </row>
    <row r="131" spans="1:65" s="2" customFormat="1" ht="16.5" customHeight="1">
      <c r="A131" s="36"/>
      <c r="B131" s="37"/>
      <c r="C131" s="227" t="s">
        <v>552</v>
      </c>
      <c r="D131" s="227" t="s">
        <v>465</v>
      </c>
      <c r="E131" s="228" t="s">
        <v>5084</v>
      </c>
      <c r="F131" s="229" t="s">
        <v>5085</v>
      </c>
      <c r="G131" s="230" t="s">
        <v>452</v>
      </c>
      <c r="H131" s="231">
        <v>30</v>
      </c>
      <c r="I131" s="232"/>
      <c r="J131" s="233">
        <f t="shared" si="10"/>
        <v>0</v>
      </c>
      <c r="K131" s="229" t="s">
        <v>19</v>
      </c>
      <c r="L131" s="234"/>
      <c r="M131" s="235" t="s">
        <v>19</v>
      </c>
      <c r="N131" s="236"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546</v>
      </c>
      <c r="AT131" s="192" t="s">
        <v>465</v>
      </c>
      <c r="AU131" s="192" t="s">
        <v>79</v>
      </c>
      <c r="AY131" s="19" t="s">
        <v>380</v>
      </c>
      <c r="BE131" s="193">
        <f t="shared" si="14"/>
        <v>0</v>
      </c>
      <c r="BF131" s="193">
        <f t="shared" si="15"/>
        <v>0</v>
      </c>
      <c r="BG131" s="193">
        <f t="shared" si="16"/>
        <v>0</v>
      </c>
      <c r="BH131" s="193">
        <f t="shared" si="17"/>
        <v>0</v>
      </c>
      <c r="BI131" s="193">
        <f t="shared" si="18"/>
        <v>0</v>
      </c>
      <c r="BJ131" s="19" t="s">
        <v>79</v>
      </c>
      <c r="BK131" s="193">
        <f t="shared" si="19"/>
        <v>0</v>
      </c>
      <c r="BL131" s="19" t="s">
        <v>281</v>
      </c>
      <c r="BM131" s="192" t="s">
        <v>795</v>
      </c>
    </row>
    <row r="132" spans="1:65" s="2" customFormat="1" ht="16.5" customHeight="1">
      <c r="A132" s="36"/>
      <c r="B132" s="37"/>
      <c r="C132" s="181" t="s">
        <v>556</v>
      </c>
      <c r="D132" s="181" t="s">
        <v>382</v>
      </c>
      <c r="E132" s="182" t="s">
        <v>5086</v>
      </c>
      <c r="F132" s="183" t="s">
        <v>4224</v>
      </c>
      <c r="G132" s="184" t="s">
        <v>452</v>
      </c>
      <c r="H132" s="185">
        <v>45</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281</v>
      </c>
      <c r="AT132" s="192" t="s">
        <v>382</v>
      </c>
      <c r="AU132" s="192" t="s">
        <v>79</v>
      </c>
      <c r="AY132" s="19" t="s">
        <v>380</v>
      </c>
      <c r="BE132" s="193">
        <f t="shared" si="14"/>
        <v>0</v>
      </c>
      <c r="BF132" s="193">
        <f t="shared" si="15"/>
        <v>0</v>
      </c>
      <c r="BG132" s="193">
        <f t="shared" si="16"/>
        <v>0</v>
      </c>
      <c r="BH132" s="193">
        <f t="shared" si="17"/>
        <v>0</v>
      </c>
      <c r="BI132" s="193">
        <f t="shared" si="18"/>
        <v>0</v>
      </c>
      <c r="BJ132" s="19" t="s">
        <v>79</v>
      </c>
      <c r="BK132" s="193">
        <f t="shared" si="19"/>
        <v>0</v>
      </c>
      <c r="BL132" s="19" t="s">
        <v>281</v>
      </c>
      <c r="BM132" s="192" t="s">
        <v>804</v>
      </c>
    </row>
    <row r="133" spans="1:65" s="2" customFormat="1" ht="16.5" customHeight="1">
      <c r="A133" s="36"/>
      <c r="B133" s="37"/>
      <c r="C133" s="227" t="s">
        <v>565</v>
      </c>
      <c r="D133" s="227" t="s">
        <v>465</v>
      </c>
      <c r="E133" s="228" t="s">
        <v>5087</v>
      </c>
      <c r="F133" s="229" t="s">
        <v>5088</v>
      </c>
      <c r="G133" s="230" t="s">
        <v>452</v>
      </c>
      <c r="H133" s="231">
        <v>45</v>
      </c>
      <c r="I133" s="232"/>
      <c r="J133" s="233">
        <f t="shared" si="10"/>
        <v>0</v>
      </c>
      <c r="K133" s="229" t="s">
        <v>19</v>
      </c>
      <c r="L133" s="234"/>
      <c r="M133" s="235" t="s">
        <v>19</v>
      </c>
      <c r="N133" s="236"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546</v>
      </c>
      <c r="AT133" s="192" t="s">
        <v>465</v>
      </c>
      <c r="AU133" s="192" t="s">
        <v>79</v>
      </c>
      <c r="AY133" s="19" t="s">
        <v>380</v>
      </c>
      <c r="BE133" s="193">
        <f t="shared" si="14"/>
        <v>0</v>
      </c>
      <c r="BF133" s="193">
        <f t="shared" si="15"/>
        <v>0</v>
      </c>
      <c r="BG133" s="193">
        <f t="shared" si="16"/>
        <v>0</v>
      </c>
      <c r="BH133" s="193">
        <f t="shared" si="17"/>
        <v>0</v>
      </c>
      <c r="BI133" s="193">
        <f t="shared" si="18"/>
        <v>0</v>
      </c>
      <c r="BJ133" s="19" t="s">
        <v>79</v>
      </c>
      <c r="BK133" s="193">
        <f t="shared" si="19"/>
        <v>0</v>
      </c>
      <c r="BL133" s="19" t="s">
        <v>281</v>
      </c>
      <c r="BM133" s="192" t="s">
        <v>831</v>
      </c>
    </row>
    <row r="134" spans="1:65" s="2" customFormat="1" ht="16.5" customHeight="1">
      <c r="A134" s="36"/>
      <c r="B134" s="37"/>
      <c r="C134" s="227" t="s">
        <v>579</v>
      </c>
      <c r="D134" s="227" t="s">
        <v>465</v>
      </c>
      <c r="E134" s="228" t="s">
        <v>5089</v>
      </c>
      <c r="F134" s="229" t="s">
        <v>5090</v>
      </c>
      <c r="G134" s="230" t="s">
        <v>2393</v>
      </c>
      <c r="H134" s="231">
        <v>45</v>
      </c>
      <c r="I134" s="232"/>
      <c r="J134" s="233">
        <f t="shared" si="10"/>
        <v>0</v>
      </c>
      <c r="K134" s="229" t="s">
        <v>19</v>
      </c>
      <c r="L134" s="234"/>
      <c r="M134" s="235" t="s">
        <v>19</v>
      </c>
      <c r="N134" s="236"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546</v>
      </c>
      <c r="AT134" s="192" t="s">
        <v>465</v>
      </c>
      <c r="AU134" s="192" t="s">
        <v>79</v>
      </c>
      <c r="AY134" s="19" t="s">
        <v>380</v>
      </c>
      <c r="BE134" s="193">
        <f t="shared" si="14"/>
        <v>0</v>
      </c>
      <c r="BF134" s="193">
        <f t="shared" si="15"/>
        <v>0</v>
      </c>
      <c r="BG134" s="193">
        <f t="shared" si="16"/>
        <v>0</v>
      </c>
      <c r="BH134" s="193">
        <f t="shared" si="17"/>
        <v>0</v>
      </c>
      <c r="BI134" s="193">
        <f t="shared" si="18"/>
        <v>0</v>
      </c>
      <c r="BJ134" s="19" t="s">
        <v>79</v>
      </c>
      <c r="BK134" s="193">
        <f t="shared" si="19"/>
        <v>0</v>
      </c>
      <c r="BL134" s="19" t="s">
        <v>281</v>
      </c>
      <c r="BM134" s="192" t="s">
        <v>841</v>
      </c>
    </row>
    <row r="135" spans="1:65" s="2" customFormat="1" ht="16.5" customHeight="1">
      <c r="A135" s="36"/>
      <c r="B135" s="37"/>
      <c r="C135" s="227" t="s">
        <v>600</v>
      </c>
      <c r="D135" s="227" t="s">
        <v>465</v>
      </c>
      <c r="E135" s="228" t="s">
        <v>5091</v>
      </c>
      <c r="F135" s="229" t="s">
        <v>5092</v>
      </c>
      <c r="G135" s="230" t="s">
        <v>2393</v>
      </c>
      <c r="H135" s="231">
        <v>23</v>
      </c>
      <c r="I135" s="232"/>
      <c r="J135" s="233">
        <f t="shared" si="10"/>
        <v>0</v>
      </c>
      <c r="K135" s="229" t="s">
        <v>19</v>
      </c>
      <c r="L135" s="234"/>
      <c r="M135" s="235" t="s">
        <v>19</v>
      </c>
      <c r="N135" s="236"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546</v>
      </c>
      <c r="AT135" s="192" t="s">
        <v>465</v>
      </c>
      <c r="AU135" s="192" t="s">
        <v>79</v>
      </c>
      <c r="AY135" s="19" t="s">
        <v>380</v>
      </c>
      <c r="BE135" s="193">
        <f t="shared" si="14"/>
        <v>0</v>
      </c>
      <c r="BF135" s="193">
        <f t="shared" si="15"/>
        <v>0</v>
      </c>
      <c r="BG135" s="193">
        <f t="shared" si="16"/>
        <v>0</v>
      </c>
      <c r="BH135" s="193">
        <f t="shared" si="17"/>
        <v>0</v>
      </c>
      <c r="BI135" s="193">
        <f t="shared" si="18"/>
        <v>0</v>
      </c>
      <c r="BJ135" s="19" t="s">
        <v>79</v>
      </c>
      <c r="BK135" s="193">
        <f t="shared" si="19"/>
        <v>0</v>
      </c>
      <c r="BL135" s="19" t="s">
        <v>281</v>
      </c>
      <c r="BM135" s="192" t="s">
        <v>851</v>
      </c>
    </row>
    <row r="136" spans="1:65" s="2" customFormat="1" ht="16.5" customHeight="1">
      <c r="A136" s="36"/>
      <c r="B136" s="37"/>
      <c r="C136" s="181" t="s">
        <v>619</v>
      </c>
      <c r="D136" s="181" t="s">
        <v>382</v>
      </c>
      <c r="E136" s="182" t="s">
        <v>5093</v>
      </c>
      <c r="F136" s="183" t="s">
        <v>5094</v>
      </c>
      <c r="G136" s="184" t="s">
        <v>452</v>
      </c>
      <c r="H136" s="185">
        <v>138</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281</v>
      </c>
      <c r="AT136" s="192" t="s">
        <v>382</v>
      </c>
      <c r="AU136" s="192" t="s">
        <v>79</v>
      </c>
      <c r="AY136" s="19" t="s">
        <v>380</v>
      </c>
      <c r="BE136" s="193">
        <f t="shared" si="14"/>
        <v>0</v>
      </c>
      <c r="BF136" s="193">
        <f t="shared" si="15"/>
        <v>0</v>
      </c>
      <c r="BG136" s="193">
        <f t="shared" si="16"/>
        <v>0</v>
      </c>
      <c r="BH136" s="193">
        <f t="shared" si="17"/>
        <v>0</v>
      </c>
      <c r="BI136" s="193">
        <f t="shared" si="18"/>
        <v>0</v>
      </c>
      <c r="BJ136" s="19" t="s">
        <v>79</v>
      </c>
      <c r="BK136" s="193">
        <f t="shared" si="19"/>
        <v>0</v>
      </c>
      <c r="BL136" s="19" t="s">
        <v>281</v>
      </c>
      <c r="BM136" s="192" t="s">
        <v>859</v>
      </c>
    </row>
    <row r="137" spans="1:65" s="2" customFormat="1" ht="16.5" customHeight="1">
      <c r="A137" s="36"/>
      <c r="B137" s="37"/>
      <c r="C137" s="227" t="s">
        <v>623</v>
      </c>
      <c r="D137" s="227" t="s">
        <v>465</v>
      </c>
      <c r="E137" s="228" t="s">
        <v>5095</v>
      </c>
      <c r="F137" s="229" t="s">
        <v>5096</v>
      </c>
      <c r="G137" s="230" t="s">
        <v>452</v>
      </c>
      <c r="H137" s="231">
        <v>138</v>
      </c>
      <c r="I137" s="232"/>
      <c r="J137" s="233">
        <f t="shared" si="10"/>
        <v>0</v>
      </c>
      <c r="K137" s="229" t="s">
        <v>19</v>
      </c>
      <c r="L137" s="234"/>
      <c r="M137" s="235" t="s">
        <v>19</v>
      </c>
      <c r="N137" s="236"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546</v>
      </c>
      <c r="AT137" s="192" t="s">
        <v>465</v>
      </c>
      <c r="AU137" s="192" t="s">
        <v>79</v>
      </c>
      <c r="AY137" s="19" t="s">
        <v>380</v>
      </c>
      <c r="BE137" s="193">
        <f t="shared" si="14"/>
        <v>0</v>
      </c>
      <c r="BF137" s="193">
        <f t="shared" si="15"/>
        <v>0</v>
      </c>
      <c r="BG137" s="193">
        <f t="shared" si="16"/>
        <v>0</v>
      </c>
      <c r="BH137" s="193">
        <f t="shared" si="17"/>
        <v>0</v>
      </c>
      <c r="BI137" s="193">
        <f t="shared" si="18"/>
        <v>0</v>
      </c>
      <c r="BJ137" s="19" t="s">
        <v>79</v>
      </c>
      <c r="BK137" s="193">
        <f t="shared" si="19"/>
        <v>0</v>
      </c>
      <c r="BL137" s="19" t="s">
        <v>281</v>
      </c>
      <c r="BM137" s="192" t="s">
        <v>867</v>
      </c>
    </row>
    <row r="138" spans="1:65" s="2" customFormat="1" ht="16.5" customHeight="1">
      <c r="A138" s="36"/>
      <c r="B138" s="37"/>
      <c r="C138" s="181" t="s">
        <v>631</v>
      </c>
      <c r="D138" s="181" t="s">
        <v>382</v>
      </c>
      <c r="E138" s="182" t="s">
        <v>5097</v>
      </c>
      <c r="F138" s="183" t="s">
        <v>5098</v>
      </c>
      <c r="G138" s="184" t="s">
        <v>452</v>
      </c>
      <c r="H138" s="185">
        <v>15</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281</v>
      </c>
      <c r="AT138" s="192" t="s">
        <v>382</v>
      </c>
      <c r="AU138" s="192" t="s">
        <v>79</v>
      </c>
      <c r="AY138" s="19" t="s">
        <v>380</v>
      </c>
      <c r="BE138" s="193">
        <f t="shared" si="14"/>
        <v>0</v>
      </c>
      <c r="BF138" s="193">
        <f t="shared" si="15"/>
        <v>0</v>
      </c>
      <c r="BG138" s="193">
        <f t="shared" si="16"/>
        <v>0</v>
      </c>
      <c r="BH138" s="193">
        <f t="shared" si="17"/>
        <v>0</v>
      </c>
      <c r="BI138" s="193">
        <f t="shared" si="18"/>
        <v>0</v>
      </c>
      <c r="BJ138" s="19" t="s">
        <v>79</v>
      </c>
      <c r="BK138" s="193">
        <f t="shared" si="19"/>
        <v>0</v>
      </c>
      <c r="BL138" s="19" t="s">
        <v>281</v>
      </c>
      <c r="BM138" s="192" t="s">
        <v>884</v>
      </c>
    </row>
    <row r="139" spans="1:65" s="2" customFormat="1" ht="16.5" customHeight="1">
      <c r="A139" s="36"/>
      <c r="B139" s="37"/>
      <c r="C139" s="227" t="s">
        <v>638</v>
      </c>
      <c r="D139" s="227" t="s">
        <v>465</v>
      </c>
      <c r="E139" s="228" t="s">
        <v>5099</v>
      </c>
      <c r="F139" s="229" t="s">
        <v>5100</v>
      </c>
      <c r="G139" s="230" t="s">
        <v>2393</v>
      </c>
      <c r="H139" s="231">
        <v>15</v>
      </c>
      <c r="I139" s="232"/>
      <c r="J139" s="233">
        <f t="shared" si="10"/>
        <v>0</v>
      </c>
      <c r="K139" s="229" t="s">
        <v>19</v>
      </c>
      <c r="L139" s="234"/>
      <c r="M139" s="235" t="s">
        <v>19</v>
      </c>
      <c r="N139" s="236"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546</v>
      </c>
      <c r="AT139" s="192" t="s">
        <v>465</v>
      </c>
      <c r="AU139" s="192" t="s">
        <v>79</v>
      </c>
      <c r="AY139" s="19" t="s">
        <v>380</v>
      </c>
      <c r="BE139" s="193">
        <f t="shared" si="14"/>
        <v>0</v>
      </c>
      <c r="BF139" s="193">
        <f t="shared" si="15"/>
        <v>0</v>
      </c>
      <c r="BG139" s="193">
        <f t="shared" si="16"/>
        <v>0</v>
      </c>
      <c r="BH139" s="193">
        <f t="shared" si="17"/>
        <v>0</v>
      </c>
      <c r="BI139" s="193">
        <f t="shared" si="18"/>
        <v>0</v>
      </c>
      <c r="BJ139" s="19" t="s">
        <v>79</v>
      </c>
      <c r="BK139" s="193">
        <f t="shared" si="19"/>
        <v>0</v>
      </c>
      <c r="BL139" s="19" t="s">
        <v>281</v>
      </c>
      <c r="BM139" s="192" t="s">
        <v>910</v>
      </c>
    </row>
    <row r="140" spans="1:65" s="2" customFormat="1" ht="16.5" customHeight="1">
      <c r="A140" s="36"/>
      <c r="B140" s="37"/>
      <c r="C140" s="181" t="s">
        <v>644</v>
      </c>
      <c r="D140" s="181" t="s">
        <v>382</v>
      </c>
      <c r="E140" s="182" t="s">
        <v>5101</v>
      </c>
      <c r="F140" s="183" t="s">
        <v>5102</v>
      </c>
      <c r="G140" s="184" t="s">
        <v>2393</v>
      </c>
      <c r="H140" s="185">
        <v>2</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281</v>
      </c>
      <c r="AT140" s="192" t="s">
        <v>382</v>
      </c>
      <c r="AU140" s="192" t="s">
        <v>79</v>
      </c>
      <c r="AY140" s="19" t="s">
        <v>380</v>
      </c>
      <c r="BE140" s="193">
        <f t="shared" si="14"/>
        <v>0</v>
      </c>
      <c r="BF140" s="193">
        <f t="shared" si="15"/>
        <v>0</v>
      </c>
      <c r="BG140" s="193">
        <f t="shared" si="16"/>
        <v>0</v>
      </c>
      <c r="BH140" s="193">
        <f t="shared" si="17"/>
        <v>0</v>
      </c>
      <c r="BI140" s="193">
        <f t="shared" si="18"/>
        <v>0</v>
      </c>
      <c r="BJ140" s="19" t="s">
        <v>79</v>
      </c>
      <c r="BK140" s="193">
        <f t="shared" si="19"/>
        <v>0</v>
      </c>
      <c r="BL140" s="19" t="s">
        <v>281</v>
      </c>
      <c r="BM140" s="192" t="s">
        <v>927</v>
      </c>
    </row>
    <row r="141" spans="1:65" s="2" customFormat="1" ht="16.5" customHeight="1">
      <c r="A141" s="36"/>
      <c r="B141" s="37"/>
      <c r="C141" s="227" t="s">
        <v>648</v>
      </c>
      <c r="D141" s="227" t="s">
        <v>465</v>
      </c>
      <c r="E141" s="228" t="s">
        <v>5103</v>
      </c>
      <c r="F141" s="229" t="s">
        <v>5104</v>
      </c>
      <c r="G141" s="230" t="s">
        <v>2393</v>
      </c>
      <c r="H141" s="231">
        <v>2</v>
      </c>
      <c r="I141" s="232"/>
      <c r="J141" s="233">
        <f t="shared" si="10"/>
        <v>0</v>
      </c>
      <c r="K141" s="229" t="s">
        <v>19</v>
      </c>
      <c r="L141" s="234"/>
      <c r="M141" s="235" t="s">
        <v>19</v>
      </c>
      <c r="N141" s="236"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546</v>
      </c>
      <c r="AT141" s="192" t="s">
        <v>465</v>
      </c>
      <c r="AU141" s="192" t="s">
        <v>79</v>
      </c>
      <c r="AY141" s="19" t="s">
        <v>380</v>
      </c>
      <c r="BE141" s="193">
        <f t="shared" si="14"/>
        <v>0</v>
      </c>
      <c r="BF141" s="193">
        <f t="shared" si="15"/>
        <v>0</v>
      </c>
      <c r="BG141" s="193">
        <f t="shared" si="16"/>
        <v>0</v>
      </c>
      <c r="BH141" s="193">
        <f t="shared" si="17"/>
        <v>0</v>
      </c>
      <c r="BI141" s="193">
        <f t="shared" si="18"/>
        <v>0</v>
      </c>
      <c r="BJ141" s="19" t="s">
        <v>79</v>
      </c>
      <c r="BK141" s="193">
        <f t="shared" si="19"/>
        <v>0</v>
      </c>
      <c r="BL141" s="19" t="s">
        <v>281</v>
      </c>
      <c r="BM141" s="192" t="s">
        <v>936</v>
      </c>
    </row>
    <row r="142" spans="1:65" s="2" customFormat="1" ht="16.5" customHeight="1">
      <c r="A142" s="36"/>
      <c r="B142" s="37"/>
      <c r="C142" s="181" t="s">
        <v>652</v>
      </c>
      <c r="D142" s="181" t="s">
        <v>382</v>
      </c>
      <c r="E142" s="182" t="s">
        <v>5105</v>
      </c>
      <c r="F142" s="183" t="s">
        <v>5106</v>
      </c>
      <c r="G142" s="184" t="s">
        <v>2393</v>
      </c>
      <c r="H142" s="185">
        <v>1</v>
      </c>
      <c r="I142" s="186"/>
      <c r="J142" s="187">
        <f t="shared" si="10"/>
        <v>0</v>
      </c>
      <c r="K142" s="183" t="s">
        <v>19</v>
      </c>
      <c r="L142" s="41"/>
      <c r="M142" s="188" t="s">
        <v>19</v>
      </c>
      <c r="N142" s="189" t="s">
        <v>43</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281</v>
      </c>
      <c r="AT142" s="192" t="s">
        <v>382</v>
      </c>
      <c r="AU142" s="192" t="s">
        <v>79</v>
      </c>
      <c r="AY142" s="19" t="s">
        <v>380</v>
      </c>
      <c r="BE142" s="193">
        <f t="shared" si="14"/>
        <v>0</v>
      </c>
      <c r="BF142" s="193">
        <f t="shared" si="15"/>
        <v>0</v>
      </c>
      <c r="BG142" s="193">
        <f t="shared" si="16"/>
        <v>0</v>
      </c>
      <c r="BH142" s="193">
        <f t="shared" si="17"/>
        <v>0</v>
      </c>
      <c r="BI142" s="193">
        <f t="shared" si="18"/>
        <v>0</v>
      </c>
      <c r="BJ142" s="19" t="s">
        <v>79</v>
      </c>
      <c r="BK142" s="193">
        <f t="shared" si="19"/>
        <v>0</v>
      </c>
      <c r="BL142" s="19" t="s">
        <v>281</v>
      </c>
      <c r="BM142" s="192" t="s">
        <v>946</v>
      </c>
    </row>
    <row r="143" spans="1:65" s="2" customFormat="1" ht="16.5" customHeight="1">
      <c r="A143" s="36"/>
      <c r="B143" s="37"/>
      <c r="C143" s="227" t="s">
        <v>656</v>
      </c>
      <c r="D143" s="227" t="s">
        <v>465</v>
      </c>
      <c r="E143" s="228" t="s">
        <v>5107</v>
      </c>
      <c r="F143" s="229" t="s">
        <v>5108</v>
      </c>
      <c r="G143" s="230" t="s">
        <v>2393</v>
      </c>
      <c r="H143" s="231">
        <v>1</v>
      </c>
      <c r="I143" s="232"/>
      <c r="J143" s="233">
        <f t="shared" si="10"/>
        <v>0</v>
      </c>
      <c r="K143" s="229" t="s">
        <v>19</v>
      </c>
      <c r="L143" s="234"/>
      <c r="M143" s="235" t="s">
        <v>19</v>
      </c>
      <c r="N143" s="236" t="s">
        <v>43</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546</v>
      </c>
      <c r="AT143" s="192" t="s">
        <v>465</v>
      </c>
      <c r="AU143" s="192" t="s">
        <v>79</v>
      </c>
      <c r="AY143" s="19" t="s">
        <v>380</v>
      </c>
      <c r="BE143" s="193">
        <f t="shared" si="14"/>
        <v>0</v>
      </c>
      <c r="BF143" s="193">
        <f t="shared" si="15"/>
        <v>0</v>
      </c>
      <c r="BG143" s="193">
        <f t="shared" si="16"/>
        <v>0</v>
      </c>
      <c r="BH143" s="193">
        <f t="shared" si="17"/>
        <v>0</v>
      </c>
      <c r="BI143" s="193">
        <f t="shared" si="18"/>
        <v>0</v>
      </c>
      <c r="BJ143" s="19" t="s">
        <v>79</v>
      </c>
      <c r="BK143" s="193">
        <f t="shared" si="19"/>
        <v>0</v>
      </c>
      <c r="BL143" s="19" t="s">
        <v>281</v>
      </c>
      <c r="BM143" s="192" t="s">
        <v>955</v>
      </c>
    </row>
    <row r="144" spans="1:65" s="2" customFormat="1" ht="21.75" customHeight="1">
      <c r="A144" s="36"/>
      <c r="B144" s="37"/>
      <c r="C144" s="181" t="s">
        <v>660</v>
      </c>
      <c r="D144" s="181" t="s">
        <v>382</v>
      </c>
      <c r="E144" s="182" t="s">
        <v>5109</v>
      </c>
      <c r="F144" s="183" t="s">
        <v>5110</v>
      </c>
      <c r="G144" s="184" t="s">
        <v>2393</v>
      </c>
      <c r="H144" s="185">
        <v>4</v>
      </c>
      <c r="I144" s="186"/>
      <c r="J144" s="187">
        <f t="shared" si="10"/>
        <v>0</v>
      </c>
      <c r="K144" s="183" t="s">
        <v>19</v>
      </c>
      <c r="L144" s="41"/>
      <c r="M144" s="188" t="s">
        <v>19</v>
      </c>
      <c r="N144" s="189" t="s">
        <v>43</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281</v>
      </c>
      <c r="AT144" s="192" t="s">
        <v>382</v>
      </c>
      <c r="AU144" s="192" t="s">
        <v>79</v>
      </c>
      <c r="AY144" s="19" t="s">
        <v>380</v>
      </c>
      <c r="BE144" s="193">
        <f t="shared" si="14"/>
        <v>0</v>
      </c>
      <c r="BF144" s="193">
        <f t="shared" si="15"/>
        <v>0</v>
      </c>
      <c r="BG144" s="193">
        <f t="shared" si="16"/>
        <v>0</v>
      </c>
      <c r="BH144" s="193">
        <f t="shared" si="17"/>
        <v>0</v>
      </c>
      <c r="BI144" s="193">
        <f t="shared" si="18"/>
        <v>0</v>
      </c>
      <c r="BJ144" s="19" t="s">
        <v>79</v>
      </c>
      <c r="BK144" s="193">
        <f t="shared" si="19"/>
        <v>0</v>
      </c>
      <c r="BL144" s="19" t="s">
        <v>281</v>
      </c>
      <c r="BM144" s="192" t="s">
        <v>963</v>
      </c>
    </row>
    <row r="145" spans="1:65" s="2" customFormat="1" ht="16.5" customHeight="1">
      <c r="A145" s="36"/>
      <c r="B145" s="37"/>
      <c r="C145" s="227" t="s">
        <v>664</v>
      </c>
      <c r="D145" s="227" t="s">
        <v>465</v>
      </c>
      <c r="E145" s="228" t="s">
        <v>5111</v>
      </c>
      <c r="F145" s="229" t="s">
        <v>5112</v>
      </c>
      <c r="G145" s="230" t="s">
        <v>2393</v>
      </c>
      <c r="H145" s="231">
        <v>4</v>
      </c>
      <c r="I145" s="232"/>
      <c r="J145" s="233">
        <f t="shared" si="10"/>
        <v>0</v>
      </c>
      <c r="K145" s="229" t="s">
        <v>19</v>
      </c>
      <c r="L145" s="234"/>
      <c r="M145" s="235" t="s">
        <v>19</v>
      </c>
      <c r="N145" s="236" t="s">
        <v>43</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546</v>
      </c>
      <c r="AT145" s="192" t="s">
        <v>465</v>
      </c>
      <c r="AU145" s="192" t="s">
        <v>79</v>
      </c>
      <c r="AY145" s="19" t="s">
        <v>380</v>
      </c>
      <c r="BE145" s="193">
        <f t="shared" si="14"/>
        <v>0</v>
      </c>
      <c r="BF145" s="193">
        <f t="shared" si="15"/>
        <v>0</v>
      </c>
      <c r="BG145" s="193">
        <f t="shared" si="16"/>
        <v>0</v>
      </c>
      <c r="BH145" s="193">
        <f t="shared" si="17"/>
        <v>0</v>
      </c>
      <c r="BI145" s="193">
        <f t="shared" si="18"/>
        <v>0</v>
      </c>
      <c r="BJ145" s="19" t="s">
        <v>79</v>
      </c>
      <c r="BK145" s="193">
        <f t="shared" si="19"/>
        <v>0</v>
      </c>
      <c r="BL145" s="19" t="s">
        <v>281</v>
      </c>
      <c r="BM145" s="192" t="s">
        <v>971</v>
      </c>
    </row>
    <row r="146" spans="1:65" s="2" customFormat="1" ht="16.5" customHeight="1">
      <c r="A146" s="36"/>
      <c r="B146" s="37"/>
      <c r="C146" s="181" t="s">
        <v>668</v>
      </c>
      <c r="D146" s="181" t="s">
        <v>382</v>
      </c>
      <c r="E146" s="182" t="s">
        <v>5113</v>
      </c>
      <c r="F146" s="183" t="s">
        <v>5114</v>
      </c>
      <c r="G146" s="184" t="s">
        <v>2393</v>
      </c>
      <c r="H146" s="185">
        <v>250</v>
      </c>
      <c r="I146" s="186"/>
      <c r="J146" s="187">
        <f t="shared" si="10"/>
        <v>0</v>
      </c>
      <c r="K146" s="183" t="s">
        <v>19</v>
      </c>
      <c r="L146" s="41"/>
      <c r="M146" s="188" t="s">
        <v>19</v>
      </c>
      <c r="N146" s="189" t="s">
        <v>43</v>
      </c>
      <c r="O146" s="66"/>
      <c r="P146" s="190">
        <f t="shared" si="11"/>
        <v>0</v>
      </c>
      <c r="Q146" s="190">
        <v>0</v>
      </c>
      <c r="R146" s="190">
        <f t="shared" si="12"/>
        <v>0</v>
      </c>
      <c r="S146" s="190">
        <v>0</v>
      </c>
      <c r="T146" s="191">
        <f t="shared" si="13"/>
        <v>0</v>
      </c>
      <c r="U146" s="36"/>
      <c r="V146" s="36"/>
      <c r="W146" s="36"/>
      <c r="X146" s="36"/>
      <c r="Y146" s="36"/>
      <c r="Z146" s="36"/>
      <c r="AA146" s="36"/>
      <c r="AB146" s="36"/>
      <c r="AC146" s="36"/>
      <c r="AD146" s="36"/>
      <c r="AE146" s="36"/>
      <c r="AR146" s="192" t="s">
        <v>281</v>
      </c>
      <c r="AT146" s="192" t="s">
        <v>382</v>
      </c>
      <c r="AU146" s="192" t="s">
        <v>79</v>
      </c>
      <c r="AY146" s="19" t="s">
        <v>380</v>
      </c>
      <c r="BE146" s="193">
        <f t="shared" si="14"/>
        <v>0</v>
      </c>
      <c r="BF146" s="193">
        <f t="shared" si="15"/>
        <v>0</v>
      </c>
      <c r="BG146" s="193">
        <f t="shared" si="16"/>
        <v>0</v>
      </c>
      <c r="BH146" s="193">
        <f t="shared" si="17"/>
        <v>0</v>
      </c>
      <c r="BI146" s="193">
        <f t="shared" si="18"/>
        <v>0</v>
      </c>
      <c r="BJ146" s="19" t="s">
        <v>79</v>
      </c>
      <c r="BK146" s="193">
        <f t="shared" si="19"/>
        <v>0</v>
      </c>
      <c r="BL146" s="19" t="s">
        <v>281</v>
      </c>
      <c r="BM146" s="192" t="s">
        <v>979</v>
      </c>
    </row>
    <row r="147" spans="1:65" s="2" customFormat="1" ht="16.5" customHeight="1">
      <c r="A147" s="36"/>
      <c r="B147" s="37"/>
      <c r="C147" s="227" t="s">
        <v>672</v>
      </c>
      <c r="D147" s="227" t="s">
        <v>465</v>
      </c>
      <c r="E147" s="228" t="s">
        <v>5115</v>
      </c>
      <c r="F147" s="229" t="s">
        <v>5116</v>
      </c>
      <c r="G147" s="230" t="s">
        <v>2393</v>
      </c>
      <c r="H147" s="231">
        <v>250</v>
      </c>
      <c r="I147" s="232"/>
      <c r="J147" s="233">
        <f t="shared" si="10"/>
        <v>0</v>
      </c>
      <c r="K147" s="229" t="s">
        <v>19</v>
      </c>
      <c r="L147" s="234"/>
      <c r="M147" s="235" t="s">
        <v>19</v>
      </c>
      <c r="N147" s="236" t="s">
        <v>43</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546</v>
      </c>
      <c r="AT147" s="192" t="s">
        <v>465</v>
      </c>
      <c r="AU147" s="192" t="s">
        <v>79</v>
      </c>
      <c r="AY147" s="19" t="s">
        <v>380</v>
      </c>
      <c r="BE147" s="193">
        <f t="shared" si="14"/>
        <v>0</v>
      </c>
      <c r="BF147" s="193">
        <f t="shared" si="15"/>
        <v>0</v>
      </c>
      <c r="BG147" s="193">
        <f t="shared" si="16"/>
        <v>0</v>
      </c>
      <c r="BH147" s="193">
        <f t="shared" si="17"/>
        <v>0</v>
      </c>
      <c r="BI147" s="193">
        <f t="shared" si="18"/>
        <v>0</v>
      </c>
      <c r="BJ147" s="19" t="s">
        <v>79</v>
      </c>
      <c r="BK147" s="193">
        <f t="shared" si="19"/>
        <v>0</v>
      </c>
      <c r="BL147" s="19" t="s">
        <v>281</v>
      </c>
      <c r="BM147" s="192" t="s">
        <v>987</v>
      </c>
    </row>
    <row r="148" spans="1:65" s="2" customFormat="1" ht="16.5" customHeight="1">
      <c r="A148" s="36"/>
      <c r="B148" s="37"/>
      <c r="C148" s="181" t="s">
        <v>677</v>
      </c>
      <c r="D148" s="181" t="s">
        <v>382</v>
      </c>
      <c r="E148" s="182" t="s">
        <v>5117</v>
      </c>
      <c r="F148" s="183" t="s">
        <v>5118</v>
      </c>
      <c r="G148" s="184" t="s">
        <v>2393</v>
      </c>
      <c r="H148" s="185">
        <v>1</v>
      </c>
      <c r="I148" s="186"/>
      <c r="J148" s="187">
        <f t="shared" si="10"/>
        <v>0</v>
      </c>
      <c r="K148" s="183" t="s">
        <v>19</v>
      </c>
      <c r="L148" s="41"/>
      <c r="M148" s="188" t="s">
        <v>19</v>
      </c>
      <c r="N148" s="189" t="s">
        <v>43</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281</v>
      </c>
      <c r="AT148" s="192" t="s">
        <v>382</v>
      </c>
      <c r="AU148" s="192" t="s">
        <v>79</v>
      </c>
      <c r="AY148" s="19" t="s">
        <v>380</v>
      </c>
      <c r="BE148" s="193">
        <f t="shared" si="14"/>
        <v>0</v>
      </c>
      <c r="BF148" s="193">
        <f t="shared" si="15"/>
        <v>0</v>
      </c>
      <c r="BG148" s="193">
        <f t="shared" si="16"/>
        <v>0</v>
      </c>
      <c r="BH148" s="193">
        <f t="shared" si="17"/>
        <v>0</v>
      </c>
      <c r="BI148" s="193">
        <f t="shared" si="18"/>
        <v>0</v>
      </c>
      <c r="BJ148" s="19" t="s">
        <v>79</v>
      </c>
      <c r="BK148" s="193">
        <f t="shared" si="19"/>
        <v>0</v>
      </c>
      <c r="BL148" s="19" t="s">
        <v>281</v>
      </c>
      <c r="BM148" s="192" t="s">
        <v>995</v>
      </c>
    </row>
    <row r="149" spans="1:65" s="2" customFormat="1" ht="16.5" customHeight="1">
      <c r="A149" s="36"/>
      <c r="B149" s="37"/>
      <c r="C149" s="227" t="s">
        <v>688</v>
      </c>
      <c r="D149" s="227" t="s">
        <v>465</v>
      </c>
      <c r="E149" s="228" t="s">
        <v>5119</v>
      </c>
      <c r="F149" s="229" t="s">
        <v>5120</v>
      </c>
      <c r="G149" s="230" t="s">
        <v>2393</v>
      </c>
      <c r="H149" s="231">
        <v>1</v>
      </c>
      <c r="I149" s="232"/>
      <c r="J149" s="233">
        <f t="shared" si="10"/>
        <v>0</v>
      </c>
      <c r="K149" s="229" t="s">
        <v>19</v>
      </c>
      <c r="L149" s="234"/>
      <c r="M149" s="235" t="s">
        <v>19</v>
      </c>
      <c r="N149" s="236" t="s">
        <v>43</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546</v>
      </c>
      <c r="AT149" s="192" t="s">
        <v>465</v>
      </c>
      <c r="AU149" s="192" t="s">
        <v>79</v>
      </c>
      <c r="AY149" s="19" t="s">
        <v>380</v>
      </c>
      <c r="BE149" s="193">
        <f t="shared" si="14"/>
        <v>0</v>
      </c>
      <c r="BF149" s="193">
        <f t="shared" si="15"/>
        <v>0</v>
      </c>
      <c r="BG149" s="193">
        <f t="shared" si="16"/>
        <v>0</v>
      </c>
      <c r="BH149" s="193">
        <f t="shared" si="17"/>
        <v>0</v>
      </c>
      <c r="BI149" s="193">
        <f t="shared" si="18"/>
        <v>0</v>
      </c>
      <c r="BJ149" s="19" t="s">
        <v>79</v>
      </c>
      <c r="BK149" s="193">
        <f t="shared" si="19"/>
        <v>0</v>
      </c>
      <c r="BL149" s="19" t="s">
        <v>281</v>
      </c>
      <c r="BM149" s="192" t="s">
        <v>154</v>
      </c>
    </row>
    <row r="150" spans="1:65" s="2" customFormat="1" ht="19.5">
      <c r="A150" s="36"/>
      <c r="B150" s="37"/>
      <c r="C150" s="38"/>
      <c r="D150" s="196" t="s">
        <v>1226</v>
      </c>
      <c r="E150" s="38"/>
      <c r="F150" s="248" t="s">
        <v>5121</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1226</v>
      </c>
      <c r="AU150" s="19" t="s">
        <v>79</v>
      </c>
    </row>
    <row r="151" spans="1:65" s="2" customFormat="1" ht="16.5" customHeight="1">
      <c r="A151" s="36"/>
      <c r="B151" s="37"/>
      <c r="C151" s="181" t="s">
        <v>699</v>
      </c>
      <c r="D151" s="181" t="s">
        <v>382</v>
      </c>
      <c r="E151" s="182" t="s">
        <v>5122</v>
      </c>
      <c r="F151" s="183" t="s">
        <v>5123</v>
      </c>
      <c r="G151" s="184" t="s">
        <v>2393</v>
      </c>
      <c r="H151" s="185">
        <v>1</v>
      </c>
      <c r="I151" s="186"/>
      <c r="J151" s="187">
        <f>ROUND(I151*H151,2)</f>
        <v>0</v>
      </c>
      <c r="K151" s="183" t="s">
        <v>19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79</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160</v>
      </c>
    </row>
    <row r="152" spans="1:65" s="2" customFormat="1" ht="16.5" customHeight="1">
      <c r="A152" s="36"/>
      <c r="B152" s="37"/>
      <c r="C152" s="227" t="s">
        <v>703</v>
      </c>
      <c r="D152" s="227" t="s">
        <v>465</v>
      </c>
      <c r="E152" s="228" t="s">
        <v>5124</v>
      </c>
      <c r="F152" s="229" t="s">
        <v>5125</v>
      </c>
      <c r="G152" s="230" t="s">
        <v>2393</v>
      </c>
      <c r="H152" s="231">
        <v>1</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546</v>
      </c>
      <c r="AT152" s="192" t="s">
        <v>465</v>
      </c>
      <c r="AU152" s="192" t="s">
        <v>79</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163</v>
      </c>
    </row>
    <row r="153" spans="1:65" s="2" customFormat="1" ht="19.5">
      <c r="A153" s="36"/>
      <c r="B153" s="37"/>
      <c r="C153" s="38"/>
      <c r="D153" s="196" t="s">
        <v>1226</v>
      </c>
      <c r="E153" s="38"/>
      <c r="F153" s="248" t="s">
        <v>5126</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1226</v>
      </c>
      <c r="AU153" s="19" t="s">
        <v>79</v>
      </c>
    </row>
    <row r="154" spans="1:65" s="12" customFormat="1" ht="25.9" customHeight="1">
      <c r="B154" s="165"/>
      <c r="C154" s="166"/>
      <c r="D154" s="167" t="s">
        <v>71</v>
      </c>
      <c r="E154" s="168" t="s">
        <v>386</v>
      </c>
      <c r="F154" s="168" t="s">
        <v>5127</v>
      </c>
      <c r="G154" s="166"/>
      <c r="H154" s="166"/>
      <c r="I154" s="169"/>
      <c r="J154" s="170">
        <f>BK154</f>
        <v>0</v>
      </c>
      <c r="K154" s="166"/>
      <c r="L154" s="171"/>
      <c r="M154" s="172"/>
      <c r="N154" s="173"/>
      <c r="O154" s="173"/>
      <c r="P154" s="174">
        <f>SUM(P155:P180)</f>
        <v>0</v>
      </c>
      <c r="Q154" s="173"/>
      <c r="R154" s="174">
        <f>SUM(R155:R180)</f>
        <v>0</v>
      </c>
      <c r="S154" s="173"/>
      <c r="T154" s="175">
        <f>SUM(T155:T180)</f>
        <v>0</v>
      </c>
      <c r="AR154" s="176" t="s">
        <v>79</v>
      </c>
      <c r="AT154" s="177" t="s">
        <v>71</v>
      </c>
      <c r="AU154" s="177" t="s">
        <v>72</v>
      </c>
      <c r="AY154" s="176" t="s">
        <v>380</v>
      </c>
      <c r="BK154" s="178">
        <f>SUM(BK155:BK180)</f>
        <v>0</v>
      </c>
    </row>
    <row r="155" spans="1:65" s="2" customFormat="1" ht="16.5" customHeight="1">
      <c r="A155" s="36"/>
      <c r="B155" s="37"/>
      <c r="C155" s="181" t="s">
        <v>709</v>
      </c>
      <c r="D155" s="181" t="s">
        <v>382</v>
      </c>
      <c r="E155" s="182" t="s">
        <v>5128</v>
      </c>
      <c r="F155" s="183" t="s">
        <v>5129</v>
      </c>
      <c r="G155" s="184" t="s">
        <v>2393</v>
      </c>
      <c r="H155" s="185">
        <v>22</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79</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1029</v>
      </c>
    </row>
    <row r="156" spans="1:65" s="2" customFormat="1" ht="19.5">
      <c r="A156" s="36"/>
      <c r="B156" s="37"/>
      <c r="C156" s="38"/>
      <c r="D156" s="196" t="s">
        <v>1226</v>
      </c>
      <c r="E156" s="38"/>
      <c r="F156" s="248" t="s">
        <v>5130</v>
      </c>
      <c r="G156" s="38"/>
      <c r="H156" s="38"/>
      <c r="I156" s="249"/>
      <c r="J156" s="38"/>
      <c r="K156" s="38"/>
      <c r="L156" s="41"/>
      <c r="M156" s="250"/>
      <c r="N156" s="251"/>
      <c r="O156" s="66"/>
      <c r="P156" s="66"/>
      <c r="Q156" s="66"/>
      <c r="R156" s="66"/>
      <c r="S156" s="66"/>
      <c r="T156" s="67"/>
      <c r="U156" s="36"/>
      <c r="V156" s="36"/>
      <c r="W156" s="36"/>
      <c r="X156" s="36"/>
      <c r="Y156" s="36"/>
      <c r="Z156" s="36"/>
      <c r="AA156" s="36"/>
      <c r="AB156" s="36"/>
      <c r="AC156" s="36"/>
      <c r="AD156" s="36"/>
      <c r="AE156" s="36"/>
      <c r="AT156" s="19" t="s">
        <v>1226</v>
      </c>
      <c r="AU156" s="19" t="s">
        <v>79</v>
      </c>
    </row>
    <row r="157" spans="1:65" s="2" customFormat="1" ht="16.5" customHeight="1">
      <c r="A157" s="36"/>
      <c r="B157" s="37"/>
      <c r="C157" s="181" t="s">
        <v>721</v>
      </c>
      <c r="D157" s="181" t="s">
        <v>382</v>
      </c>
      <c r="E157" s="182" t="s">
        <v>5131</v>
      </c>
      <c r="F157" s="183" t="s">
        <v>5132</v>
      </c>
      <c r="G157" s="184" t="s">
        <v>2393</v>
      </c>
      <c r="H157" s="185">
        <v>1</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79</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1039</v>
      </c>
    </row>
    <row r="158" spans="1:65" s="2" customFormat="1" ht="19.5">
      <c r="A158" s="36"/>
      <c r="B158" s="37"/>
      <c r="C158" s="38"/>
      <c r="D158" s="196" t="s">
        <v>1226</v>
      </c>
      <c r="E158" s="38"/>
      <c r="F158" s="248" t="s">
        <v>5133</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79</v>
      </c>
    </row>
    <row r="159" spans="1:65" s="2" customFormat="1" ht="16.5" customHeight="1">
      <c r="A159" s="36"/>
      <c r="B159" s="37"/>
      <c r="C159" s="181" t="s">
        <v>733</v>
      </c>
      <c r="D159" s="181" t="s">
        <v>382</v>
      </c>
      <c r="E159" s="182" t="s">
        <v>5134</v>
      </c>
      <c r="F159" s="183" t="s">
        <v>5135</v>
      </c>
      <c r="G159" s="184" t="s">
        <v>2393</v>
      </c>
      <c r="H159" s="185">
        <v>1</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79</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1049</v>
      </c>
    </row>
    <row r="160" spans="1:65" s="2" customFormat="1" ht="19.5">
      <c r="A160" s="36"/>
      <c r="B160" s="37"/>
      <c r="C160" s="38"/>
      <c r="D160" s="196" t="s">
        <v>1226</v>
      </c>
      <c r="E160" s="38"/>
      <c r="F160" s="248" t="s">
        <v>5136</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79</v>
      </c>
    </row>
    <row r="161" spans="1:65" s="2" customFormat="1" ht="16.5" customHeight="1">
      <c r="A161" s="36"/>
      <c r="B161" s="37"/>
      <c r="C161" s="181" t="s">
        <v>744</v>
      </c>
      <c r="D161" s="181" t="s">
        <v>382</v>
      </c>
      <c r="E161" s="182" t="s">
        <v>5137</v>
      </c>
      <c r="F161" s="183" t="s">
        <v>5138</v>
      </c>
      <c r="G161" s="184" t="s">
        <v>2393</v>
      </c>
      <c r="H161" s="185">
        <v>1</v>
      </c>
      <c r="I161" s="186"/>
      <c r="J161" s="187">
        <f>ROUND(I161*H161,2)</f>
        <v>0</v>
      </c>
      <c r="K161" s="183" t="s">
        <v>19</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281</v>
      </c>
      <c r="AT161" s="192" t="s">
        <v>382</v>
      </c>
      <c r="AU161" s="192" t="s">
        <v>79</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1059</v>
      </c>
    </row>
    <row r="162" spans="1:65" s="2" customFormat="1" ht="19.5">
      <c r="A162" s="36"/>
      <c r="B162" s="37"/>
      <c r="C162" s="38"/>
      <c r="D162" s="196" t="s">
        <v>1226</v>
      </c>
      <c r="E162" s="38"/>
      <c r="F162" s="248" t="s">
        <v>5133</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1226</v>
      </c>
      <c r="AU162" s="19" t="s">
        <v>79</v>
      </c>
    </row>
    <row r="163" spans="1:65" s="2" customFormat="1" ht="16.5" customHeight="1">
      <c r="A163" s="36"/>
      <c r="B163" s="37"/>
      <c r="C163" s="181" t="s">
        <v>753</v>
      </c>
      <c r="D163" s="181" t="s">
        <v>382</v>
      </c>
      <c r="E163" s="182" t="s">
        <v>5139</v>
      </c>
      <c r="F163" s="183" t="s">
        <v>5140</v>
      </c>
      <c r="G163" s="184" t="s">
        <v>2393</v>
      </c>
      <c r="H163" s="185">
        <v>4</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281</v>
      </c>
      <c r="AT163" s="192" t="s">
        <v>382</v>
      </c>
      <c r="AU163" s="192" t="s">
        <v>79</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1068</v>
      </c>
    </row>
    <row r="164" spans="1:65" s="2" customFormat="1" ht="19.5">
      <c r="A164" s="36"/>
      <c r="B164" s="37"/>
      <c r="C164" s="38"/>
      <c r="D164" s="196" t="s">
        <v>1226</v>
      </c>
      <c r="E164" s="38"/>
      <c r="F164" s="248" t="s">
        <v>5136</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79</v>
      </c>
    </row>
    <row r="165" spans="1:65" s="2" customFormat="1" ht="16.5" customHeight="1">
      <c r="A165" s="36"/>
      <c r="B165" s="37"/>
      <c r="C165" s="181" t="s">
        <v>760</v>
      </c>
      <c r="D165" s="181" t="s">
        <v>382</v>
      </c>
      <c r="E165" s="182" t="s">
        <v>5141</v>
      </c>
      <c r="F165" s="183" t="s">
        <v>5142</v>
      </c>
      <c r="G165" s="184" t="s">
        <v>2393</v>
      </c>
      <c r="H165" s="185">
        <v>2</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281</v>
      </c>
      <c r="AT165" s="192" t="s">
        <v>382</v>
      </c>
      <c r="AU165" s="192" t="s">
        <v>79</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281</v>
      </c>
      <c r="BM165" s="192" t="s">
        <v>1079</v>
      </c>
    </row>
    <row r="166" spans="1:65" s="2" customFormat="1" ht="19.5">
      <c r="A166" s="36"/>
      <c r="B166" s="37"/>
      <c r="C166" s="38"/>
      <c r="D166" s="196" t="s">
        <v>1226</v>
      </c>
      <c r="E166" s="38"/>
      <c r="F166" s="248" t="s">
        <v>5136</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1226</v>
      </c>
      <c r="AU166" s="19" t="s">
        <v>79</v>
      </c>
    </row>
    <row r="167" spans="1:65" s="2" customFormat="1" ht="16.5" customHeight="1">
      <c r="A167" s="36"/>
      <c r="B167" s="37"/>
      <c r="C167" s="181" t="s">
        <v>767</v>
      </c>
      <c r="D167" s="181" t="s">
        <v>382</v>
      </c>
      <c r="E167" s="182" t="s">
        <v>5143</v>
      </c>
      <c r="F167" s="183" t="s">
        <v>5140</v>
      </c>
      <c r="G167" s="184" t="s">
        <v>2393</v>
      </c>
      <c r="H167" s="185">
        <v>8</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281</v>
      </c>
      <c r="AT167" s="192" t="s">
        <v>382</v>
      </c>
      <c r="AU167" s="192" t="s">
        <v>79</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1095</v>
      </c>
    </row>
    <row r="168" spans="1:65" s="2" customFormat="1" ht="19.5">
      <c r="A168" s="36"/>
      <c r="B168" s="37"/>
      <c r="C168" s="38"/>
      <c r="D168" s="196" t="s">
        <v>1226</v>
      </c>
      <c r="E168" s="38"/>
      <c r="F168" s="248" t="s">
        <v>5144</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1226</v>
      </c>
      <c r="AU168" s="19" t="s">
        <v>79</v>
      </c>
    </row>
    <row r="169" spans="1:65" s="2" customFormat="1" ht="16.5" customHeight="1">
      <c r="A169" s="36"/>
      <c r="B169" s="37"/>
      <c r="C169" s="181" t="s">
        <v>771</v>
      </c>
      <c r="D169" s="181" t="s">
        <v>382</v>
      </c>
      <c r="E169" s="182" t="s">
        <v>5145</v>
      </c>
      <c r="F169" s="183" t="s">
        <v>5142</v>
      </c>
      <c r="G169" s="184" t="s">
        <v>2393</v>
      </c>
      <c r="H169" s="185">
        <v>4</v>
      </c>
      <c r="I169" s="186"/>
      <c r="J169" s="187">
        <f>ROUND(I169*H169,2)</f>
        <v>0</v>
      </c>
      <c r="K169" s="183" t="s">
        <v>19</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281</v>
      </c>
      <c r="AT169" s="192" t="s">
        <v>382</v>
      </c>
      <c r="AU169" s="192" t="s">
        <v>79</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1112</v>
      </c>
    </row>
    <row r="170" spans="1:65" s="2" customFormat="1" ht="19.5">
      <c r="A170" s="36"/>
      <c r="B170" s="37"/>
      <c r="C170" s="38"/>
      <c r="D170" s="196" t="s">
        <v>1226</v>
      </c>
      <c r="E170" s="38"/>
      <c r="F170" s="248" t="s">
        <v>5144</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79</v>
      </c>
    </row>
    <row r="171" spans="1:65" s="2" customFormat="1" ht="16.5" customHeight="1">
      <c r="A171" s="36"/>
      <c r="B171" s="37"/>
      <c r="C171" s="181" t="s">
        <v>776</v>
      </c>
      <c r="D171" s="181" t="s">
        <v>382</v>
      </c>
      <c r="E171" s="182" t="s">
        <v>5146</v>
      </c>
      <c r="F171" s="183" t="s">
        <v>5140</v>
      </c>
      <c r="G171" s="184" t="s">
        <v>2393</v>
      </c>
      <c r="H171" s="185">
        <v>10</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79</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1122</v>
      </c>
    </row>
    <row r="172" spans="1:65" s="2" customFormat="1" ht="19.5">
      <c r="A172" s="36"/>
      <c r="B172" s="37"/>
      <c r="C172" s="38"/>
      <c r="D172" s="196" t="s">
        <v>1226</v>
      </c>
      <c r="E172" s="38"/>
      <c r="F172" s="248" t="s">
        <v>5133</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79</v>
      </c>
    </row>
    <row r="173" spans="1:65" s="2" customFormat="1" ht="16.5" customHeight="1">
      <c r="A173" s="36"/>
      <c r="B173" s="37"/>
      <c r="C173" s="181" t="s">
        <v>782</v>
      </c>
      <c r="D173" s="181" t="s">
        <v>382</v>
      </c>
      <c r="E173" s="182" t="s">
        <v>5147</v>
      </c>
      <c r="F173" s="183" t="s">
        <v>5142</v>
      </c>
      <c r="G173" s="184" t="s">
        <v>2393</v>
      </c>
      <c r="H173" s="185">
        <v>5</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281</v>
      </c>
      <c r="AT173" s="192" t="s">
        <v>382</v>
      </c>
      <c r="AU173" s="192" t="s">
        <v>79</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1131</v>
      </c>
    </row>
    <row r="174" spans="1:65" s="2" customFormat="1" ht="19.5">
      <c r="A174" s="36"/>
      <c r="B174" s="37"/>
      <c r="C174" s="38"/>
      <c r="D174" s="196" t="s">
        <v>1226</v>
      </c>
      <c r="E174" s="38"/>
      <c r="F174" s="248" t="s">
        <v>5133</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1226</v>
      </c>
      <c r="AU174" s="19" t="s">
        <v>79</v>
      </c>
    </row>
    <row r="175" spans="1:65" s="2" customFormat="1" ht="16.5" customHeight="1">
      <c r="A175" s="36"/>
      <c r="B175" s="37"/>
      <c r="C175" s="181" t="s">
        <v>787</v>
      </c>
      <c r="D175" s="181" t="s">
        <v>382</v>
      </c>
      <c r="E175" s="182" t="s">
        <v>5148</v>
      </c>
      <c r="F175" s="183" t="s">
        <v>5149</v>
      </c>
      <c r="G175" s="184" t="s">
        <v>2393</v>
      </c>
      <c r="H175" s="185">
        <v>2</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281</v>
      </c>
      <c r="AT175" s="192" t="s">
        <v>382</v>
      </c>
      <c r="AU175" s="192" t="s">
        <v>79</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1140</v>
      </c>
    </row>
    <row r="176" spans="1:65" s="2" customFormat="1" ht="19.5">
      <c r="A176" s="36"/>
      <c r="B176" s="37"/>
      <c r="C176" s="38"/>
      <c r="D176" s="196" t="s">
        <v>1226</v>
      </c>
      <c r="E176" s="38"/>
      <c r="F176" s="248" t="s">
        <v>5133</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1226</v>
      </c>
      <c r="AU176" s="19" t="s">
        <v>79</v>
      </c>
    </row>
    <row r="177" spans="1:65" s="2" customFormat="1" ht="16.5" customHeight="1">
      <c r="A177" s="36"/>
      <c r="B177" s="37"/>
      <c r="C177" s="181" t="s">
        <v>791</v>
      </c>
      <c r="D177" s="181" t="s">
        <v>382</v>
      </c>
      <c r="E177" s="182" t="s">
        <v>5150</v>
      </c>
      <c r="F177" s="183" t="s">
        <v>5149</v>
      </c>
      <c r="G177" s="184" t="s">
        <v>2393</v>
      </c>
      <c r="H177" s="185">
        <v>10</v>
      </c>
      <c r="I177" s="186"/>
      <c r="J177" s="187">
        <f>ROUND(I177*H177,2)</f>
        <v>0</v>
      </c>
      <c r="K177" s="183" t="s">
        <v>19</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281</v>
      </c>
      <c r="AT177" s="192" t="s">
        <v>382</v>
      </c>
      <c r="AU177" s="192" t="s">
        <v>79</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281</v>
      </c>
      <c r="BM177" s="192" t="s">
        <v>1156</v>
      </c>
    </row>
    <row r="178" spans="1:65" s="2" customFormat="1" ht="19.5">
      <c r="A178" s="36"/>
      <c r="B178" s="37"/>
      <c r="C178" s="38"/>
      <c r="D178" s="196" t="s">
        <v>1226</v>
      </c>
      <c r="E178" s="38"/>
      <c r="F178" s="248" t="s">
        <v>5130</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1226</v>
      </c>
      <c r="AU178" s="19" t="s">
        <v>79</v>
      </c>
    </row>
    <row r="179" spans="1:65" s="2" customFormat="1" ht="16.5" customHeight="1">
      <c r="A179" s="36"/>
      <c r="B179" s="37"/>
      <c r="C179" s="181" t="s">
        <v>795</v>
      </c>
      <c r="D179" s="181" t="s">
        <v>382</v>
      </c>
      <c r="E179" s="182" t="s">
        <v>5151</v>
      </c>
      <c r="F179" s="183" t="s">
        <v>5152</v>
      </c>
      <c r="G179" s="184" t="s">
        <v>2393</v>
      </c>
      <c r="H179" s="185">
        <v>2</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281</v>
      </c>
      <c r="AT179" s="192" t="s">
        <v>382</v>
      </c>
      <c r="AU179" s="192" t="s">
        <v>79</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1165</v>
      </c>
    </row>
    <row r="180" spans="1:65" s="2" customFormat="1" ht="19.5">
      <c r="A180" s="36"/>
      <c r="B180" s="37"/>
      <c r="C180" s="38"/>
      <c r="D180" s="196" t="s">
        <v>1226</v>
      </c>
      <c r="E180" s="38"/>
      <c r="F180" s="248" t="s">
        <v>5130</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1226</v>
      </c>
      <c r="AU180" s="19" t="s">
        <v>79</v>
      </c>
    </row>
    <row r="181" spans="1:65" s="12" customFormat="1" ht="25.9" customHeight="1">
      <c r="B181" s="165"/>
      <c r="C181" s="166"/>
      <c r="D181" s="167" t="s">
        <v>71</v>
      </c>
      <c r="E181" s="168" t="s">
        <v>405</v>
      </c>
      <c r="F181" s="168" t="s">
        <v>5153</v>
      </c>
      <c r="G181" s="166"/>
      <c r="H181" s="166"/>
      <c r="I181" s="169"/>
      <c r="J181" s="170">
        <f>BK181</f>
        <v>0</v>
      </c>
      <c r="K181" s="166"/>
      <c r="L181" s="171"/>
      <c r="M181" s="172"/>
      <c r="N181" s="173"/>
      <c r="O181" s="173"/>
      <c r="P181" s="174">
        <f>SUM(P182:P187)</f>
        <v>0</v>
      </c>
      <c r="Q181" s="173"/>
      <c r="R181" s="174">
        <f>SUM(R182:R187)</f>
        <v>0</v>
      </c>
      <c r="S181" s="173"/>
      <c r="T181" s="175">
        <f>SUM(T182:T187)</f>
        <v>0</v>
      </c>
      <c r="AR181" s="176" t="s">
        <v>79</v>
      </c>
      <c r="AT181" s="177" t="s">
        <v>71</v>
      </c>
      <c r="AU181" s="177" t="s">
        <v>72</v>
      </c>
      <c r="AY181" s="176" t="s">
        <v>380</v>
      </c>
      <c r="BK181" s="178">
        <f>SUM(BK182:BK187)</f>
        <v>0</v>
      </c>
    </row>
    <row r="182" spans="1:65" s="2" customFormat="1" ht="16.5" customHeight="1">
      <c r="A182" s="36"/>
      <c r="B182" s="37"/>
      <c r="C182" s="181" t="s">
        <v>799</v>
      </c>
      <c r="D182" s="181" t="s">
        <v>382</v>
      </c>
      <c r="E182" s="182" t="s">
        <v>5154</v>
      </c>
      <c r="F182" s="183" t="s">
        <v>5155</v>
      </c>
      <c r="G182" s="184" t="s">
        <v>1334</v>
      </c>
      <c r="H182" s="185">
        <v>10</v>
      </c>
      <c r="I182" s="186"/>
      <c r="J182" s="187">
        <f t="shared" ref="J182:J187" si="20">ROUND(I182*H182,2)</f>
        <v>0</v>
      </c>
      <c r="K182" s="183" t="s">
        <v>19</v>
      </c>
      <c r="L182" s="41"/>
      <c r="M182" s="188" t="s">
        <v>19</v>
      </c>
      <c r="N182" s="189" t="s">
        <v>43</v>
      </c>
      <c r="O182" s="66"/>
      <c r="P182" s="190">
        <f t="shared" ref="P182:P187" si="21">O182*H182</f>
        <v>0</v>
      </c>
      <c r="Q182" s="190">
        <v>0</v>
      </c>
      <c r="R182" s="190">
        <f t="shared" ref="R182:R187" si="22">Q182*H182</f>
        <v>0</v>
      </c>
      <c r="S182" s="190">
        <v>0</v>
      </c>
      <c r="T182" s="191">
        <f t="shared" ref="T182:T187" si="23">S182*H182</f>
        <v>0</v>
      </c>
      <c r="U182" s="36"/>
      <c r="V182" s="36"/>
      <c r="W182" s="36"/>
      <c r="X182" s="36"/>
      <c r="Y182" s="36"/>
      <c r="Z182" s="36"/>
      <c r="AA182" s="36"/>
      <c r="AB182" s="36"/>
      <c r="AC182" s="36"/>
      <c r="AD182" s="36"/>
      <c r="AE182" s="36"/>
      <c r="AR182" s="192" t="s">
        <v>281</v>
      </c>
      <c r="AT182" s="192" t="s">
        <v>382</v>
      </c>
      <c r="AU182" s="192" t="s">
        <v>79</v>
      </c>
      <c r="AY182" s="19" t="s">
        <v>380</v>
      </c>
      <c r="BE182" s="193">
        <f t="shared" ref="BE182:BE187" si="24">IF(N182="základní",J182,0)</f>
        <v>0</v>
      </c>
      <c r="BF182" s="193">
        <f t="shared" ref="BF182:BF187" si="25">IF(N182="snížená",J182,0)</f>
        <v>0</v>
      </c>
      <c r="BG182" s="193">
        <f t="shared" ref="BG182:BG187" si="26">IF(N182="zákl. přenesená",J182,0)</f>
        <v>0</v>
      </c>
      <c r="BH182" s="193">
        <f t="shared" ref="BH182:BH187" si="27">IF(N182="sníž. přenesená",J182,0)</f>
        <v>0</v>
      </c>
      <c r="BI182" s="193">
        <f t="shared" ref="BI182:BI187" si="28">IF(N182="nulová",J182,0)</f>
        <v>0</v>
      </c>
      <c r="BJ182" s="19" t="s">
        <v>79</v>
      </c>
      <c r="BK182" s="193">
        <f t="shared" ref="BK182:BK187" si="29">ROUND(I182*H182,2)</f>
        <v>0</v>
      </c>
      <c r="BL182" s="19" t="s">
        <v>281</v>
      </c>
      <c r="BM182" s="192" t="s">
        <v>1183</v>
      </c>
    </row>
    <row r="183" spans="1:65" s="2" customFormat="1" ht="16.5" customHeight="1">
      <c r="A183" s="36"/>
      <c r="B183" s="37"/>
      <c r="C183" s="181" t="s">
        <v>804</v>
      </c>
      <c r="D183" s="181" t="s">
        <v>382</v>
      </c>
      <c r="E183" s="182" t="s">
        <v>5156</v>
      </c>
      <c r="F183" s="183" t="s">
        <v>5157</v>
      </c>
      <c r="G183" s="184" t="s">
        <v>1334</v>
      </c>
      <c r="H183" s="185">
        <v>16</v>
      </c>
      <c r="I183" s="186"/>
      <c r="J183" s="187">
        <f t="shared" si="20"/>
        <v>0</v>
      </c>
      <c r="K183" s="183" t="s">
        <v>19</v>
      </c>
      <c r="L183" s="41"/>
      <c r="M183" s="188" t="s">
        <v>19</v>
      </c>
      <c r="N183" s="189" t="s">
        <v>43</v>
      </c>
      <c r="O183" s="66"/>
      <c r="P183" s="190">
        <f t="shared" si="21"/>
        <v>0</v>
      </c>
      <c r="Q183" s="190">
        <v>0</v>
      </c>
      <c r="R183" s="190">
        <f t="shared" si="22"/>
        <v>0</v>
      </c>
      <c r="S183" s="190">
        <v>0</v>
      </c>
      <c r="T183" s="191">
        <f t="shared" si="23"/>
        <v>0</v>
      </c>
      <c r="U183" s="36"/>
      <c r="V183" s="36"/>
      <c r="W183" s="36"/>
      <c r="X183" s="36"/>
      <c r="Y183" s="36"/>
      <c r="Z183" s="36"/>
      <c r="AA183" s="36"/>
      <c r="AB183" s="36"/>
      <c r="AC183" s="36"/>
      <c r="AD183" s="36"/>
      <c r="AE183" s="36"/>
      <c r="AR183" s="192" t="s">
        <v>281</v>
      </c>
      <c r="AT183" s="192" t="s">
        <v>382</v>
      </c>
      <c r="AU183" s="192" t="s">
        <v>79</v>
      </c>
      <c r="AY183" s="19" t="s">
        <v>380</v>
      </c>
      <c r="BE183" s="193">
        <f t="shared" si="24"/>
        <v>0</v>
      </c>
      <c r="BF183" s="193">
        <f t="shared" si="25"/>
        <v>0</v>
      </c>
      <c r="BG183" s="193">
        <f t="shared" si="26"/>
        <v>0</v>
      </c>
      <c r="BH183" s="193">
        <f t="shared" si="27"/>
        <v>0</v>
      </c>
      <c r="BI183" s="193">
        <f t="shared" si="28"/>
        <v>0</v>
      </c>
      <c r="BJ183" s="19" t="s">
        <v>79</v>
      </c>
      <c r="BK183" s="193">
        <f t="shared" si="29"/>
        <v>0</v>
      </c>
      <c r="BL183" s="19" t="s">
        <v>281</v>
      </c>
      <c r="BM183" s="192" t="s">
        <v>1193</v>
      </c>
    </row>
    <row r="184" spans="1:65" s="2" customFormat="1" ht="16.5" customHeight="1">
      <c r="A184" s="36"/>
      <c r="B184" s="37"/>
      <c r="C184" s="181" t="s">
        <v>815</v>
      </c>
      <c r="D184" s="181" t="s">
        <v>382</v>
      </c>
      <c r="E184" s="182" t="s">
        <v>5158</v>
      </c>
      <c r="F184" s="183" t="s">
        <v>5159</v>
      </c>
      <c r="G184" s="184" t="s">
        <v>1334</v>
      </c>
      <c r="H184" s="185">
        <v>16</v>
      </c>
      <c r="I184" s="186"/>
      <c r="J184" s="187">
        <f t="shared" si="20"/>
        <v>0</v>
      </c>
      <c r="K184" s="183" t="s">
        <v>19</v>
      </c>
      <c r="L184" s="41"/>
      <c r="M184" s="188" t="s">
        <v>19</v>
      </c>
      <c r="N184" s="189" t="s">
        <v>43</v>
      </c>
      <c r="O184" s="66"/>
      <c r="P184" s="190">
        <f t="shared" si="21"/>
        <v>0</v>
      </c>
      <c r="Q184" s="190">
        <v>0</v>
      </c>
      <c r="R184" s="190">
        <f t="shared" si="22"/>
        <v>0</v>
      </c>
      <c r="S184" s="190">
        <v>0</v>
      </c>
      <c r="T184" s="191">
        <f t="shared" si="23"/>
        <v>0</v>
      </c>
      <c r="U184" s="36"/>
      <c r="V184" s="36"/>
      <c r="W184" s="36"/>
      <c r="X184" s="36"/>
      <c r="Y184" s="36"/>
      <c r="Z184" s="36"/>
      <c r="AA184" s="36"/>
      <c r="AB184" s="36"/>
      <c r="AC184" s="36"/>
      <c r="AD184" s="36"/>
      <c r="AE184" s="36"/>
      <c r="AR184" s="192" t="s">
        <v>281</v>
      </c>
      <c r="AT184" s="192" t="s">
        <v>382</v>
      </c>
      <c r="AU184" s="192" t="s">
        <v>79</v>
      </c>
      <c r="AY184" s="19" t="s">
        <v>380</v>
      </c>
      <c r="BE184" s="193">
        <f t="shared" si="24"/>
        <v>0</v>
      </c>
      <c r="BF184" s="193">
        <f t="shared" si="25"/>
        <v>0</v>
      </c>
      <c r="BG184" s="193">
        <f t="shared" si="26"/>
        <v>0</v>
      </c>
      <c r="BH184" s="193">
        <f t="shared" si="27"/>
        <v>0</v>
      </c>
      <c r="BI184" s="193">
        <f t="shared" si="28"/>
        <v>0</v>
      </c>
      <c r="BJ184" s="19" t="s">
        <v>79</v>
      </c>
      <c r="BK184" s="193">
        <f t="shared" si="29"/>
        <v>0</v>
      </c>
      <c r="BL184" s="19" t="s">
        <v>281</v>
      </c>
      <c r="BM184" s="192" t="s">
        <v>1209</v>
      </c>
    </row>
    <row r="185" spans="1:65" s="2" customFormat="1" ht="16.5" customHeight="1">
      <c r="A185" s="36"/>
      <c r="B185" s="37"/>
      <c r="C185" s="181" t="s">
        <v>831</v>
      </c>
      <c r="D185" s="181" t="s">
        <v>382</v>
      </c>
      <c r="E185" s="182" t="s">
        <v>5160</v>
      </c>
      <c r="F185" s="183" t="s">
        <v>5161</v>
      </c>
      <c r="G185" s="184" t="s">
        <v>1334</v>
      </c>
      <c r="H185" s="185">
        <v>100</v>
      </c>
      <c r="I185" s="186"/>
      <c r="J185" s="187">
        <f t="shared" si="20"/>
        <v>0</v>
      </c>
      <c r="K185" s="183" t="s">
        <v>19</v>
      </c>
      <c r="L185" s="41"/>
      <c r="M185" s="188" t="s">
        <v>19</v>
      </c>
      <c r="N185" s="189" t="s">
        <v>43</v>
      </c>
      <c r="O185" s="66"/>
      <c r="P185" s="190">
        <f t="shared" si="21"/>
        <v>0</v>
      </c>
      <c r="Q185" s="190">
        <v>0</v>
      </c>
      <c r="R185" s="190">
        <f t="shared" si="22"/>
        <v>0</v>
      </c>
      <c r="S185" s="190">
        <v>0</v>
      </c>
      <c r="T185" s="191">
        <f t="shared" si="23"/>
        <v>0</v>
      </c>
      <c r="U185" s="36"/>
      <c r="V185" s="36"/>
      <c r="W185" s="36"/>
      <c r="X185" s="36"/>
      <c r="Y185" s="36"/>
      <c r="Z185" s="36"/>
      <c r="AA185" s="36"/>
      <c r="AB185" s="36"/>
      <c r="AC185" s="36"/>
      <c r="AD185" s="36"/>
      <c r="AE185" s="36"/>
      <c r="AR185" s="192" t="s">
        <v>281</v>
      </c>
      <c r="AT185" s="192" t="s">
        <v>382</v>
      </c>
      <c r="AU185" s="192" t="s">
        <v>79</v>
      </c>
      <c r="AY185" s="19" t="s">
        <v>380</v>
      </c>
      <c r="BE185" s="193">
        <f t="shared" si="24"/>
        <v>0</v>
      </c>
      <c r="BF185" s="193">
        <f t="shared" si="25"/>
        <v>0</v>
      </c>
      <c r="BG185" s="193">
        <f t="shared" si="26"/>
        <v>0</v>
      </c>
      <c r="BH185" s="193">
        <f t="shared" si="27"/>
        <v>0</v>
      </c>
      <c r="BI185" s="193">
        <f t="shared" si="28"/>
        <v>0</v>
      </c>
      <c r="BJ185" s="19" t="s">
        <v>79</v>
      </c>
      <c r="BK185" s="193">
        <f t="shared" si="29"/>
        <v>0</v>
      </c>
      <c r="BL185" s="19" t="s">
        <v>281</v>
      </c>
      <c r="BM185" s="192" t="s">
        <v>1222</v>
      </c>
    </row>
    <row r="186" spans="1:65" s="2" customFormat="1" ht="16.5" customHeight="1">
      <c r="A186" s="36"/>
      <c r="B186" s="37"/>
      <c r="C186" s="181" t="s">
        <v>835</v>
      </c>
      <c r="D186" s="181" t="s">
        <v>382</v>
      </c>
      <c r="E186" s="182" t="s">
        <v>5162</v>
      </c>
      <c r="F186" s="183" t="s">
        <v>5163</v>
      </c>
      <c r="G186" s="184" t="s">
        <v>1334</v>
      </c>
      <c r="H186" s="185">
        <v>24</v>
      </c>
      <c r="I186" s="186"/>
      <c r="J186" s="187">
        <f t="shared" si="20"/>
        <v>0</v>
      </c>
      <c r="K186" s="183" t="s">
        <v>19</v>
      </c>
      <c r="L186" s="41"/>
      <c r="M186" s="188" t="s">
        <v>19</v>
      </c>
      <c r="N186" s="189" t="s">
        <v>43</v>
      </c>
      <c r="O186" s="66"/>
      <c r="P186" s="190">
        <f t="shared" si="21"/>
        <v>0</v>
      </c>
      <c r="Q186" s="190">
        <v>0</v>
      </c>
      <c r="R186" s="190">
        <f t="shared" si="22"/>
        <v>0</v>
      </c>
      <c r="S186" s="190">
        <v>0</v>
      </c>
      <c r="T186" s="191">
        <f t="shared" si="23"/>
        <v>0</v>
      </c>
      <c r="U186" s="36"/>
      <c r="V186" s="36"/>
      <c r="W186" s="36"/>
      <c r="X186" s="36"/>
      <c r="Y186" s="36"/>
      <c r="Z186" s="36"/>
      <c r="AA186" s="36"/>
      <c r="AB186" s="36"/>
      <c r="AC186" s="36"/>
      <c r="AD186" s="36"/>
      <c r="AE186" s="36"/>
      <c r="AR186" s="192" t="s">
        <v>281</v>
      </c>
      <c r="AT186" s="192" t="s">
        <v>382</v>
      </c>
      <c r="AU186" s="192" t="s">
        <v>79</v>
      </c>
      <c r="AY186" s="19" t="s">
        <v>380</v>
      </c>
      <c r="BE186" s="193">
        <f t="shared" si="24"/>
        <v>0</v>
      </c>
      <c r="BF186" s="193">
        <f t="shared" si="25"/>
        <v>0</v>
      </c>
      <c r="BG186" s="193">
        <f t="shared" si="26"/>
        <v>0</v>
      </c>
      <c r="BH186" s="193">
        <f t="shared" si="27"/>
        <v>0</v>
      </c>
      <c r="BI186" s="193">
        <f t="shared" si="28"/>
        <v>0</v>
      </c>
      <c r="BJ186" s="19" t="s">
        <v>79</v>
      </c>
      <c r="BK186" s="193">
        <f t="shared" si="29"/>
        <v>0</v>
      </c>
      <c r="BL186" s="19" t="s">
        <v>281</v>
      </c>
      <c r="BM186" s="192" t="s">
        <v>1239</v>
      </c>
    </row>
    <row r="187" spans="1:65" s="2" customFormat="1" ht="16.5" customHeight="1">
      <c r="A187" s="36"/>
      <c r="B187" s="37"/>
      <c r="C187" s="181" t="s">
        <v>841</v>
      </c>
      <c r="D187" s="181" t="s">
        <v>382</v>
      </c>
      <c r="E187" s="182" t="s">
        <v>5164</v>
      </c>
      <c r="F187" s="183" t="s">
        <v>5165</v>
      </c>
      <c r="G187" s="184" t="s">
        <v>1334</v>
      </c>
      <c r="H187" s="185">
        <v>24</v>
      </c>
      <c r="I187" s="186"/>
      <c r="J187" s="187">
        <f t="shared" si="20"/>
        <v>0</v>
      </c>
      <c r="K187" s="183" t="s">
        <v>19</v>
      </c>
      <c r="L187" s="41"/>
      <c r="M187" s="188" t="s">
        <v>19</v>
      </c>
      <c r="N187" s="189" t="s">
        <v>43</v>
      </c>
      <c r="O187" s="66"/>
      <c r="P187" s="190">
        <f t="shared" si="21"/>
        <v>0</v>
      </c>
      <c r="Q187" s="190">
        <v>0</v>
      </c>
      <c r="R187" s="190">
        <f t="shared" si="22"/>
        <v>0</v>
      </c>
      <c r="S187" s="190">
        <v>0</v>
      </c>
      <c r="T187" s="191">
        <f t="shared" si="23"/>
        <v>0</v>
      </c>
      <c r="U187" s="36"/>
      <c r="V187" s="36"/>
      <c r="W187" s="36"/>
      <c r="X187" s="36"/>
      <c r="Y187" s="36"/>
      <c r="Z187" s="36"/>
      <c r="AA187" s="36"/>
      <c r="AB187" s="36"/>
      <c r="AC187" s="36"/>
      <c r="AD187" s="36"/>
      <c r="AE187" s="36"/>
      <c r="AR187" s="192" t="s">
        <v>281</v>
      </c>
      <c r="AT187" s="192" t="s">
        <v>382</v>
      </c>
      <c r="AU187" s="192" t="s">
        <v>79</v>
      </c>
      <c r="AY187" s="19" t="s">
        <v>380</v>
      </c>
      <c r="BE187" s="193">
        <f t="shared" si="24"/>
        <v>0</v>
      </c>
      <c r="BF187" s="193">
        <f t="shared" si="25"/>
        <v>0</v>
      </c>
      <c r="BG187" s="193">
        <f t="shared" si="26"/>
        <v>0</v>
      </c>
      <c r="BH187" s="193">
        <f t="shared" si="27"/>
        <v>0</v>
      </c>
      <c r="BI187" s="193">
        <f t="shared" si="28"/>
        <v>0</v>
      </c>
      <c r="BJ187" s="19" t="s">
        <v>79</v>
      </c>
      <c r="BK187" s="193">
        <f t="shared" si="29"/>
        <v>0</v>
      </c>
      <c r="BL187" s="19" t="s">
        <v>281</v>
      </c>
      <c r="BM187" s="192" t="s">
        <v>1251</v>
      </c>
    </row>
    <row r="188" spans="1:65" s="12" customFormat="1" ht="25.9" customHeight="1">
      <c r="B188" s="165"/>
      <c r="C188" s="166"/>
      <c r="D188" s="167" t="s">
        <v>71</v>
      </c>
      <c r="E188" s="168" t="s">
        <v>411</v>
      </c>
      <c r="F188" s="168" t="s">
        <v>5166</v>
      </c>
      <c r="G188" s="166"/>
      <c r="H188" s="166"/>
      <c r="I188" s="169"/>
      <c r="J188" s="170">
        <f>BK188</f>
        <v>0</v>
      </c>
      <c r="K188" s="166"/>
      <c r="L188" s="171"/>
      <c r="M188" s="172"/>
      <c r="N188" s="173"/>
      <c r="O188" s="173"/>
      <c r="P188" s="174">
        <f>SUM(P189:P194)</f>
        <v>0</v>
      </c>
      <c r="Q188" s="173"/>
      <c r="R188" s="174">
        <f>SUM(R189:R194)</f>
        <v>0</v>
      </c>
      <c r="S188" s="173"/>
      <c r="T188" s="175">
        <f>SUM(T189:T194)</f>
        <v>0</v>
      </c>
      <c r="AR188" s="176" t="s">
        <v>79</v>
      </c>
      <c r="AT188" s="177" t="s">
        <v>71</v>
      </c>
      <c r="AU188" s="177" t="s">
        <v>72</v>
      </c>
      <c r="AY188" s="176" t="s">
        <v>380</v>
      </c>
      <c r="BK188" s="178">
        <f>SUM(BK189:BK194)</f>
        <v>0</v>
      </c>
    </row>
    <row r="189" spans="1:65" s="2" customFormat="1" ht="21.75" customHeight="1">
      <c r="A189" s="36"/>
      <c r="B189" s="37"/>
      <c r="C189" s="181" t="s">
        <v>845</v>
      </c>
      <c r="D189" s="181" t="s">
        <v>382</v>
      </c>
      <c r="E189" s="182" t="s">
        <v>5167</v>
      </c>
      <c r="F189" s="183" t="s">
        <v>5168</v>
      </c>
      <c r="G189" s="184" t="s">
        <v>2393</v>
      </c>
      <c r="H189" s="185">
        <v>30</v>
      </c>
      <c r="I189" s="186"/>
      <c r="J189" s="187">
        <f t="shared" ref="J189:J194" si="30">ROUND(I189*H189,2)</f>
        <v>0</v>
      </c>
      <c r="K189" s="183" t="s">
        <v>19</v>
      </c>
      <c r="L189" s="41"/>
      <c r="M189" s="188" t="s">
        <v>19</v>
      </c>
      <c r="N189" s="189" t="s">
        <v>43</v>
      </c>
      <c r="O189" s="66"/>
      <c r="P189" s="190">
        <f t="shared" ref="P189:P194" si="31">O189*H189</f>
        <v>0</v>
      </c>
      <c r="Q189" s="190">
        <v>0</v>
      </c>
      <c r="R189" s="190">
        <f t="shared" ref="R189:R194" si="32">Q189*H189</f>
        <v>0</v>
      </c>
      <c r="S189" s="190">
        <v>0</v>
      </c>
      <c r="T189" s="191">
        <f t="shared" ref="T189:T194" si="33">S189*H189</f>
        <v>0</v>
      </c>
      <c r="U189" s="36"/>
      <c r="V189" s="36"/>
      <c r="W189" s="36"/>
      <c r="X189" s="36"/>
      <c r="Y189" s="36"/>
      <c r="Z189" s="36"/>
      <c r="AA189" s="36"/>
      <c r="AB189" s="36"/>
      <c r="AC189" s="36"/>
      <c r="AD189" s="36"/>
      <c r="AE189" s="36"/>
      <c r="AR189" s="192" t="s">
        <v>386</v>
      </c>
      <c r="AT189" s="192" t="s">
        <v>382</v>
      </c>
      <c r="AU189" s="192" t="s">
        <v>79</v>
      </c>
      <c r="AY189" s="19" t="s">
        <v>380</v>
      </c>
      <c r="BE189" s="193">
        <f t="shared" ref="BE189:BE194" si="34">IF(N189="základní",J189,0)</f>
        <v>0</v>
      </c>
      <c r="BF189" s="193">
        <f t="shared" ref="BF189:BF194" si="35">IF(N189="snížená",J189,0)</f>
        <v>0</v>
      </c>
      <c r="BG189" s="193">
        <f t="shared" ref="BG189:BG194" si="36">IF(N189="zákl. přenesená",J189,0)</f>
        <v>0</v>
      </c>
      <c r="BH189" s="193">
        <f t="shared" ref="BH189:BH194" si="37">IF(N189="sníž. přenesená",J189,0)</f>
        <v>0</v>
      </c>
      <c r="BI189" s="193">
        <f t="shared" ref="BI189:BI194" si="38">IF(N189="nulová",J189,0)</f>
        <v>0</v>
      </c>
      <c r="BJ189" s="19" t="s">
        <v>79</v>
      </c>
      <c r="BK189" s="193">
        <f t="shared" ref="BK189:BK194" si="39">ROUND(I189*H189,2)</f>
        <v>0</v>
      </c>
      <c r="BL189" s="19" t="s">
        <v>386</v>
      </c>
      <c r="BM189" s="192" t="s">
        <v>1261</v>
      </c>
    </row>
    <row r="190" spans="1:65" s="2" customFormat="1" ht="16.5" customHeight="1">
      <c r="A190" s="36"/>
      <c r="B190" s="37"/>
      <c r="C190" s="181" t="s">
        <v>851</v>
      </c>
      <c r="D190" s="181" t="s">
        <v>382</v>
      </c>
      <c r="E190" s="182" t="s">
        <v>5169</v>
      </c>
      <c r="F190" s="183" t="s">
        <v>5170</v>
      </c>
      <c r="G190" s="184" t="s">
        <v>2393</v>
      </c>
      <c r="H190" s="185">
        <v>31</v>
      </c>
      <c r="I190" s="186"/>
      <c r="J190" s="187">
        <f t="shared" si="30"/>
        <v>0</v>
      </c>
      <c r="K190" s="183" t="s">
        <v>19</v>
      </c>
      <c r="L190" s="41"/>
      <c r="M190" s="188" t="s">
        <v>19</v>
      </c>
      <c r="N190" s="189" t="s">
        <v>43</v>
      </c>
      <c r="O190" s="66"/>
      <c r="P190" s="190">
        <f t="shared" si="31"/>
        <v>0</v>
      </c>
      <c r="Q190" s="190">
        <v>0</v>
      </c>
      <c r="R190" s="190">
        <f t="shared" si="32"/>
        <v>0</v>
      </c>
      <c r="S190" s="190">
        <v>0</v>
      </c>
      <c r="T190" s="191">
        <f t="shared" si="33"/>
        <v>0</v>
      </c>
      <c r="U190" s="36"/>
      <c r="V190" s="36"/>
      <c r="W190" s="36"/>
      <c r="X190" s="36"/>
      <c r="Y190" s="36"/>
      <c r="Z190" s="36"/>
      <c r="AA190" s="36"/>
      <c r="AB190" s="36"/>
      <c r="AC190" s="36"/>
      <c r="AD190" s="36"/>
      <c r="AE190" s="36"/>
      <c r="AR190" s="192" t="s">
        <v>386</v>
      </c>
      <c r="AT190" s="192" t="s">
        <v>382</v>
      </c>
      <c r="AU190" s="192" t="s">
        <v>79</v>
      </c>
      <c r="AY190" s="19" t="s">
        <v>380</v>
      </c>
      <c r="BE190" s="193">
        <f t="shared" si="34"/>
        <v>0</v>
      </c>
      <c r="BF190" s="193">
        <f t="shared" si="35"/>
        <v>0</v>
      </c>
      <c r="BG190" s="193">
        <f t="shared" si="36"/>
        <v>0</v>
      </c>
      <c r="BH190" s="193">
        <f t="shared" si="37"/>
        <v>0</v>
      </c>
      <c r="BI190" s="193">
        <f t="shared" si="38"/>
        <v>0</v>
      </c>
      <c r="BJ190" s="19" t="s">
        <v>79</v>
      </c>
      <c r="BK190" s="193">
        <f t="shared" si="39"/>
        <v>0</v>
      </c>
      <c r="BL190" s="19" t="s">
        <v>386</v>
      </c>
      <c r="BM190" s="192" t="s">
        <v>1271</v>
      </c>
    </row>
    <row r="191" spans="1:65" s="2" customFormat="1" ht="21.75" customHeight="1">
      <c r="A191" s="36"/>
      <c r="B191" s="37"/>
      <c r="C191" s="181" t="s">
        <v>855</v>
      </c>
      <c r="D191" s="181" t="s">
        <v>382</v>
      </c>
      <c r="E191" s="182" t="s">
        <v>5171</v>
      </c>
      <c r="F191" s="183" t="s">
        <v>5172</v>
      </c>
      <c r="G191" s="184" t="s">
        <v>2393</v>
      </c>
      <c r="H191" s="185">
        <v>10</v>
      </c>
      <c r="I191" s="186"/>
      <c r="J191" s="187">
        <f t="shared" si="30"/>
        <v>0</v>
      </c>
      <c r="K191" s="183" t="s">
        <v>19</v>
      </c>
      <c r="L191" s="41"/>
      <c r="M191" s="188" t="s">
        <v>19</v>
      </c>
      <c r="N191" s="189" t="s">
        <v>43</v>
      </c>
      <c r="O191" s="66"/>
      <c r="P191" s="190">
        <f t="shared" si="31"/>
        <v>0</v>
      </c>
      <c r="Q191" s="190">
        <v>0</v>
      </c>
      <c r="R191" s="190">
        <f t="shared" si="32"/>
        <v>0</v>
      </c>
      <c r="S191" s="190">
        <v>0</v>
      </c>
      <c r="T191" s="191">
        <f t="shared" si="33"/>
        <v>0</v>
      </c>
      <c r="U191" s="36"/>
      <c r="V191" s="36"/>
      <c r="W191" s="36"/>
      <c r="X191" s="36"/>
      <c r="Y191" s="36"/>
      <c r="Z191" s="36"/>
      <c r="AA191" s="36"/>
      <c r="AB191" s="36"/>
      <c r="AC191" s="36"/>
      <c r="AD191" s="36"/>
      <c r="AE191" s="36"/>
      <c r="AR191" s="192" t="s">
        <v>386</v>
      </c>
      <c r="AT191" s="192" t="s">
        <v>382</v>
      </c>
      <c r="AU191" s="192" t="s">
        <v>79</v>
      </c>
      <c r="AY191" s="19" t="s">
        <v>380</v>
      </c>
      <c r="BE191" s="193">
        <f t="shared" si="34"/>
        <v>0</v>
      </c>
      <c r="BF191" s="193">
        <f t="shared" si="35"/>
        <v>0</v>
      </c>
      <c r="BG191" s="193">
        <f t="shared" si="36"/>
        <v>0</v>
      </c>
      <c r="BH191" s="193">
        <f t="shared" si="37"/>
        <v>0</v>
      </c>
      <c r="BI191" s="193">
        <f t="shared" si="38"/>
        <v>0</v>
      </c>
      <c r="BJ191" s="19" t="s">
        <v>79</v>
      </c>
      <c r="BK191" s="193">
        <f t="shared" si="39"/>
        <v>0</v>
      </c>
      <c r="BL191" s="19" t="s">
        <v>386</v>
      </c>
      <c r="BM191" s="192" t="s">
        <v>1280</v>
      </c>
    </row>
    <row r="192" spans="1:65" s="2" customFormat="1" ht="16.5" customHeight="1">
      <c r="A192" s="36"/>
      <c r="B192" s="37"/>
      <c r="C192" s="181" t="s">
        <v>859</v>
      </c>
      <c r="D192" s="181" t="s">
        <v>382</v>
      </c>
      <c r="E192" s="182" t="s">
        <v>5173</v>
      </c>
      <c r="F192" s="183" t="s">
        <v>5174</v>
      </c>
      <c r="G192" s="184" t="s">
        <v>452</v>
      </c>
      <c r="H192" s="185">
        <v>138</v>
      </c>
      <c r="I192" s="186"/>
      <c r="J192" s="187">
        <f t="shared" si="30"/>
        <v>0</v>
      </c>
      <c r="K192" s="183" t="s">
        <v>19</v>
      </c>
      <c r="L192" s="41"/>
      <c r="M192" s="188" t="s">
        <v>19</v>
      </c>
      <c r="N192" s="189" t="s">
        <v>43</v>
      </c>
      <c r="O192" s="66"/>
      <c r="P192" s="190">
        <f t="shared" si="31"/>
        <v>0</v>
      </c>
      <c r="Q192" s="190">
        <v>0</v>
      </c>
      <c r="R192" s="190">
        <f t="shared" si="32"/>
        <v>0</v>
      </c>
      <c r="S192" s="190">
        <v>0</v>
      </c>
      <c r="T192" s="191">
        <f t="shared" si="33"/>
        <v>0</v>
      </c>
      <c r="U192" s="36"/>
      <c r="V192" s="36"/>
      <c r="W192" s="36"/>
      <c r="X192" s="36"/>
      <c r="Y192" s="36"/>
      <c r="Z192" s="36"/>
      <c r="AA192" s="36"/>
      <c r="AB192" s="36"/>
      <c r="AC192" s="36"/>
      <c r="AD192" s="36"/>
      <c r="AE192" s="36"/>
      <c r="AR192" s="192" t="s">
        <v>386</v>
      </c>
      <c r="AT192" s="192" t="s">
        <v>382</v>
      </c>
      <c r="AU192" s="192" t="s">
        <v>79</v>
      </c>
      <c r="AY192" s="19" t="s">
        <v>380</v>
      </c>
      <c r="BE192" s="193">
        <f t="shared" si="34"/>
        <v>0</v>
      </c>
      <c r="BF192" s="193">
        <f t="shared" si="35"/>
        <v>0</v>
      </c>
      <c r="BG192" s="193">
        <f t="shared" si="36"/>
        <v>0</v>
      </c>
      <c r="BH192" s="193">
        <f t="shared" si="37"/>
        <v>0</v>
      </c>
      <c r="BI192" s="193">
        <f t="shared" si="38"/>
        <v>0</v>
      </c>
      <c r="BJ192" s="19" t="s">
        <v>79</v>
      </c>
      <c r="BK192" s="193">
        <f t="shared" si="39"/>
        <v>0</v>
      </c>
      <c r="BL192" s="19" t="s">
        <v>386</v>
      </c>
      <c r="BM192" s="192" t="s">
        <v>1293</v>
      </c>
    </row>
    <row r="193" spans="1:65" s="2" customFormat="1" ht="16.5" customHeight="1">
      <c r="A193" s="36"/>
      <c r="B193" s="37"/>
      <c r="C193" s="181" t="s">
        <v>863</v>
      </c>
      <c r="D193" s="181" t="s">
        <v>382</v>
      </c>
      <c r="E193" s="182" t="s">
        <v>5175</v>
      </c>
      <c r="F193" s="183" t="s">
        <v>5176</v>
      </c>
      <c r="G193" s="184" t="s">
        <v>398</v>
      </c>
      <c r="H193" s="185">
        <v>200</v>
      </c>
      <c r="I193" s="186"/>
      <c r="J193" s="187">
        <f t="shared" si="30"/>
        <v>0</v>
      </c>
      <c r="K193" s="183" t="s">
        <v>19</v>
      </c>
      <c r="L193" s="41"/>
      <c r="M193" s="188" t="s">
        <v>19</v>
      </c>
      <c r="N193" s="189" t="s">
        <v>43</v>
      </c>
      <c r="O193" s="66"/>
      <c r="P193" s="190">
        <f t="shared" si="31"/>
        <v>0</v>
      </c>
      <c r="Q193" s="190">
        <v>0</v>
      </c>
      <c r="R193" s="190">
        <f t="shared" si="32"/>
        <v>0</v>
      </c>
      <c r="S193" s="190">
        <v>0</v>
      </c>
      <c r="T193" s="191">
        <f t="shared" si="33"/>
        <v>0</v>
      </c>
      <c r="U193" s="36"/>
      <c r="V193" s="36"/>
      <c r="W193" s="36"/>
      <c r="X193" s="36"/>
      <c r="Y193" s="36"/>
      <c r="Z193" s="36"/>
      <c r="AA193" s="36"/>
      <c r="AB193" s="36"/>
      <c r="AC193" s="36"/>
      <c r="AD193" s="36"/>
      <c r="AE193" s="36"/>
      <c r="AR193" s="192" t="s">
        <v>386</v>
      </c>
      <c r="AT193" s="192" t="s">
        <v>382</v>
      </c>
      <c r="AU193" s="192" t="s">
        <v>79</v>
      </c>
      <c r="AY193" s="19" t="s">
        <v>380</v>
      </c>
      <c r="BE193" s="193">
        <f t="shared" si="34"/>
        <v>0</v>
      </c>
      <c r="BF193" s="193">
        <f t="shared" si="35"/>
        <v>0</v>
      </c>
      <c r="BG193" s="193">
        <f t="shared" si="36"/>
        <v>0</v>
      </c>
      <c r="BH193" s="193">
        <f t="shared" si="37"/>
        <v>0</v>
      </c>
      <c r="BI193" s="193">
        <f t="shared" si="38"/>
        <v>0</v>
      </c>
      <c r="BJ193" s="19" t="s">
        <v>79</v>
      </c>
      <c r="BK193" s="193">
        <f t="shared" si="39"/>
        <v>0</v>
      </c>
      <c r="BL193" s="19" t="s">
        <v>386</v>
      </c>
      <c r="BM193" s="192" t="s">
        <v>1301</v>
      </c>
    </row>
    <row r="194" spans="1:65" s="2" customFormat="1" ht="16.5" customHeight="1">
      <c r="A194" s="36"/>
      <c r="B194" s="37"/>
      <c r="C194" s="181" t="s">
        <v>867</v>
      </c>
      <c r="D194" s="181" t="s">
        <v>382</v>
      </c>
      <c r="E194" s="182" t="s">
        <v>5177</v>
      </c>
      <c r="F194" s="183" t="s">
        <v>5178</v>
      </c>
      <c r="G194" s="184" t="s">
        <v>452</v>
      </c>
      <c r="H194" s="185">
        <v>138</v>
      </c>
      <c r="I194" s="186"/>
      <c r="J194" s="187">
        <f t="shared" si="30"/>
        <v>0</v>
      </c>
      <c r="K194" s="183" t="s">
        <v>19</v>
      </c>
      <c r="L194" s="41"/>
      <c r="M194" s="252" t="s">
        <v>19</v>
      </c>
      <c r="N194" s="253" t="s">
        <v>43</v>
      </c>
      <c r="O194" s="254"/>
      <c r="P194" s="255">
        <f t="shared" si="31"/>
        <v>0</v>
      </c>
      <c r="Q194" s="255">
        <v>0</v>
      </c>
      <c r="R194" s="255">
        <f t="shared" si="32"/>
        <v>0</v>
      </c>
      <c r="S194" s="255">
        <v>0</v>
      </c>
      <c r="T194" s="256">
        <f t="shared" si="33"/>
        <v>0</v>
      </c>
      <c r="U194" s="36"/>
      <c r="V194" s="36"/>
      <c r="W194" s="36"/>
      <c r="X194" s="36"/>
      <c r="Y194" s="36"/>
      <c r="Z194" s="36"/>
      <c r="AA194" s="36"/>
      <c r="AB194" s="36"/>
      <c r="AC194" s="36"/>
      <c r="AD194" s="36"/>
      <c r="AE194" s="36"/>
      <c r="AR194" s="192" t="s">
        <v>386</v>
      </c>
      <c r="AT194" s="192" t="s">
        <v>382</v>
      </c>
      <c r="AU194" s="192" t="s">
        <v>79</v>
      </c>
      <c r="AY194" s="19" t="s">
        <v>380</v>
      </c>
      <c r="BE194" s="193">
        <f t="shared" si="34"/>
        <v>0</v>
      </c>
      <c r="BF194" s="193">
        <f t="shared" si="35"/>
        <v>0</v>
      </c>
      <c r="BG194" s="193">
        <f t="shared" si="36"/>
        <v>0</v>
      </c>
      <c r="BH194" s="193">
        <f t="shared" si="37"/>
        <v>0</v>
      </c>
      <c r="BI194" s="193">
        <f t="shared" si="38"/>
        <v>0</v>
      </c>
      <c r="BJ194" s="19" t="s">
        <v>79</v>
      </c>
      <c r="BK194" s="193">
        <f t="shared" si="39"/>
        <v>0</v>
      </c>
      <c r="BL194" s="19" t="s">
        <v>386</v>
      </c>
      <c r="BM194" s="192" t="s">
        <v>1309</v>
      </c>
    </row>
    <row r="195" spans="1:65" s="2" customFormat="1" ht="6.95" customHeight="1">
      <c r="A195" s="36"/>
      <c r="B195" s="49"/>
      <c r="C195" s="50"/>
      <c r="D195" s="50"/>
      <c r="E195" s="50"/>
      <c r="F195" s="50"/>
      <c r="G195" s="50"/>
      <c r="H195" s="50"/>
      <c r="I195" s="50"/>
      <c r="J195" s="50"/>
      <c r="K195" s="50"/>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LNu6Cok/Zt9dNDILJiGMoe3JYYHVoZ+Lc08u7VsbzGRQkpTA8ed4ctLq4O4eRG3taNSm8yzRBVInrYu3jkU6JQ==" saltValue="qGbCxojRVLmYbhgJkRxbpOOnwFjrVfiKvJBryJKnmvfSSP08nUyg7vkH6XiR9h6t05HEyCq64mu6t0m96WvCSg==" spinCount="100000" sheet="1" objects="1" scenarios="1" formatColumns="0" formatRows="0" autoFilter="0"/>
  <autoFilter ref="C90:K194" xr:uid="{00000000-0009-0000-0000-000013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5179</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ROUND((SUM(BE88:BE134)),  2)</f>
        <v>0</v>
      </c>
      <c r="G35" s="36"/>
      <c r="H35" s="36"/>
      <c r="I35" s="127">
        <v>0.21</v>
      </c>
      <c r="J35" s="126">
        <f>ROUND(((SUM(BE88:BE134))*I35),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ROUND((SUM(BF88:BF134)),  2)</f>
        <v>0</v>
      </c>
      <c r="G36" s="36"/>
      <c r="H36" s="36"/>
      <c r="I36" s="127">
        <v>0.15</v>
      </c>
      <c r="J36" s="126">
        <f>ROUND(((SUM(BF88:BF134))*I36),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ROUND((SUM(BG88:BG134)),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ROUND((SUM(BH88:BH134)),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ROUND((SUM(BI88:BI134)),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PLYN - PLYNOINSTALACE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2333</v>
      </c>
      <c r="E64" s="146"/>
      <c r="F64" s="146"/>
      <c r="G64" s="146"/>
      <c r="H64" s="146"/>
      <c r="I64" s="146"/>
      <c r="J64" s="147">
        <f>J89</f>
        <v>0</v>
      </c>
      <c r="K64" s="144"/>
      <c r="L64" s="148"/>
    </row>
    <row r="65" spans="1:31" s="10" customFormat="1" ht="19.899999999999999" customHeight="1">
      <c r="B65" s="149"/>
      <c r="C65" s="99"/>
      <c r="D65" s="150" t="s">
        <v>5180</v>
      </c>
      <c r="E65" s="151"/>
      <c r="F65" s="151"/>
      <c r="G65" s="151"/>
      <c r="H65" s="151"/>
      <c r="I65" s="151"/>
      <c r="J65" s="152">
        <f>J90</f>
        <v>0</v>
      </c>
      <c r="K65" s="99"/>
      <c r="L65" s="153"/>
    </row>
    <row r="66" spans="1:31" s="10" customFormat="1" ht="19.899999999999999" customHeight="1">
      <c r="B66" s="149"/>
      <c r="C66" s="99"/>
      <c r="D66" s="150" t="s">
        <v>5181</v>
      </c>
      <c r="E66" s="151"/>
      <c r="F66" s="151"/>
      <c r="G66" s="151"/>
      <c r="H66" s="151"/>
      <c r="I66" s="151"/>
      <c r="J66" s="152">
        <f>J131</f>
        <v>0</v>
      </c>
      <c r="K66" s="99"/>
      <c r="L66" s="153"/>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365</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6" t="str">
        <f>E7</f>
        <v>ARCHIV UP V OLOMOUCI - BEZ VYBAVENÍ INTERIÉRU</v>
      </c>
      <c r="F76" s="417"/>
      <c r="G76" s="417"/>
      <c r="H76" s="417"/>
      <c r="I76" s="38"/>
      <c r="J76" s="38"/>
      <c r="K76" s="38"/>
      <c r="L76" s="116"/>
      <c r="S76" s="36"/>
      <c r="T76" s="36"/>
      <c r="U76" s="36"/>
      <c r="V76" s="36"/>
      <c r="W76" s="36"/>
      <c r="X76" s="36"/>
      <c r="Y76" s="36"/>
      <c r="Z76" s="36"/>
      <c r="AA76" s="36"/>
      <c r="AB76" s="36"/>
      <c r="AC76" s="36"/>
      <c r="AD76" s="36"/>
      <c r="AE76" s="36"/>
    </row>
    <row r="77" spans="1:31" s="1" customFormat="1" ht="12" customHeight="1">
      <c r="B77" s="23"/>
      <c r="C77" s="31" t="s">
        <v>282</v>
      </c>
      <c r="D77" s="24"/>
      <c r="E77" s="24"/>
      <c r="F77" s="24"/>
      <c r="G77" s="24"/>
      <c r="H77" s="24"/>
      <c r="I77" s="24"/>
      <c r="J77" s="24"/>
      <c r="K77" s="24"/>
      <c r="L77" s="22"/>
    </row>
    <row r="78" spans="1:31" s="2" customFormat="1" ht="16.5" customHeight="1">
      <c r="A78" s="36"/>
      <c r="B78" s="37"/>
      <c r="C78" s="38"/>
      <c r="D78" s="38"/>
      <c r="E78" s="416" t="s">
        <v>285</v>
      </c>
      <c r="F78" s="418"/>
      <c r="G78" s="418"/>
      <c r="H78" s="41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288</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87" t="str">
        <f>E11</f>
        <v>PLYN - PLYNOINSTALACE</v>
      </c>
      <c r="F80" s="418"/>
      <c r="G80" s="418"/>
      <c r="H80" s="41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4. 8. 2021</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UP V OLOMOUCI, KŘÍŽOVSKÉHO 511/8, 779 00</v>
      </c>
      <c r="G84" s="38"/>
      <c r="H84" s="38"/>
      <c r="I84" s="31" t="s">
        <v>31</v>
      </c>
      <c r="J84" s="34" t="str">
        <f>E23</f>
        <v>ALFAPROJEKT OLOMOUC a.s.</v>
      </c>
      <c r="K84" s="38"/>
      <c r="L84" s="116"/>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IF(E20="","",E20)</f>
        <v>Vyplň údaj</v>
      </c>
      <c r="G85" s="38"/>
      <c r="H85" s="38"/>
      <c r="I85" s="31" t="s">
        <v>34</v>
      </c>
      <c r="J85" s="34" t="str">
        <f>E26</f>
        <v>PROPOS LIBEREC s.r.o.</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4"/>
      <c r="B87" s="155"/>
      <c r="C87" s="156" t="s">
        <v>366</v>
      </c>
      <c r="D87" s="157" t="s">
        <v>57</v>
      </c>
      <c r="E87" s="157" t="s">
        <v>53</v>
      </c>
      <c r="F87" s="157" t="s">
        <v>54</v>
      </c>
      <c r="G87" s="157" t="s">
        <v>367</v>
      </c>
      <c r="H87" s="157" t="s">
        <v>368</v>
      </c>
      <c r="I87" s="157" t="s">
        <v>369</v>
      </c>
      <c r="J87" s="157" t="s">
        <v>334</v>
      </c>
      <c r="K87" s="158" t="s">
        <v>370</v>
      </c>
      <c r="L87" s="159"/>
      <c r="M87" s="70" t="s">
        <v>19</v>
      </c>
      <c r="N87" s="71" t="s">
        <v>42</v>
      </c>
      <c r="O87" s="71" t="s">
        <v>371</v>
      </c>
      <c r="P87" s="71" t="s">
        <v>372</v>
      </c>
      <c r="Q87" s="71" t="s">
        <v>373</v>
      </c>
      <c r="R87" s="71" t="s">
        <v>374</v>
      </c>
      <c r="S87" s="71" t="s">
        <v>375</v>
      </c>
      <c r="T87" s="72" t="s">
        <v>376</v>
      </c>
      <c r="U87" s="154"/>
      <c r="V87" s="154"/>
      <c r="W87" s="154"/>
      <c r="X87" s="154"/>
      <c r="Y87" s="154"/>
      <c r="Z87" s="154"/>
      <c r="AA87" s="154"/>
      <c r="AB87" s="154"/>
      <c r="AC87" s="154"/>
      <c r="AD87" s="154"/>
      <c r="AE87" s="154"/>
    </row>
    <row r="88" spans="1:65" s="2" customFormat="1" ht="22.9" customHeight="1">
      <c r="A88" s="36"/>
      <c r="B88" s="37"/>
      <c r="C88" s="77" t="s">
        <v>377</v>
      </c>
      <c r="D88" s="38"/>
      <c r="E88" s="38"/>
      <c r="F88" s="38"/>
      <c r="G88" s="38"/>
      <c r="H88" s="38"/>
      <c r="I88" s="38"/>
      <c r="J88" s="160">
        <f>BK88</f>
        <v>0</v>
      </c>
      <c r="K88" s="38"/>
      <c r="L88" s="41"/>
      <c r="M88" s="73"/>
      <c r="N88" s="161"/>
      <c r="O88" s="74"/>
      <c r="P88" s="162">
        <f>P89</f>
        <v>0</v>
      </c>
      <c r="Q88" s="74"/>
      <c r="R88" s="162">
        <f>R89</f>
        <v>0</v>
      </c>
      <c r="S88" s="74"/>
      <c r="T88" s="163">
        <f>T89</f>
        <v>0</v>
      </c>
      <c r="U88" s="36"/>
      <c r="V88" s="36"/>
      <c r="W88" s="36"/>
      <c r="X88" s="36"/>
      <c r="Y88" s="36"/>
      <c r="Z88" s="36"/>
      <c r="AA88" s="36"/>
      <c r="AB88" s="36"/>
      <c r="AC88" s="36"/>
      <c r="AD88" s="36"/>
      <c r="AE88" s="36"/>
      <c r="AT88" s="19" t="s">
        <v>71</v>
      </c>
      <c r="AU88" s="19" t="s">
        <v>335</v>
      </c>
      <c r="BK88" s="164">
        <f>BK89</f>
        <v>0</v>
      </c>
    </row>
    <row r="89" spans="1:65" s="12" customFormat="1" ht="25.9" customHeight="1">
      <c r="B89" s="165"/>
      <c r="C89" s="166"/>
      <c r="D89" s="167" t="s">
        <v>71</v>
      </c>
      <c r="E89" s="168" t="s">
        <v>1344</v>
      </c>
      <c r="F89" s="168" t="s">
        <v>2348</v>
      </c>
      <c r="G89" s="166"/>
      <c r="H89" s="166"/>
      <c r="I89" s="169"/>
      <c r="J89" s="170">
        <f>BK89</f>
        <v>0</v>
      </c>
      <c r="K89" s="166"/>
      <c r="L89" s="171"/>
      <c r="M89" s="172"/>
      <c r="N89" s="173"/>
      <c r="O89" s="173"/>
      <c r="P89" s="174">
        <f>P90+P131</f>
        <v>0</v>
      </c>
      <c r="Q89" s="173"/>
      <c r="R89" s="174">
        <f>R90+R131</f>
        <v>0</v>
      </c>
      <c r="S89" s="173"/>
      <c r="T89" s="175">
        <f>T90+T131</f>
        <v>0</v>
      </c>
      <c r="AR89" s="176" t="s">
        <v>82</v>
      </c>
      <c r="AT89" s="177" t="s">
        <v>71</v>
      </c>
      <c r="AU89" s="177" t="s">
        <v>72</v>
      </c>
      <c r="AY89" s="176" t="s">
        <v>380</v>
      </c>
      <c r="BK89" s="178">
        <f>BK90+BK131</f>
        <v>0</v>
      </c>
    </row>
    <row r="90" spans="1:65" s="12" customFormat="1" ht="22.9" customHeight="1">
      <c r="B90" s="165"/>
      <c r="C90" s="166"/>
      <c r="D90" s="167" t="s">
        <v>71</v>
      </c>
      <c r="E90" s="179" t="s">
        <v>5182</v>
      </c>
      <c r="F90" s="179" t="s">
        <v>5183</v>
      </c>
      <c r="G90" s="166"/>
      <c r="H90" s="166"/>
      <c r="I90" s="169"/>
      <c r="J90" s="180">
        <f>BK90</f>
        <v>0</v>
      </c>
      <c r="K90" s="166"/>
      <c r="L90" s="171"/>
      <c r="M90" s="172"/>
      <c r="N90" s="173"/>
      <c r="O90" s="173"/>
      <c r="P90" s="174">
        <f>SUM(P91:P130)</f>
        <v>0</v>
      </c>
      <c r="Q90" s="173"/>
      <c r="R90" s="174">
        <f>SUM(R91:R130)</f>
        <v>0</v>
      </c>
      <c r="S90" s="173"/>
      <c r="T90" s="175">
        <f>SUM(T91:T130)</f>
        <v>0</v>
      </c>
      <c r="AR90" s="176" t="s">
        <v>82</v>
      </c>
      <c r="AT90" s="177" t="s">
        <v>71</v>
      </c>
      <c r="AU90" s="177" t="s">
        <v>79</v>
      </c>
      <c r="AY90" s="176" t="s">
        <v>380</v>
      </c>
      <c r="BK90" s="178">
        <f>SUM(BK91:BK130)</f>
        <v>0</v>
      </c>
    </row>
    <row r="91" spans="1:65" s="2" customFormat="1" ht="16.5" customHeight="1">
      <c r="A91" s="36"/>
      <c r="B91" s="37"/>
      <c r="C91" s="181" t="s">
        <v>79</v>
      </c>
      <c r="D91" s="181" t="s">
        <v>382</v>
      </c>
      <c r="E91" s="182" t="s">
        <v>5184</v>
      </c>
      <c r="F91" s="183" t="s">
        <v>5185</v>
      </c>
      <c r="G91" s="184" t="s">
        <v>641</v>
      </c>
      <c r="H91" s="185">
        <v>1</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281</v>
      </c>
      <c r="AT91" s="192" t="s">
        <v>382</v>
      </c>
      <c r="AU91" s="192" t="s">
        <v>82</v>
      </c>
      <c r="AY91" s="19" t="s">
        <v>380</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281</v>
      </c>
      <c r="BM91" s="192" t="s">
        <v>82</v>
      </c>
    </row>
    <row r="92" spans="1:65" s="13" customFormat="1" ht="11.25">
      <c r="B92" s="194"/>
      <c r="C92" s="195"/>
      <c r="D92" s="196" t="s">
        <v>388</v>
      </c>
      <c r="E92" s="197" t="s">
        <v>19</v>
      </c>
      <c r="F92" s="198" t="s">
        <v>5186</v>
      </c>
      <c r="G92" s="195"/>
      <c r="H92" s="197" t="s">
        <v>19</v>
      </c>
      <c r="I92" s="199"/>
      <c r="J92" s="195"/>
      <c r="K92" s="195"/>
      <c r="L92" s="200"/>
      <c r="M92" s="201"/>
      <c r="N92" s="202"/>
      <c r="O92" s="202"/>
      <c r="P92" s="202"/>
      <c r="Q92" s="202"/>
      <c r="R92" s="202"/>
      <c r="S92" s="202"/>
      <c r="T92" s="203"/>
      <c r="AT92" s="204" t="s">
        <v>388</v>
      </c>
      <c r="AU92" s="204" t="s">
        <v>82</v>
      </c>
      <c r="AV92" s="13" t="s">
        <v>79</v>
      </c>
      <c r="AW92" s="13" t="s">
        <v>33</v>
      </c>
      <c r="AX92" s="13" t="s">
        <v>72</v>
      </c>
      <c r="AY92" s="204" t="s">
        <v>380</v>
      </c>
    </row>
    <row r="93" spans="1:65" s="14" customFormat="1" ht="11.25">
      <c r="B93" s="205"/>
      <c r="C93" s="206"/>
      <c r="D93" s="196" t="s">
        <v>388</v>
      </c>
      <c r="E93" s="207" t="s">
        <v>19</v>
      </c>
      <c r="F93" s="208" t="s">
        <v>2542</v>
      </c>
      <c r="G93" s="206"/>
      <c r="H93" s="209">
        <v>1</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5" customFormat="1" ht="11.25">
      <c r="B94" s="216"/>
      <c r="C94" s="217"/>
      <c r="D94" s="196" t="s">
        <v>388</v>
      </c>
      <c r="E94" s="218" t="s">
        <v>19</v>
      </c>
      <c r="F94" s="219" t="s">
        <v>419</v>
      </c>
      <c r="G94" s="217"/>
      <c r="H94" s="220">
        <v>1</v>
      </c>
      <c r="I94" s="221"/>
      <c r="J94" s="217"/>
      <c r="K94" s="217"/>
      <c r="L94" s="222"/>
      <c r="M94" s="223"/>
      <c r="N94" s="224"/>
      <c r="O94" s="224"/>
      <c r="P94" s="224"/>
      <c r="Q94" s="224"/>
      <c r="R94" s="224"/>
      <c r="S94" s="224"/>
      <c r="T94" s="225"/>
      <c r="AT94" s="226" t="s">
        <v>388</v>
      </c>
      <c r="AU94" s="226" t="s">
        <v>82</v>
      </c>
      <c r="AV94" s="15" t="s">
        <v>386</v>
      </c>
      <c r="AW94" s="15" t="s">
        <v>33</v>
      </c>
      <c r="AX94" s="15" t="s">
        <v>79</v>
      </c>
      <c r="AY94" s="226" t="s">
        <v>380</v>
      </c>
    </row>
    <row r="95" spans="1:65" s="2" customFormat="1" ht="16.5" customHeight="1">
      <c r="A95" s="36"/>
      <c r="B95" s="37"/>
      <c r="C95" s="181" t="s">
        <v>82</v>
      </c>
      <c r="D95" s="181" t="s">
        <v>382</v>
      </c>
      <c r="E95" s="182" t="s">
        <v>5187</v>
      </c>
      <c r="F95" s="183" t="s">
        <v>5188</v>
      </c>
      <c r="G95" s="184" t="s">
        <v>452</v>
      </c>
      <c r="H95" s="185">
        <v>0.5</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281</v>
      </c>
      <c r="AT95" s="192" t="s">
        <v>382</v>
      </c>
      <c r="AU95" s="192" t="s">
        <v>82</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281</v>
      </c>
      <c r="BM95" s="192" t="s">
        <v>386</v>
      </c>
    </row>
    <row r="96" spans="1:65" s="14" customFormat="1" ht="11.25">
      <c r="B96" s="205"/>
      <c r="C96" s="206"/>
      <c r="D96" s="196" t="s">
        <v>388</v>
      </c>
      <c r="E96" s="207" t="s">
        <v>19</v>
      </c>
      <c r="F96" s="208" t="s">
        <v>5189</v>
      </c>
      <c r="G96" s="206"/>
      <c r="H96" s="209">
        <v>0.5</v>
      </c>
      <c r="I96" s="210"/>
      <c r="J96" s="206"/>
      <c r="K96" s="206"/>
      <c r="L96" s="211"/>
      <c r="M96" s="212"/>
      <c r="N96" s="213"/>
      <c r="O96" s="213"/>
      <c r="P96" s="213"/>
      <c r="Q96" s="213"/>
      <c r="R96" s="213"/>
      <c r="S96" s="213"/>
      <c r="T96" s="214"/>
      <c r="AT96" s="215" t="s">
        <v>388</v>
      </c>
      <c r="AU96" s="215" t="s">
        <v>82</v>
      </c>
      <c r="AV96" s="14" t="s">
        <v>82</v>
      </c>
      <c r="AW96" s="14" t="s">
        <v>33</v>
      </c>
      <c r="AX96" s="14" t="s">
        <v>72</v>
      </c>
      <c r="AY96" s="215" t="s">
        <v>380</v>
      </c>
    </row>
    <row r="97" spans="1:65" s="15" customFormat="1" ht="11.25">
      <c r="B97" s="216"/>
      <c r="C97" s="217"/>
      <c r="D97" s="196" t="s">
        <v>388</v>
      </c>
      <c r="E97" s="218" t="s">
        <v>19</v>
      </c>
      <c r="F97" s="219" t="s">
        <v>419</v>
      </c>
      <c r="G97" s="217"/>
      <c r="H97" s="220">
        <v>0.5</v>
      </c>
      <c r="I97" s="221"/>
      <c r="J97" s="217"/>
      <c r="K97" s="217"/>
      <c r="L97" s="222"/>
      <c r="M97" s="223"/>
      <c r="N97" s="224"/>
      <c r="O97" s="224"/>
      <c r="P97" s="224"/>
      <c r="Q97" s="224"/>
      <c r="R97" s="224"/>
      <c r="S97" s="224"/>
      <c r="T97" s="225"/>
      <c r="AT97" s="226" t="s">
        <v>388</v>
      </c>
      <c r="AU97" s="226" t="s">
        <v>82</v>
      </c>
      <c r="AV97" s="15" t="s">
        <v>386</v>
      </c>
      <c r="AW97" s="15" t="s">
        <v>33</v>
      </c>
      <c r="AX97" s="15" t="s">
        <v>79</v>
      </c>
      <c r="AY97" s="226" t="s">
        <v>380</v>
      </c>
    </row>
    <row r="98" spans="1:65" s="2" customFormat="1" ht="16.5" customHeight="1">
      <c r="A98" s="36"/>
      <c r="B98" s="37"/>
      <c r="C98" s="181" t="s">
        <v>99</v>
      </c>
      <c r="D98" s="181" t="s">
        <v>382</v>
      </c>
      <c r="E98" s="182" t="s">
        <v>5190</v>
      </c>
      <c r="F98" s="183" t="s">
        <v>5191</v>
      </c>
      <c r="G98" s="184" t="s">
        <v>452</v>
      </c>
      <c r="H98" s="185">
        <v>21</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411</v>
      </c>
    </row>
    <row r="99" spans="1:65" s="13" customFormat="1" ht="11.25">
      <c r="B99" s="194"/>
      <c r="C99" s="195"/>
      <c r="D99" s="196" t="s">
        <v>388</v>
      </c>
      <c r="E99" s="197" t="s">
        <v>19</v>
      </c>
      <c r="F99" s="198" t="s">
        <v>5192</v>
      </c>
      <c r="G99" s="195"/>
      <c r="H99" s="197" t="s">
        <v>19</v>
      </c>
      <c r="I99" s="199"/>
      <c r="J99" s="195"/>
      <c r="K99" s="195"/>
      <c r="L99" s="200"/>
      <c r="M99" s="201"/>
      <c r="N99" s="202"/>
      <c r="O99" s="202"/>
      <c r="P99" s="202"/>
      <c r="Q99" s="202"/>
      <c r="R99" s="202"/>
      <c r="S99" s="202"/>
      <c r="T99" s="203"/>
      <c r="AT99" s="204" t="s">
        <v>388</v>
      </c>
      <c r="AU99" s="204" t="s">
        <v>82</v>
      </c>
      <c r="AV99" s="13" t="s">
        <v>79</v>
      </c>
      <c r="AW99" s="13" t="s">
        <v>33</v>
      </c>
      <c r="AX99" s="13" t="s">
        <v>72</v>
      </c>
      <c r="AY99" s="204" t="s">
        <v>380</v>
      </c>
    </row>
    <row r="100" spans="1:65" s="14" customFormat="1" ht="11.25">
      <c r="B100" s="205"/>
      <c r="C100" s="206"/>
      <c r="D100" s="196" t="s">
        <v>388</v>
      </c>
      <c r="E100" s="207" t="s">
        <v>19</v>
      </c>
      <c r="F100" s="208" t="s">
        <v>5193</v>
      </c>
      <c r="G100" s="206"/>
      <c r="H100" s="209">
        <v>21</v>
      </c>
      <c r="I100" s="210"/>
      <c r="J100" s="206"/>
      <c r="K100" s="206"/>
      <c r="L100" s="211"/>
      <c r="M100" s="212"/>
      <c r="N100" s="213"/>
      <c r="O100" s="213"/>
      <c r="P100" s="213"/>
      <c r="Q100" s="213"/>
      <c r="R100" s="213"/>
      <c r="S100" s="213"/>
      <c r="T100" s="214"/>
      <c r="AT100" s="215" t="s">
        <v>388</v>
      </c>
      <c r="AU100" s="215" t="s">
        <v>82</v>
      </c>
      <c r="AV100" s="14" t="s">
        <v>82</v>
      </c>
      <c r="AW100" s="14" t="s">
        <v>33</v>
      </c>
      <c r="AX100" s="14" t="s">
        <v>72</v>
      </c>
      <c r="AY100" s="215" t="s">
        <v>380</v>
      </c>
    </row>
    <row r="101" spans="1:65" s="15" customFormat="1" ht="11.25">
      <c r="B101" s="216"/>
      <c r="C101" s="217"/>
      <c r="D101" s="196" t="s">
        <v>388</v>
      </c>
      <c r="E101" s="218" t="s">
        <v>19</v>
      </c>
      <c r="F101" s="219" t="s">
        <v>419</v>
      </c>
      <c r="G101" s="217"/>
      <c r="H101" s="220">
        <v>21</v>
      </c>
      <c r="I101" s="221"/>
      <c r="J101" s="217"/>
      <c r="K101" s="217"/>
      <c r="L101" s="222"/>
      <c r="M101" s="223"/>
      <c r="N101" s="224"/>
      <c r="O101" s="224"/>
      <c r="P101" s="224"/>
      <c r="Q101" s="224"/>
      <c r="R101" s="224"/>
      <c r="S101" s="224"/>
      <c r="T101" s="225"/>
      <c r="AT101" s="226" t="s">
        <v>388</v>
      </c>
      <c r="AU101" s="226" t="s">
        <v>82</v>
      </c>
      <c r="AV101" s="15" t="s">
        <v>386</v>
      </c>
      <c r="AW101" s="15" t="s">
        <v>33</v>
      </c>
      <c r="AX101" s="15" t="s">
        <v>79</v>
      </c>
      <c r="AY101" s="226" t="s">
        <v>380</v>
      </c>
    </row>
    <row r="102" spans="1:65" s="2" customFormat="1" ht="16.5" customHeight="1">
      <c r="A102" s="36"/>
      <c r="B102" s="37"/>
      <c r="C102" s="181" t="s">
        <v>386</v>
      </c>
      <c r="D102" s="181" t="s">
        <v>382</v>
      </c>
      <c r="E102" s="182" t="s">
        <v>5194</v>
      </c>
      <c r="F102" s="183" t="s">
        <v>5195</v>
      </c>
      <c r="G102" s="184" t="s">
        <v>452</v>
      </c>
      <c r="H102" s="185">
        <v>11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424</v>
      </c>
    </row>
    <row r="103" spans="1:65" s="2" customFormat="1" ht="16.5" customHeight="1">
      <c r="A103" s="36"/>
      <c r="B103" s="37"/>
      <c r="C103" s="181" t="s">
        <v>405</v>
      </c>
      <c r="D103" s="181" t="s">
        <v>382</v>
      </c>
      <c r="E103" s="182" t="s">
        <v>5196</v>
      </c>
      <c r="F103" s="183" t="s">
        <v>5197</v>
      </c>
      <c r="G103" s="184" t="s">
        <v>452</v>
      </c>
      <c r="H103" s="185">
        <v>11</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122</v>
      </c>
    </row>
    <row r="104" spans="1:65" s="14" customFormat="1" ht="11.25">
      <c r="B104" s="205"/>
      <c r="C104" s="206"/>
      <c r="D104" s="196" t="s">
        <v>388</v>
      </c>
      <c r="E104" s="207" t="s">
        <v>19</v>
      </c>
      <c r="F104" s="208" t="s">
        <v>5198</v>
      </c>
      <c r="G104" s="206"/>
      <c r="H104" s="209">
        <v>11</v>
      </c>
      <c r="I104" s="210"/>
      <c r="J104" s="206"/>
      <c r="K104" s="206"/>
      <c r="L104" s="211"/>
      <c r="M104" s="212"/>
      <c r="N104" s="213"/>
      <c r="O104" s="213"/>
      <c r="P104" s="213"/>
      <c r="Q104" s="213"/>
      <c r="R104" s="213"/>
      <c r="S104" s="213"/>
      <c r="T104" s="214"/>
      <c r="AT104" s="215" t="s">
        <v>388</v>
      </c>
      <c r="AU104" s="215" t="s">
        <v>82</v>
      </c>
      <c r="AV104" s="14" t="s">
        <v>82</v>
      </c>
      <c r="AW104" s="14" t="s">
        <v>33</v>
      </c>
      <c r="AX104" s="14" t="s">
        <v>72</v>
      </c>
      <c r="AY104" s="215" t="s">
        <v>380</v>
      </c>
    </row>
    <row r="105" spans="1:65" s="15" customFormat="1" ht="11.25">
      <c r="B105" s="216"/>
      <c r="C105" s="217"/>
      <c r="D105" s="196" t="s">
        <v>388</v>
      </c>
      <c r="E105" s="218" t="s">
        <v>19</v>
      </c>
      <c r="F105" s="219" t="s">
        <v>419</v>
      </c>
      <c r="G105" s="217"/>
      <c r="H105" s="220">
        <v>11</v>
      </c>
      <c r="I105" s="221"/>
      <c r="J105" s="217"/>
      <c r="K105" s="217"/>
      <c r="L105" s="222"/>
      <c r="M105" s="223"/>
      <c r="N105" s="224"/>
      <c r="O105" s="224"/>
      <c r="P105" s="224"/>
      <c r="Q105" s="224"/>
      <c r="R105" s="224"/>
      <c r="S105" s="224"/>
      <c r="T105" s="225"/>
      <c r="AT105" s="226" t="s">
        <v>388</v>
      </c>
      <c r="AU105" s="226" t="s">
        <v>82</v>
      </c>
      <c r="AV105" s="15" t="s">
        <v>386</v>
      </c>
      <c r="AW105" s="15" t="s">
        <v>33</v>
      </c>
      <c r="AX105" s="15" t="s">
        <v>79</v>
      </c>
      <c r="AY105" s="226" t="s">
        <v>380</v>
      </c>
    </row>
    <row r="106" spans="1:65" s="2" customFormat="1" ht="16.5" customHeight="1">
      <c r="A106" s="36"/>
      <c r="B106" s="37"/>
      <c r="C106" s="181" t="s">
        <v>411</v>
      </c>
      <c r="D106" s="181" t="s">
        <v>382</v>
      </c>
      <c r="E106" s="182" t="s">
        <v>5199</v>
      </c>
      <c r="F106" s="183" t="s">
        <v>5200</v>
      </c>
      <c r="G106" s="184" t="s">
        <v>641</v>
      </c>
      <c r="H106" s="185">
        <v>1</v>
      </c>
      <c r="I106" s="186"/>
      <c r="J106" s="187">
        <f>ROUND(I106*H106,2)</f>
        <v>0</v>
      </c>
      <c r="K106" s="183" t="s">
        <v>19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128</v>
      </c>
    </row>
    <row r="107" spans="1:65" s="14" customFormat="1" ht="11.25">
      <c r="B107" s="205"/>
      <c r="C107" s="206"/>
      <c r="D107" s="196" t="s">
        <v>388</v>
      </c>
      <c r="E107" s="207" t="s">
        <v>19</v>
      </c>
      <c r="F107" s="208" t="s">
        <v>2542</v>
      </c>
      <c r="G107" s="206"/>
      <c r="H107" s="209">
        <v>1</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5" customFormat="1" ht="11.25">
      <c r="B108" s="216"/>
      <c r="C108" s="217"/>
      <c r="D108" s="196" t="s">
        <v>388</v>
      </c>
      <c r="E108" s="218" t="s">
        <v>19</v>
      </c>
      <c r="F108" s="219" t="s">
        <v>419</v>
      </c>
      <c r="G108" s="217"/>
      <c r="H108" s="220">
        <v>1</v>
      </c>
      <c r="I108" s="221"/>
      <c r="J108" s="217"/>
      <c r="K108" s="217"/>
      <c r="L108" s="222"/>
      <c r="M108" s="223"/>
      <c r="N108" s="224"/>
      <c r="O108" s="224"/>
      <c r="P108" s="224"/>
      <c r="Q108" s="224"/>
      <c r="R108" s="224"/>
      <c r="S108" s="224"/>
      <c r="T108" s="225"/>
      <c r="AT108" s="226" t="s">
        <v>388</v>
      </c>
      <c r="AU108" s="226" t="s">
        <v>82</v>
      </c>
      <c r="AV108" s="15" t="s">
        <v>386</v>
      </c>
      <c r="AW108" s="15" t="s">
        <v>33</v>
      </c>
      <c r="AX108" s="15" t="s">
        <v>79</v>
      </c>
      <c r="AY108" s="226" t="s">
        <v>380</v>
      </c>
    </row>
    <row r="109" spans="1:65" s="2" customFormat="1" ht="16.5" customHeight="1">
      <c r="A109" s="36"/>
      <c r="B109" s="37"/>
      <c r="C109" s="181" t="s">
        <v>420</v>
      </c>
      <c r="D109" s="181" t="s">
        <v>382</v>
      </c>
      <c r="E109" s="182" t="s">
        <v>5201</v>
      </c>
      <c r="F109" s="183" t="s">
        <v>5202</v>
      </c>
      <c r="G109" s="184" t="s">
        <v>641</v>
      </c>
      <c r="H109" s="185">
        <v>1</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134</v>
      </c>
    </row>
    <row r="110" spans="1:65" s="14" customFormat="1" ht="11.25">
      <c r="B110" s="205"/>
      <c r="C110" s="206"/>
      <c r="D110" s="196" t="s">
        <v>388</v>
      </c>
      <c r="E110" s="207" t="s">
        <v>19</v>
      </c>
      <c r="F110" s="208" t="s">
        <v>2542</v>
      </c>
      <c r="G110" s="206"/>
      <c r="H110" s="209">
        <v>1</v>
      </c>
      <c r="I110" s="210"/>
      <c r="J110" s="206"/>
      <c r="K110" s="206"/>
      <c r="L110" s="211"/>
      <c r="M110" s="212"/>
      <c r="N110" s="213"/>
      <c r="O110" s="213"/>
      <c r="P110" s="213"/>
      <c r="Q110" s="213"/>
      <c r="R110" s="213"/>
      <c r="S110" s="213"/>
      <c r="T110" s="214"/>
      <c r="AT110" s="215" t="s">
        <v>388</v>
      </c>
      <c r="AU110" s="215" t="s">
        <v>82</v>
      </c>
      <c r="AV110" s="14" t="s">
        <v>82</v>
      </c>
      <c r="AW110" s="14" t="s">
        <v>33</v>
      </c>
      <c r="AX110" s="14" t="s">
        <v>72</v>
      </c>
      <c r="AY110" s="215" t="s">
        <v>380</v>
      </c>
    </row>
    <row r="111" spans="1:65" s="15" customFormat="1" ht="11.25">
      <c r="B111" s="216"/>
      <c r="C111" s="217"/>
      <c r="D111" s="196" t="s">
        <v>388</v>
      </c>
      <c r="E111" s="218" t="s">
        <v>19</v>
      </c>
      <c r="F111" s="219" t="s">
        <v>419</v>
      </c>
      <c r="G111" s="217"/>
      <c r="H111" s="220">
        <v>1</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227" t="s">
        <v>424</v>
      </c>
      <c r="D112" s="227" t="s">
        <v>465</v>
      </c>
      <c r="E112" s="228" t="s">
        <v>5203</v>
      </c>
      <c r="F112" s="229" t="s">
        <v>5204</v>
      </c>
      <c r="G112" s="230" t="s">
        <v>1334</v>
      </c>
      <c r="H112" s="231">
        <v>3</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546</v>
      </c>
      <c r="AT112" s="192" t="s">
        <v>465</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281</v>
      </c>
    </row>
    <row r="113" spans="1:65" s="14" customFormat="1" ht="11.25">
      <c r="B113" s="205"/>
      <c r="C113" s="206"/>
      <c r="D113" s="196" t="s">
        <v>388</v>
      </c>
      <c r="E113" s="207" t="s">
        <v>19</v>
      </c>
      <c r="F113" s="208" t="s">
        <v>3183</v>
      </c>
      <c r="G113" s="206"/>
      <c r="H113" s="209">
        <v>3</v>
      </c>
      <c r="I113" s="210"/>
      <c r="J113" s="206"/>
      <c r="K113" s="206"/>
      <c r="L113" s="211"/>
      <c r="M113" s="212"/>
      <c r="N113" s="213"/>
      <c r="O113" s="213"/>
      <c r="P113" s="213"/>
      <c r="Q113" s="213"/>
      <c r="R113" s="213"/>
      <c r="S113" s="213"/>
      <c r="T113" s="214"/>
      <c r="AT113" s="215" t="s">
        <v>388</v>
      </c>
      <c r="AU113" s="215" t="s">
        <v>82</v>
      </c>
      <c r="AV113" s="14" t="s">
        <v>82</v>
      </c>
      <c r="AW113" s="14" t="s">
        <v>33</v>
      </c>
      <c r="AX113" s="14" t="s">
        <v>72</v>
      </c>
      <c r="AY113" s="215" t="s">
        <v>380</v>
      </c>
    </row>
    <row r="114" spans="1:65" s="15" customFormat="1" ht="11.25">
      <c r="B114" s="216"/>
      <c r="C114" s="217"/>
      <c r="D114" s="196" t="s">
        <v>388</v>
      </c>
      <c r="E114" s="218" t="s">
        <v>19</v>
      </c>
      <c r="F114" s="219" t="s">
        <v>419</v>
      </c>
      <c r="G114" s="217"/>
      <c r="H114" s="220">
        <v>3</v>
      </c>
      <c r="I114" s="221"/>
      <c r="J114" s="217"/>
      <c r="K114" s="217"/>
      <c r="L114" s="222"/>
      <c r="M114" s="223"/>
      <c r="N114" s="224"/>
      <c r="O114" s="224"/>
      <c r="P114" s="224"/>
      <c r="Q114" s="224"/>
      <c r="R114" s="224"/>
      <c r="S114" s="224"/>
      <c r="T114" s="225"/>
      <c r="AT114" s="226" t="s">
        <v>388</v>
      </c>
      <c r="AU114" s="226" t="s">
        <v>82</v>
      </c>
      <c r="AV114" s="15" t="s">
        <v>386</v>
      </c>
      <c r="AW114" s="15" t="s">
        <v>33</v>
      </c>
      <c r="AX114" s="15" t="s">
        <v>79</v>
      </c>
      <c r="AY114" s="226" t="s">
        <v>380</v>
      </c>
    </row>
    <row r="115" spans="1:65" s="2" customFormat="1" ht="16.5" customHeight="1">
      <c r="A115" s="36"/>
      <c r="B115" s="37"/>
      <c r="C115" s="227" t="s">
        <v>430</v>
      </c>
      <c r="D115" s="227" t="s">
        <v>465</v>
      </c>
      <c r="E115" s="228" t="s">
        <v>5205</v>
      </c>
      <c r="F115" s="229" t="s">
        <v>5206</v>
      </c>
      <c r="G115" s="230" t="s">
        <v>1334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477</v>
      </c>
    </row>
    <row r="116" spans="1:65" s="14" customFormat="1" ht="11.25">
      <c r="B116" s="205"/>
      <c r="C116" s="206"/>
      <c r="D116" s="196" t="s">
        <v>388</v>
      </c>
      <c r="E116" s="207" t="s">
        <v>19</v>
      </c>
      <c r="F116" s="208" t="s">
        <v>2998</v>
      </c>
      <c r="G116" s="206"/>
      <c r="H116" s="209">
        <v>2</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5" customFormat="1" ht="11.25">
      <c r="B117" s="216"/>
      <c r="C117" s="217"/>
      <c r="D117" s="196" t="s">
        <v>388</v>
      </c>
      <c r="E117" s="218" t="s">
        <v>19</v>
      </c>
      <c r="F117" s="219" t="s">
        <v>419</v>
      </c>
      <c r="G117" s="217"/>
      <c r="H117" s="220">
        <v>2</v>
      </c>
      <c r="I117" s="221"/>
      <c r="J117" s="217"/>
      <c r="K117" s="217"/>
      <c r="L117" s="222"/>
      <c r="M117" s="223"/>
      <c r="N117" s="224"/>
      <c r="O117" s="224"/>
      <c r="P117" s="224"/>
      <c r="Q117" s="224"/>
      <c r="R117" s="224"/>
      <c r="S117" s="224"/>
      <c r="T117" s="225"/>
      <c r="AT117" s="226" t="s">
        <v>388</v>
      </c>
      <c r="AU117" s="226" t="s">
        <v>82</v>
      </c>
      <c r="AV117" s="15" t="s">
        <v>386</v>
      </c>
      <c r="AW117" s="15" t="s">
        <v>33</v>
      </c>
      <c r="AX117" s="15" t="s">
        <v>79</v>
      </c>
      <c r="AY117" s="226" t="s">
        <v>380</v>
      </c>
    </row>
    <row r="118" spans="1:65" s="2" customFormat="1" ht="16.5" customHeight="1">
      <c r="A118" s="36"/>
      <c r="B118" s="37"/>
      <c r="C118" s="181" t="s">
        <v>122</v>
      </c>
      <c r="D118" s="181" t="s">
        <v>382</v>
      </c>
      <c r="E118" s="182" t="s">
        <v>5207</v>
      </c>
      <c r="F118" s="183" t="s">
        <v>5208</v>
      </c>
      <c r="G118" s="184" t="s">
        <v>641</v>
      </c>
      <c r="H118" s="185">
        <v>1</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486</v>
      </c>
    </row>
    <row r="119" spans="1:65" s="13" customFormat="1" ht="11.25">
      <c r="B119" s="194"/>
      <c r="C119" s="195"/>
      <c r="D119" s="196" t="s">
        <v>388</v>
      </c>
      <c r="E119" s="197" t="s">
        <v>19</v>
      </c>
      <c r="F119" s="198" t="s">
        <v>5209</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4" customFormat="1" ht="11.25">
      <c r="B120" s="205"/>
      <c r="C120" s="206"/>
      <c r="D120" s="196" t="s">
        <v>388</v>
      </c>
      <c r="E120" s="207" t="s">
        <v>19</v>
      </c>
      <c r="F120" s="208" t="s">
        <v>2542</v>
      </c>
      <c r="G120" s="206"/>
      <c r="H120" s="209">
        <v>1</v>
      </c>
      <c r="I120" s="210"/>
      <c r="J120" s="206"/>
      <c r="K120" s="206"/>
      <c r="L120" s="211"/>
      <c r="M120" s="212"/>
      <c r="N120" s="213"/>
      <c r="O120" s="213"/>
      <c r="P120" s="213"/>
      <c r="Q120" s="213"/>
      <c r="R120" s="213"/>
      <c r="S120" s="213"/>
      <c r="T120" s="214"/>
      <c r="AT120" s="215" t="s">
        <v>388</v>
      </c>
      <c r="AU120" s="215" t="s">
        <v>82</v>
      </c>
      <c r="AV120" s="14" t="s">
        <v>82</v>
      </c>
      <c r="AW120" s="14" t="s">
        <v>33</v>
      </c>
      <c r="AX120" s="14" t="s">
        <v>72</v>
      </c>
      <c r="AY120" s="215" t="s">
        <v>380</v>
      </c>
    </row>
    <row r="121" spans="1:65" s="15" customFormat="1" ht="11.25">
      <c r="B121" s="216"/>
      <c r="C121" s="217"/>
      <c r="D121" s="196" t="s">
        <v>388</v>
      </c>
      <c r="E121" s="218" t="s">
        <v>19</v>
      </c>
      <c r="F121" s="219" t="s">
        <v>419</v>
      </c>
      <c r="G121" s="217"/>
      <c r="H121" s="220">
        <v>1</v>
      </c>
      <c r="I121" s="221"/>
      <c r="J121" s="217"/>
      <c r="K121" s="217"/>
      <c r="L121" s="222"/>
      <c r="M121" s="223"/>
      <c r="N121" s="224"/>
      <c r="O121" s="224"/>
      <c r="P121" s="224"/>
      <c r="Q121" s="224"/>
      <c r="R121" s="224"/>
      <c r="S121" s="224"/>
      <c r="T121" s="225"/>
      <c r="AT121" s="226" t="s">
        <v>388</v>
      </c>
      <c r="AU121" s="226" t="s">
        <v>82</v>
      </c>
      <c r="AV121" s="15" t="s">
        <v>386</v>
      </c>
      <c r="AW121" s="15" t="s">
        <v>33</v>
      </c>
      <c r="AX121" s="15" t="s">
        <v>79</v>
      </c>
      <c r="AY121" s="226" t="s">
        <v>380</v>
      </c>
    </row>
    <row r="122" spans="1:65" s="2" customFormat="1" ht="16.5" customHeight="1">
      <c r="A122" s="36"/>
      <c r="B122" s="37"/>
      <c r="C122" s="181" t="s">
        <v>125</v>
      </c>
      <c r="D122" s="181" t="s">
        <v>382</v>
      </c>
      <c r="E122" s="182" t="s">
        <v>5210</v>
      </c>
      <c r="F122" s="183" t="s">
        <v>5211</v>
      </c>
      <c r="G122" s="184" t="s">
        <v>641</v>
      </c>
      <c r="H122" s="185">
        <v>2</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495</v>
      </c>
    </row>
    <row r="123" spans="1:65" s="13" customFormat="1" ht="11.25">
      <c r="B123" s="194"/>
      <c r="C123" s="195"/>
      <c r="D123" s="196" t="s">
        <v>388</v>
      </c>
      <c r="E123" s="197" t="s">
        <v>19</v>
      </c>
      <c r="F123" s="198" t="s">
        <v>5212</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2542</v>
      </c>
      <c r="G124" s="206"/>
      <c r="H124" s="209">
        <v>1</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5213</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2542</v>
      </c>
      <c r="G126" s="206"/>
      <c r="H126" s="209">
        <v>1</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2544</v>
      </c>
      <c r="G127" s="217"/>
      <c r="H127" s="220">
        <v>2</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16.5" customHeight="1">
      <c r="A128" s="36"/>
      <c r="B128" s="37"/>
      <c r="C128" s="181" t="s">
        <v>128</v>
      </c>
      <c r="D128" s="181" t="s">
        <v>382</v>
      </c>
      <c r="E128" s="182" t="s">
        <v>5214</v>
      </c>
      <c r="F128" s="183" t="s">
        <v>5215</v>
      </c>
      <c r="G128" s="184" t="s">
        <v>641</v>
      </c>
      <c r="H128" s="185">
        <v>1</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505</v>
      </c>
    </row>
    <row r="129" spans="1:65" s="14" customFormat="1" ht="11.25">
      <c r="B129" s="205"/>
      <c r="C129" s="206"/>
      <c r="D129" s="196" t="s">
        <v>388</v>
      </c>
      <c r="E129" s="207" t="s">
        <v>19</v>
      </c>
      <c r="F129" s="208" t="s">
        <v>2542</v>
      </c>
      <c r="G129" s="206"/>
      <c r="H129" s="209">
        <v>1</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5" customFormat="1" ht="11.25">
      <c r="B130" s="216"/>
      <c r="C130" s="217"/>
      <c r="D130" s="196" t="s">
        <v>388</v>
      </c>
      <c r="E130" s="218" t="s">
        <v>19</v>
      </c>
      <c r="F130" s="219" t="s">
        <v>419</v>
      </c>
      <c r="G130" s="217"/>
      <c r="H130" s="220">
        <v>1</v>
      </c>
      <c r="I130" s="221"/>
      <c r="J130" s="217"/>
      <c r="K130" s="217"/>
      <c r="L130" s="222"/>
      <c r="M130" s="223"/>
      <c r="N130" s="224"/>
      <c r="O130" s="224"/>
      <c r="P130" s="224"/>
      <c r="Q130" s="224"/>
      <c r="R130" s="224"/>
      <c r="S130" s="224"/>
      <c r="T130" s="225"/>
      <c r="AT130" s="226" t="s">
        <v>388</v>
      </c>
      <c r="AU130" s="226" t="s">
        <v>82</v>
      </c>
      <c r="AV130" s="15" t="s">
        <v>386</v>
      </c>
      <c r="AW130" s="15" t="s">
        <v>33</v>
      </c>
      <c r="AX130" s="15" t="s">
        <v>79</v>
      </c>
      <c r="AY130" s="226" t="s">
        <v>380</v>
      </c>
    </row>
    <row r="131" spans="1:65" s="12" customFormat="1" ht="22.9" customHeight="1">
      <c r="B131" s="165"/>
      <c r="C131" s="166"/>
      <c r="D131" s="167" t="s">
        <v>71</v>
      </c>
      <c r="E131" s="179" t="s">
        <v>2700</v>
      </c>
      <c r="F131" s="179" t="s">
        <v>5216</v>
      </c>
      <c r="G131" s="166"/>
      <c r="H131" s="166"/>
      <c r="I131" s="169"/>
      <c r="J131" s="180">
        <f>BK131</f>
        <v>0</v>
      </c>
      <c r="K131" s="166"/>
      <c r="L131" s="171"/>
      <c r="M131" s="172"/>
      <c r="N131" s="173"/>
      <c r="O131" s="173"/>
      <c r="P131" s="174">
        <f>SUM(P132:P134)</f>
        <v>0</v>
      </c>
      <c r="Q131" s="173"/>
      <c r="R131" s="174">
        <f>SUM(R132:R134)</f>
        <v>0</v>
      </c>
      <c r="S131" s="173"/>
      <c r="T131" s="175">
        <f>SUM(T132:T134)</f>
        <v>0</v>
      </c>
      <c r="AR131" s="176" t="s">
        <v>79</v>
      </c>
      <c r="AT131" s="177" t="s">
        <v>71</v>
      </c>
      <c r="AU131" s="177" t="s">
        <v>79</v>
      </c>
      <c r="AY131" s="176" t="s">
        <v>380</v>
      </c>
      <c r="BK131" s="178">
        <f>SUM(BK132:BK134)</f>
        <v>0</v>
      </c>
    </row>
    <row r="132" spans="1:65" s="2" customFormat="1" ht="16.5" customHeight="1">
      <c r="A132" s="36"/>
      <c r="B132" s="37"/>
      <c r="C132" s="181" t="s">
        <v>131</v>
      </c>
      <c r="D132" s="181" t="s">
        <v>382</v>
      </c>
      <c r="E132" s="182" t="s">
        <v>5217</v>
      </c>
      <c r="F132" s="183" t="s">
        <v>5218</v>
      </c>
      <c r="G132" s="184" t="s">
        <v>2678</v>
      </c>
      <c r="H132" s="185">
        <v>5</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386</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386</v>
      </c>
      <c r="BM132" s="192" t="s">
        <v>514</v>
      </c>
    </row>
    <row r="133" spans="1:65" s="14" customFormat="1" ht="11.25">
      <c r="B133" s="205"/>
      <c r="C133" s="206"/>
      <c r="D133" s="196" t="s">
        <v>388</v>
      </c>
      <c r="E133" s="207" t="s">
        <v>19</v>
      </c>
      <c r="F133" s="208" t="s">
        <v>5219</v>
      </c>
      <c r="G133" s="206"/>
      <c r="H133" s="209">
        <v>5</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5" customFormat="1" ht="11.25">
      <c r="B134" s="216"/>
      <c r="C134" s="217"/>
      <c r="D134" s="196" t="s">
        <v>388</v>
      </c>
      <c r="E134" s="218" t="s">
        <v>19</v>
      </c>
      <c r="F134" s="219" t="s">
        <v>419</v>
      </c>
      <c r="G134" s="217"/>
      <c r="H134" s="220">
        <v>5</v>
      </c>
      <c r="I134" s="221"/>
      <c r="J134" s="217"/>
      <c r="K134" s="217"/>
      <c r="L134" s="222"/>
      <c r="M134" s="258"/>
      <c r="N134" s="259"/>
      <c r="O134" s="259"/>
      <c r="P134" s="259"/>
      <c r="Q134" s="259"/>
      <c r="R134" s="259"/>
      <c r="S134" s="259"/>
      <c r="T134" s="260"/>
      <c r="AT134" s="226" t="s">
        <v>388</v>
      </c>
      <c r="AU134" s="226" t="s">
        <v>82</v>
      </c>
      <c r="AV134" s="15" t="s">
        <v>386</v>
      </c>
      <c r="AW134" s="15" t="s">
        <v>33</v>
      </c>
      <c r="AX134" s="15" t="s">
        <v>79</v>
      </c>
      <c r="AY134" s="226" t="s">
        <v>380</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5Kp4annAvHe4dpSGw+1UH44QD/aFGUDEXHiRjkvRiUgzaSfQOiI5AzCemQqc4tHdCH00QEZ+Ljc0EU1KsH3wMQ==" saltValue="ddFuucTAnbFPfVihOKRi8sduiPVtETEPuWYOkucGmnHaF4Wm56R7CcEjv+NRGns7ZRTt/DNpitUFgxXQyVEwFg==" spinCount="100000" sheet="1" objects="1" scenarios="1" formatColumns="0" formatRows="0" autoFilter="0"/>
  <autoFilter ref="C87:K134" xr:uid="{00000000-0009-0000-0000-00001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5221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101 - Chlazení pro VZT jednotky VZT 01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101 - Chlazení pro VZT jednotky VZT 01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5224</v>
      </c>
    </row>
    <row r="100" spans="1:65" s="2" customFormat="1" ht="16.5" customHeight="1">
      <c r="A100" s="36"/>
      <c r="B100" s="37"/>
      <c r="C100" s="227" t="s">
        <v>82</v>
      </c>
      <c r="D100" s="227" t="s">
        <v>465</v>
      </c>
      <c r="E100" s="228" t="s">
        <v>3438</v>
      </c>
      <c r="F100" s="229" t="s">
        <v>5225</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5226</v>
      </c>
    </row>
    <row r="101" spans="1:65" s="2" customFormat="1" ht="58.5">
      <c r="A101" s="36"/>
      <c r="B101" s="37"/>
      <c r="C101" s="38"/>
      <c r="D101" s="196" t="s">
        <v>1226</v>
      </c>
      <c r="E101" s="38"/>
      <c r="F101" s="248" t="s">
        <v>5227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5229</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5231</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5232</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5235</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5240</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5242</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5244</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5246</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5250</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5254</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5258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YnipSmJsmGZeREsaBrc5w9UKB+1xFTVIaMbv5jykSOaCmASlvOU1NtIU2sU1NV8WjQ2UKXAzjMP/iF2SbyDeg==" saltValue="1BRb6cJIMGI9hHR3QGQw4A90nIbaGGN9MPd0FKYN9arrKjVos+UTc3JATJsUUFPtUrx8tooVyvpZ2TJB60LnpA==" spinCount="100000" sheet="1" objects="1" scenarios="1" formatColumns="0" formatRows="0" autoFilter="0"/>
  <autoFilter ref="C95:K126" xr:uid="{00000000-0009-0000-0000-00001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102 - Chlazení pro VZT jednotky VZT 02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102 - Chlazení pro VZT jednotky VZT 02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5260</v>
      </c>
    </row>
    <row r="100" spans="1:65" s="2" customFormat="1" ht="16.5" customHeight="1">
      <c r="A100" s="36"/>
      <c r="B100" s="37"/>
      <c r="C100" s="227" t="s">
        <v>82</v>
      </c>
      <c r="D100" s="227" t="s">
        <v>465</v>
      </c>
      <c r="E100" s="228" t="s">
        <v>3438</v>
      </c>
      <c r="F100" s="229" t="s">
        <v>5261</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5262</v>
      </c>
    </row>
    <row r="101" spans="1:65" s="2" customFormat="1" ht="58.5">
      <c r="A101" s="36"/>
      <c r="B101" s="37"/>
      <c r="C101" s="38"/>
      <c r="D101" s="196" t="s">
        <v>1226</v>
      </c>
      <c r="E101" s="38"/>
      <c r="F101" s="248" t="s">
        <v>5263</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5264</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5265</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5266</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5267</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5268</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5269</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5270</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5271</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5272</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5273</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5274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uW9FkUPB8aVcAQl8jZ5rLzNhhsMJRKnzctR0wTUppV5t+LPbxIfq4GoWU3cPza+7WJsfH2vkOD29++CFmNMmMQ==" saltValue="hj+fkpgfSoLaicHTOrIZbF5NpStxDNrpKcdtOBOCJ4MBYEY3psdBd7rmnUwljIBcczXmCvBvxERX7tkTao5sJg==" spinCount="100000" sheet="1" objects="1" scenarios="1" formatColumns="0" formatRows="0" autoFilter="0"/>
  <autoFilter ref="C95:K126" xr:uid="{00000000-0009-0000-0000-00001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5275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103 - Chlazení pro VZT jednotky VZT 03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103 - Chlazení pro VZT jednotky VZT 03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5276</v>
      </c>
    </row>
    <row r="100" spans="1:65" s="2" customFormat="1" ht="16.5" customHeight="1">
      <c r="A100" s="36"/>
      <c r="B100" s="37"/>
      <c r="C100" s="227" t="s">
        <v>82</v>
      </c>
      <c r="D100" s="227" t="s">
        <v>465</v>
      </c>
      <c r="E100" s="228" t="s">
        <v>3438</v>
      </c>
      <c r="F100" s="229" t="s">
        <v>5261</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5277</v>
      </c>
    </row>
    <row r="101" spans="1:65" s="2" customFormat="1" ht="58.5">
      <c r="A101" s="36"/>
      <c r="B101" s="37"/>
      <c r="C101" s="38"/>
      <c r="D101" s="196" t="s">
        <v>1226</v>
      </c>
      <c r="E101" s="38"/>
      <c r="F101" s="248" t="s">
        <v>5278</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5279</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5280</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5281</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5282</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5283</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5284</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5285</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5286</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5287</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5288</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5289</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3pLuvGFGKYJhQl6zseMRYOOzeZOowktZQqSj2IYuygqnDQzJb3w6cvmfEgqrUIaaau+N9iXwMEaZm4aelX65gg==" saltValue="CbFndBgiMTfoFCCSN1AOCw8tmoTi7HkVV/VNpd6tm1+kGrBOWUpe4ucDcmv0UQnhc3K6XYJpq661QsIFmFFQ7Q==" spinCount="100000" sheet="1" objects="1" scenarios="1" formatColumns="0" formatRows="0" autoFilter="0"/>
  <autoFilter ref="C95:K126"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5290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104 - Chlazení pro VZT jednotky VZT 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104 - Chlazení pro VZT jednotky VZT 04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5291</v>
      </c>
    </row>
    <row r="100" spans="1:65" s="2" customFormat="1" ht="16.5" customHeight="1">
      <c r="A100" s="36"/>
      <c r="B100" s="37"/>
      <c r="C100" s="227" t="s">
        <v>82</v>
      </c>
      <c r="D100" s="227" t="s">
        <v>465</v>
      </c>
      <c r="E100" s="228" t="s">
        <v>3438</v>
      </c>
      <c r="F100" s="229" t="s">
        <v>5292</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5293</v>
      </c>
    </row>
    <row r="101" spans="1:65" s="2" customFormat="1" ht="58.5">
      <c r="A101" s="36"/>
      <c r="B101" s="37"/>
      <c r="C101" s="38"/>
      <c r="D101" s="196" t="s">
        <v>1226</v>
      </c>
      <c r="E101" s="38"/>
      <c r="F101" s="248" t="s">
        <v>5294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5295</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5296</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5297</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5298</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5299</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5300</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5301</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5302</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5303</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5304</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5305</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tSyKDaSWq74TB8DgLWt9RFFqx63dXwdttfavLzaXmQY+z6wRHwoCDC15yrFKUlizh2rCd8T+9WzmAvOo3ceBKg==" saltValue="KK0Xz4NXrwYcIY2FURaFwbT/zpXXFbn2sjKybTlrUUo/KBg1oTxdisG9tZbuangkwrbS0KEb7KUXTut4nuQWgg==" spinCount="100000" sheet="1" objects="1" scenarios="1" formatColumns="0" formatRows="0" autoFilter="0"/>
  <autoFilter ref="C95:K126"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5306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106 - Chlazení pro VZT jednotky VZT 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106 - Chlazení pro VZT jednotky VZT 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5307</v>
      </c>
    </row>
    <row r="100" spans="1:65" s="2" customFormat="1" ht="16.5" customHeight="1">
      <c r="A100" s="36"/>
      <c r="B100" s="37"/>
      <c r="C100" s="227" t="s">
        <v>82</v>
      </c>
      <c r="D100" s="227" t="s">
        <v>465</v>
      </c>
      <c r="E100" s="228" t="s">
        <v>3438</v>
      </c>
      <c r="F100" s="229" t="s">
        <v>5225</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5308</v>
      </c>
    </row>
    <row r="101" spans="1:65" s="2" customFormat="1" ht="58.5">
      <c r="A101" s="36"/>
      <c r="B101" s="37"/>
      <c r="C101" s="38"/>
      <c r="D101" s="196" t="s">
        <v>1226</v>
      </c>
      <c r="E101" s="38"/>
      <c r="F101" s="248" t="s">
        <v>5309</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5310</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5311</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5312</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5313</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5314</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5315</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5316</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5317</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5318</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5319</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5320</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wduicyC50136J+rlYw6rCCpeYxxwSUrCcwtpFHRn9Rk5W4a+HmFf2FHV7YIOUvMzJjsXEmLvXgpZUHJp6lPfVg==" saltValue="Hrox4QnQhhebeYcqeTfwUrZblY8rFZyIvJwsXDbBklD/I0LMsdzA8pxjcC+JLtAB6O35GNpx3mp31zqOlN9wUA==" spinCount="100000" sheet="1" objects="1" scenarios="1" formatColumns="0" formatRows="0" autoFilter="0"/>
  <autoFilter ref="C95:K126" xr:uid="{00000000-0009-0000-0000-00001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5321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107.1 - Chlazení pro VZT jednotky VZT 07.1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107.1 - Chlazení pro VZT jednotky VZT 07.1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5322</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5324</v>
      </c>
    </row>
    <row r="101" spans="1:65" s="2" customFormat="1" ht="58.5">
      <c r="A101" s="36"/>
      <c r="B101" s="37"/>
      <c r="C101" s="38"/>
      <c r="D101" s="196" t="s">
        <v>1226</v>
      </c>
      <c r="E101" s="38"/>
      <c r="F101" s="248" t="s">
        <v>5325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5326</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5327</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5328</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5329</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5330</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5331</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5332</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5333</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5334</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5335</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5336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Sq6Uc3FokvH82ZJon189gnn2yfG2SmpusQEUhbvioZj/EoaI2CE5nTZj/1DdX/5cjiWr+YfOb6OjB/Lag1vpgw==" saltValue="cEkVFub2vGc1zDcsRDcRTHA8fpK7zAgyN+JTQh+fu3z3OB7XYZDIQwbsDBjv4+jZDvGVCE+OA0GwkFGCzCiNVQ==" spinCount="100000" sheet="1" objects="1" scenarios="1" formatColumns="0" formatRows="0" autoFilter="0"/>
  <autoFilter ref="C95:K126" xr:uid="{00000000-0009-0000-0000-00001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5337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107.2 - Chlazení pro VZT jednotky VZT 07.2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107.2 - Chlazení pro VZT jednotky VZT 07.2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5338</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5339</v>
      </c>
    </row>
    <row r="101" spans="1:65" s="2" customFormat="1" ht="58.5">
      <c r="A101" s="36"/>
      <c r="B101" s="37"/>
      <c r="C101" s="38"/>
      <c r="D101" s="196" t="s">
        <v>1226</v>
      </c>
      <c r="E101" s="38"/>
      <c r="F101" s="248" t="s">
        <v>5340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5341</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5342</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5343</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5344</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5345</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5346</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5347</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5348</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5349</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5350</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5351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kmtWeMhq+W0lH87dAn4rCzvajIjGMrOv9jvsqs6daI2znLngUujCzVEXQYAGZx9a828gWkNlJ6F05Ht8UQonjw==" saltValue="W9QXpb3zAcuWYeLCiGrjmQy9zNK3ILVEzNmXAscXPrdaGittBQWoNK7OJCVzAy9Dfp0xDDcRk6DvreUtgXP0og==" spinCount="100000" sheet="1" objects="1" scenarios="1" formatColumns="0" formatRows="0" autoFilter="0"/>
  <autoFilter ref="C95:K126" xr:uid="{00000000-0009-0000-0000-00001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5352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107.3 - Chlazení pro VZT jednotky VZT 07.3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107.3 - Chlazení pro VZT jednotky VZT 07.3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5353</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5354</v>
      </c>
    </row>
    <row r="101" spans="1:65" s="2" customFormat="1" ht="58.5">
      <c r="A101" s="36"/>
      <c r="B101" s="37"/>
      <c r="C101" s="38"/>
      <c r="D101" s="196" t="s">
        <v>1226</v>
      </c>
      <c r="E101" s="38"/>
      <c r="F101" s="248" t="s">
        <v>5355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5356</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5357</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5358</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5359</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5360</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5361</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5362</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5363</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5364</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5365</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5366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7rdlY6vAfvbcc1e8DlbFef+xKRvr3K3oqRTHzDdl7qWxrziWluu7DxOWbQB7NZkwR4H1cOcBUrlGQZ5m9pWuSg==" saltValue="ksNFG2lHjqM44EwXlnCP58ObwfSB3YaluxhwLasK1C7BEIwMQQZC+b9uat2TwZiNLzRLEHHVa3IIagjYWOdxpg==" spinCount="100000" sheet="1" objects="1" scenarios="1" formatColumns="0" formatRows="0" autoFilter="0"/>
  <autoFilter ref="C95:K126" xr:uid="{00000000-0009-0000-0000-00001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5367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107.4 - Chlazení pro VZT jednotky VZT 07.4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107.4 - Chlazení pro VZT jednotky VZT 07.4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5368</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5369</v>
      </c>
    </row>
    <row r="101" spans="1:65" s="2" customFormat="1" ht="58.5">
      <c r="A101" s="36"/>
      <c r="B101" s="37"/>
      <c r="C101" s="38"/>
      <c r="D101" s="196" t="s">
        <v>1226</v>
      </c>
      <c r="E101" s="38"/>
      <c r="F101" s="248" t="s">
        <v>5370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5371</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5372</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5373</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5374</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5375</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5376</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5377</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5378</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5379</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5380</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5381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GSx4dp+vl6S6nBBrsUH+n7r4OvTXm59VRwILAm5B2bg7bjZrl7OchqgpyZIaJf7W7VoC/QxeRxYkYlurvFSjqA==" saltValue="kCwLeqGwTUg2EdzPPFZeFrKPke+PFMem8KefRwPY4UDwbNhTb3O/iekU3HefpxjzXjDEquyAqXHVbLJ2BBP0dw==" spinCount="100000" sheet="1" objects="1" scenarios="1" formatColumns="0" formatRows="0" autoFilter="0"/>
  <autoFilter ref="C95:K126" xr:uid="{00000000-0009-0000-0000-00001D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5382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107.5 - Chlazení pro VZT jednotky VZT 07.5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107.5 - Chlazení pro VZT jednotky VZT 07.5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5383</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5384</v>
      </c>
    </row>
    <row r="101" spans="1:65" s="2" customFormat="1" ht="58.5">
      <c r="A101" s="36"/>
      <c r="B101" s="37"/>
      <c r="C101" s="38"/>
      <c r="D101" s="196" t="s">
        <v>1226</v>
      </c>
      <c r="E101" s="38"/>
      <c r="F101" s="248" t="s">
        <v>5385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5386</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5387</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5388</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5389</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5390</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5391</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5392</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5393</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5394</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5395</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5396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t6/FjPG6BTBTbosWV1Iu69XN7E4/zqlQh4otlNKm6+6EAAo+dJ3OAD3ok6Tqdpf/F4/9leOEKUrk83/MFm25FA==" saltValue="q3PGhbPVgKaIKiILqO/OWey/ZIP+tP3LrODBQGpbTg9vV9e27YBgGL1BFvjkqPcWr33iv8rwLpDvTaIL4PTE1g==" spinCount="100000" sheet="1" objects="1" scenarios="1" formatColumns="0" formatRows="0" autoFilter="0"/>
  <autoFilter ref="C95:K126" xr:uid="{00000000-0009-0000-0000-00001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5397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107.6 - Chlazení pro VZT jednotky VZT 07.6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107.6 - Chlazení pro VZT jednotky VZT 07.6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5398</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5399</v>
      </c>
    </row>
    <row r="101" spans="1:65" s="2" customFormat="1" ht="58.5">
      <c r="A101" s="36"/>
      <c r="B101" s="37"/>
      <c r="C101" s="38"/>
      <c r="D101" s="196" t="s">
        <v>1226</v>
      </c>
      <c r="E101" s="38"/>
      <c r="F101" s="248" t="s">
        <v>5400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5401</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5402</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5403</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5404</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5405</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5406</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5407</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5408</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5409</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5410</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5411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lbgq2m2bvRmnUbEd3j++27c/MyY4oa2lGcFFsdnUiiQP9gQMSRBHPpgmg3clCKDsvPp84OFzK/Cll0kSc04iCQ==" saltValue="PP+q1nFV3c9iS7YJhf9GbyoeebGiPegQ5RdVqmJozqQDpZ5gxcpvNogYOMHSJafUDDuqua0+D2zD/OT250X1kw==" spinCount="100000" sheet="1" objects="1" scenarios="1" formatColumns="0" formatRows="0" autoFilter="0"/>
  <autoFilter ref="C95:K126" xr:uid="{00000000-0009-0000-0000-00001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5412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107.7 - Chlazení pro VZT jednotky VZT 07.7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107.7 - Chlazení pro VZT jednotky VZT 07.7</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5413</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5414</v>
      </c>
    </row>
    <row r="101" spans="1:65" s="2" customFormat="1" ht="58.5">
      <c r="A101" s="36"/>
      <c r="B101" s="37"/>
      <c r="C101" s="38"/>
      <c r="D101" s="196" t="s">
        <v>1226</v>
      </c>
      <c r="E101" s="38"/>
      <c r="F101" s="248" t="s">
        <v>5415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5416</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5417</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5418</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5419</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5420</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5421</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5422</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5423</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5424</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5425</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5426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3Tf+qxDEz/G6moUlYdLLK/gGEfffNpxs5uRxF0xXWkR1XBxITi1JZRJnmtMKps+Ymf6BH/UNnETsBE2xE9h6lQ==" saltValue="kg69yBEFc1hpN/8UoHysQt9GmHjpgOwEfQt6Mc0yAxhpWdlipLepywNFbYvGws+ZBLDnjt7Hk1YNdFHOJ8OxvA==" spinCount="100000" sheet="1" objects="1" scenarios="1" formatColumns="0" formatRows="0" autoFilter="0"/>
  <autoFilter ref="C95:K126" xr:uid="{00000000-0009-0000-0000-000020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5427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107.8 - Chlazení pro VZT jednotky VZT 07.8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107.8 - Chlazení pro VZT jednotky VZT 07.8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5222</v>
      </c>
      <c r="F99" s="183" t="s">
        <v>5223</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5428</v>
      </c>
    </row>
    <row r="100" spans="1:65" s="2" customFormat="1" ht="16.5" customHeight="1">
      <c r="A100" s="36"/>
      <c r="B100" s="37"/>
      <c r="C100" s="227" t="s">
        <v>82</v>
      </c>
      <c r="D100" s="227" t="s">
        <v>465</v>
      </c>
      <c r="E100" s="228" t="s">
        <v>3438</v>
      </c>
      <c r="F100" s="229" t="s">
        <v>5323</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5429</v>
      </c>
    </row>
    <row r="101" spans="1:65" s="2" customFormat="1" ht="58.5">
      <c r="A101" s="36"/>
      <c r="B101" s="37"/>
      <c r="C101" s="38"/>
      <c r="D101" s="196" t="s">
        <v>1226</v>
      </c>
      <c r="E101" s="38"/>
      <c r="F101" s="248" t="s">
        <v>5430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5228</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5431</v>
      </c>
    </row>
    <row r="103" spans="1:65" s="2" customFormat="1" ht="58.5">
      <c r="A103" s="36"/>
      <c r="B103" s="37"/>
      <c r="C103" s="38"/>
      <c r="D103" s="196" t="s">
        <v>1226</v>
      </c>
      <c r="E103" s="38"/>
      <c r="F103" s="248" t="s">
        <v>5230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5432</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5433</v>
      </c>
    </row>
    <row r="107" spans="1:65" s="2" customFormat="1" ht="16.5" customHeight="1">
      <c r="A107" s="36"/>
      <c r="B107" s="37"/>
      <c r="C107" s="181" t="s">
        <v>411</v>
      </c>
      <c r="D107" s="181" t="s">
        <v>382</v>
      </c>
      <c r="E107" s="182" t="s">
        <v>5233</v>
      </c>
      <c r="F107" s="183" t="s">
        <v>5234</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5434</v>
      </c>
    </row>
    <row r="108" spans="1:65" s="2" customFormat="1" ht="39">
      <c r="A108" s="36"/>
      <c r="B108" s="37"/>
      <c r="C108" s="38"/>
      <c r="D108" s="196" t="s">
        <v>1226</v>
      </c>
      <c r="E108" s="38"/>
      <c r="F108" s="248" t="s">
        <v>5236</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5237</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5238</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5239</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5435</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5241</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5436</v>
      </c>
    </row>
    <row r="116" spans="1:65" s="2" customFormat="1" ht="16.5" customHeight="1">
      <c r="A116" s="36"/>
      <c r="B116" s="37"/>
      <c r="C116" s="181" t="s">
        <v>430</v>
      </c>
      <c r="D116" s="181" t="s">
        <v>382</v>
      </c>
      <c r="E116" s="182" t="s">
        <v>3456</v>
      </c>
      <c r="F116" s="183" t="s">
        <v>5243</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5437</v>
      </c>
    </row>
    <row r="117" spans="1:65" s="2" customFormat="1" ht="29.25">
      <c r="A117" s="36"/>
      <c r="B117" s="37"/>
      <c r="C117" s="38"/>
      <c r="D117" s="196" t="s">
        <v>1226</v>
      </c>
      <c r="E117" s="38"/>
      <c r="F117" s="248" t="s">
        <v>5245</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5438</v>
      </c>
    </row>
    <row r="119" spans="1:65" s="2" customFormat="1" ht="19.5">
      <c r="A119" s="36"/>
      <c r="B119" s="37"/>
      <c r="C119" s="38"/>
      <c r="D119" s="196" t="s">
        <v>1226</v>
      </c>
      <c r="E119" s="38"/>
      <c r="F119" s="248" t="s">
        <v>5247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5248</v>
      </c>
      <c r="G121" s="184" t="s">
        <v>5249</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5439</v>
      </c>
    </row>
    <row r="122" spans="1:65" s="14" customFormat="1" ht="11.25">
      <c r="B122" s="205"/>
      <c r="C122" s="206"/>
      <c r="D122" s="196" t="s">
        <v>388</v>
      </c>
      <c r="E122" s="207" t="s">
        <v>19</v>
      </c>
      <c r="F122" s="208" t="s">
        <v>5251</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5252</v>
      </c>
      <c r="F123" s="183" t="s">
        <v>5253</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5440</v>
      </c>
    </row>
    <row r="124" spans="1:65" s="14" customFormat="1" ht="11.25">
      <c r="B124" s="205"/>
      <c r="C124" s="206"/>
      <c r="D124" s="196" t="s">
        <v>388</v>
      </c>
      <c r="E124" s="207" t="s">
        <v>19</v>
      </c>
      <c r="F124" s="208" t="s">
        <v>5255</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5441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6hmRIQBtEnZvdO0n6ztBxLLSqsrMx2J8qmAVGHTdVcWt4MbtGiK/djnrKAChq+Ym2//sCHu3IP4/WHpamAkaDQ==" saltValue="EHes1hKKfhSF6kK9faVqJMSXaTXDDxBy/KQq8mEl2WvgA0cNMtwMZjyQu79VDfYhiHd8TV2SZNU7eTbwE3ZV4Q==" spinCount="100000" sheet="1" objects="1" scenarios="1" formatColumns="0" formatRows="0" autoFilter="0"/>
  <autoFilter ref="C95:K126" xr:uid="{00000000-0009-0000-0000-000021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5442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208 - Okruh server - M3.17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J112</f>
        <v>0</v>
      </c>
      <c r="K70" s="99"/>
      <c r="L70" s="153"/>
    </row>
    <row r="71" spans="1:47" s="10" customFormat="1" ht="19.899999999999999" customHeight="1">
      <c r="B71" s="149"/>
      <c r="C71" s="99"/>
      <c r="D71" s="150" t="s">
        <v>3236</v>
      </c>
      <c r="E71" s="151"/>
      <c r="F71" s="151"/>
      <c r="G71" s="151"/>
      <c r="H71" s="151"/>
      <c r="I71" s="151"/>
      <c r="J71" s="152">
        <f>J115</f>
        <v>0</v>
      </c>
      <c r="K71" s="99"/>
      <c r="L71" s="153"/>
    </row>
    <row r="72" spans="1:47" s="10" customFormat="1" ht="19.899999999999999" customHeight="1">
      <c r="B72" s="149"/>
      <c r="C72" s="99"/>
      <c r="D72" s="150" t="s">
        <v>3465</v>
      </c>
      <c r="E72" s="151"/>
      <c r="F72" s="151"/>
      <c r="G72" s="151"/>
      <c r="H72" s="151"/>
      <c r="I72" s="151"/>
      <c r="J72" s="152">
        <f>J121</f>
        <v>0</v>
      </c>
      <c r="K72" s="99"/>
      <c r="L72" s="153"/>
    </row>
    <row r="73" spans="1:47" s="10" customFormat="1" ht="19.899999999999999" customHeight="1">
      <c r="B73" s="149"/>
      <c r="C73" s="99"/>
      <c r="D73" s="150" t="s">
        <v>361</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208 - Okruh server - M3.17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0.70399999999999996</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P99+P112+P115+P121+P125</f>
        <v>0</v>
      </c>
      <c r="Q98" s="173"/>
      <c r="R98" s="174">
        <f>R99+R112+R115+R121+R125</f>
        <v>0.70399999999999996</v>
      </c>
      <c r="S98" s="173"/>
      <c r="T98" s="175">
        <f>T99+T112+T115+T121+T125</f>
        <v>0</v>
      </c>
      <c r="AR98" s="176" t="s">
        <v>82</v>
      </c>
      <c r="AT98" s="177" t="s">
        <v>71</v>
      </c>
      <c r="AU98" s="177" t="s">
        <v>72</v>
      </c>
      <c r="AY98" s="176" t="s">
        <v>380</v>
      </c>
      <c r="BK98" s="178">
        <f>BK99+BK112+BK115+BK121+BK125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SUM(P100:P111)</f>
        <v>0</v>
      </c>
      <c r="Q99" s="173"/>
      <c r="R99" s="174">
        <f>SUM(R100:R111)</f>
        <v>7.9000000000000001E-2</v>
      </c>
      <c r="S99" s="173"/>
      <c r="T99" s="175">
        <f>SUM(T100:T111)</f>
        <v>0</v>
      </c>
      <c r="AR99" s="176" t="s">
        <v>82</v>
      </c>
      <c r="AT99" s="177" t="s">
        <v>71</v>
      </c>
      <c r="AU99" s="177" t="s">
        <v>79</v>
      </c>
      <c r="AY99" s="176" t="s">
        <v>380</v>
      </c>
      <c r="BK99" s="178">
        <f>SUM(BK100:BK111)</f>
        <v>0</v>
      </c>
    </row>
    <row r="100" spans="1:65" s="2" customFormat="1" ht="24.2" customHeight="1">
      <c r="A100" s="36"/>
      <c r="B100" s="37"/>
      <c r="C100" s="181" t="s">
        <v>79</v>
      </c>
      <c r="D100" s="181" t="s">
        <v>382</v>
      </c>
      <c r="E100" s="182" t="s">
        <v>5444</v>
      </c>
      <c r="F100" s="183" t="s">
        <v>5445</v>
      </c>
      <c r="G100" s="184" t="s">
        <v>641</v>
      </c>
      <c r="H100" s="185">
        <v>1</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5446</v>
      </c>
    </row>
    <row r="101" spans="1:65" s="2" customFormat="1" ht="16.5" customHeight="1">
      <c r="A101" s="36"/>
      <c r="B101" s="37"/>
      <c r="C101" s="227" t="s">
        <v>82</v>
      </c>
      <c r="D101" s="227" t="s">
        <v>465</v>
      </c>
      <c r="E101" s="228" t="s">
        <v>5447</v>
      </c>
      <c r="F101" s="229" t="s">
        <v>5448</v>
      </c>
      <c r="G101" s="230" t="s">
        <v>3278</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5449</v>
      </c>
    </row>
    <row r="102" spans="1:65" s="2" customFormat="1" ht="126.75">
      <c r="A102" s="36"/>
      <c r="B102" s="37"/>
      <c r="C102" s="38"/>
      <c r="D102" s="196" t="s">
        <v>1226</v>
      </c>
      <c r="E102" s="38"/>
      <c r="F102" s="248" t="s">
        <v>5450</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5451</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5452</v>
      </c>
    </row>
    <row r="105" spans="1:65" s="2" customFormat="1" ht="16.5" customHeight="1">
      <c r="A105" s="36"/>
      <c r="B105" s="37"/>
      <c r="C105" s="181" t="s">
        <v>405</v>
      </c>
      <c r="D105" s="181" t="s">
        <v>382</v>
      </c>
      <c r="E105" s="182" t="s">
        <v>5233</v>
      </c>
      <c r="F105" s="183" t="s">
        <v>5234</v>
      </c>
      <c r="G105" s="184" t="s">
        <v>452</v>
      </c>
      <c r="H105" s="185">
        <v>11</v>
      </c>
      <c r="I105" s="186"/>
      <c r="J105" s="187">
        <f>ROUND(I105*H105,2)</f>
        <v>0</v>
      </c>
      <c r="K105" s="183" t="s">
        <v>19</v>
      </c>
      <c r="L105" s="41"/>
      <c r="M105" s="188" t="s">
        <v>19</v>
      </c>
      <c r="N105" s="189" t="s">
        <v>43</v>
      </c>
      <c r="O105" s="66"/>
      <c r="P105" s="190">
        <f>O105*H105</f>
        <v>0</v>
      </c>
      <c r="Q105" s="190">
        <v>3.0000000000000001E-3</v>
      </c>
      <c r="R105" s="190">
        <f>Q105*H105</f>
        <v>3.3000000000000002E-2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5453</v>
      </c>
    </row>
    <row r="106" spans="1:65" s="2" customFormat="1" ht="39">
      <c r="A106" s="36"/>
      <c r="B106" s="37"/>
      <c r="C106" s="38"/>
      <c r="D106" s="196" t="s">
        <v>1226</v>
      </c>
      <c r="E106" s="38"/>
      <c r="F106" s="248" t="s">
        <v>5236</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5454</v>
      </c>
      <c r="G107" s="206"/>
      <c r="H107" s="209">
        <v>11</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3" customFormat="1" ht="11.25">
      <c r="B108" s="194"/>
      <c r="C108" s="195"/>
      <c r="D108" s="196" t="s">
        <v>388</v>
      </c>
      <c r="E108" s="197" t="s">
        <v>19</v>
      </c>
      <c r="F108" s="198" t="s">
        <v>5238</v>
      </c>
      <c r="G108" s="195"/>
      <c r="H108" s="197" t="s">
        <v>19</v>
      </c>
      <c r="I108" s="199"/>
      <c r="J108" s="195"/>
      <c r="K108" s="195"/>
      <c r="L108" s="200"/>
      <c r="M108" s="201"/>
      <c r="N108" s="202"/>
      <c r="O108" s="202"/>
      <c r="P108" s="202"/>
      <c r="Q108" s="202"/>
      <c r="R108" s="202"/>
      <c r="S108" s="202"/>
      <c r="T108" s="203"/>
      <c r="AT108" s="204" t="s">
        <v>388</v>
      </c>
      <c r="AU108" s="204" t="s">
        <v>82</v>
      </c>
      <c r="AV108" s="13" t="s">
        <v>79</v>
      </c>
      <c r="AW108" s="13" t="s">
        <v>33</v>
      </c>
      <c r="AX108" s="13" t="s">
        <v>72</v>
      </c>
      <c r="AY108" s="204" t="s">
        <v>380</v>
      </c>
    </row>
    <row r="109" spans="1:65" s="15" customFormat="1" ht="11.25">
      <c r="B109" s="216"/>
      <c r="C109" s="217"/>
      <c r="D109" s="196" t="s">
        <v>388</v>
      </c>
      <c r="E109" s="218" t="s">
        <v>19</v>
      </c>
      <c r="F109" s="219" t="s">
        <v>419</v>
      </c>
      <c r="G109" s="217"/>
      <c r="H109" s="220">
        <v>11</v>
      </c>
      <c r="I109" s="221"/>
      <c r="J109" s="217"/>
      <c r="K109" s="217"/>
      <c r="L109" s="222"/>
      <c r="M109" s="223"/>
      <c r="N109" s="224"/>
      <c r="O109" s="224"/>
      <c r="P109" s="224"/>
      <c r="Q109" s="224"/>
      <c r="R109" s="224"/>
      <c r="S109" s="224"/>
      <c r="T109" s="225"/>
      <c r="AT109" s="226" t="s">
        <v>388</v>
      </c>
      <c r="AU109" s="226" t="s">
        <v>82</v>
      </c>
      <c r="AV109" s="15" t="s">
        <v>386</v>
      </c>
      <c r="AW109" s="15" t="s">
        <v>33</v>
      </c>
      <c r="AX109" s="15" t="s">
        <v>79</v>
      </c>
      <c r="AY109" s="226" t="s">
        <v>380</v>
      </c>
    </row>
    <row r="110" spans="1:65" s="2" customFormat="1" ht="16.5" customHeight="1">
      <c r="A110" s="36"/>
      <c r="B110" s="37"/>
      <c r="C110" s="181" t="s">
        <v>411</v>
      </c>
      <c r="D110" s="181" t="s">
        <v>382</v>
      </c>
      <c r="E110" s="182" t="s">
        <v>3895</v>
      </c>
      <c r="F110" s="183" t="s">
        <v>5239</v>
      </c>
      <c r="G110" s="184" t="s">
        <v>452</v>
      </c>
      <c r="H110" s="185">
        <v>10</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5455</v>
      </c>
    </row>
    <row r="111" spans="1:65" s="14" customFormat="1" ht="11.25">
      <c r="B111" s="205"/>
      <c r="C111" s="206"/>
      <c r="D111" s="196" t="s">
        <v>388</v>
      </c>
      <c r="E111" s="207" t="s">
        <v>19</v>
      </c>
      <c r="F111" s="208" t="s">
        <v>122</v>
      </c>
      <c r="G111" s="206"/>
      <c r="H111" s="209">
        <v>10</v>
      </c>
      <c r="I111" s="210"/>
      <c r="J111" s="206"/>
      <c r="K111" s="206"/>
      <c r="L111" s="211"/>
      <c r="M111" s="212"/>
      <c r="N111" s="213"/>
      <c r="O111" s="213"/>
      <c r="P111" s="213"/>
      <c r="Q111" s="213"/>
      <c r="R111" s="213"/>
      <c r="S111" s="213"/>
      <c r="T111" s="214"/>
      <c r="AT111" s="215" t="s">
        <v>388</v>
      </c>
      <c r="AU111" s="215" t="s">
        <v>82</v>
      </c>
      <c r="AV111" s="14" t="s">
        <v>82</v>
      </c>
      <c r="AW111" s="14" t="s">
        <v>33</v>
      </c>
      <c r="AX111" s="14" t="s">
        <v>79</v>
      </c>
      <c r="AY111" s="215" t="s">
        <v>380</v>
      </c>
    </row>
    <row r="112" spans="1:65" s="12" customFormat="1" ht="22.9" customHeight="1">
      <c r="B112" s="165"/>
      <c r="C112" s="166"/>
      <c r="D112" s="167" t="s">
        <v>71</v>
      </c>
      <c r="E112" s="179" t="s">
        <v>5456</v>
      </c>
      <c r="F112" s="179" t="s">
        <v>5457</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380</v>
      </c>
      <c r="BK112" s="178">
        <f>SUM(BK113:BK114)</f>
        <v>0</v>
      </c>
    </row>
    <row r="113" spans="1:65" s="2" customFormat="1" ht="16.5" customHeight="1">
      <c r="A113" s="36"/>
      <c r="B113" s="37"/>
      <c r="C113" s="181" t="s">
        <v>420</v>
      </c>
      <c r="D113" s="181" t="s">
        <v>382</v>
      </c>
      <c r="E113" s="182" t="s">
        <v>5458</v>
      </c>
      <c r="F113" s="183" t="s">
        <v>5459</v>
      </c>
      <c r="G113" s="184" t="s">
        <v>3278</v>
      </c>
      <c r="H113" s="185">
        <v>2</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5460</v>
      </c>
    </row>
    <row r="114" spans="1:65" s="14" customFormat="1" ht="11.25">
      <c r="B114" s="205"/>
      <c r="C114" s="206"/>
      <c r="D114" s="196" t="s">
        <v>388</v>
      </c>
      <c r="E114" s="207" t="s">
        <v>19</v>
      </c>
      <c r="F114" s="208" t="s">
        <v>3403</v>
      </c>
      <c r="G114" s="206"/>
      <c r="H114" s="209">
        <v>2</v>
      </c>
      <c r="I114" s="210"/>
      <c r="J114" s="206"/>
      <c r="K114" s="206"/>
      <c r="L114" s="211"/>
      <c r="M114" s="212"/>
      <c r="N114" s="213"/>
      <c r="O114" s="213"/>
      <c r="P114" s="213"/>
      <c r="Q114" s="213"/>
      <c r="R114" s="213"/>
      <c r="S114" s="213"/>
      <c r="T114" s="214"/>
      <c r="AT114" s="215" t="s">
        <v>388</v>
      </c>
      <c r="AU114" s="215" t="s">
        <v>82</v>
      </c>
      <c r="AV114" s="14" t="s">
        <v>82</v>
      </c>
      <c r="AW114" s="14" t="s">
        <v>33</v>
      </c>
      <c r="AX114" s="14" t="s">
        <v>79</v>
      </c>
      <c r="AY114" s="215" t="s">
        <v>380</v>
      </c>
    </row>
    <row r="115" spans="1:65" s="12" customFormat="1" ht="22.9" customHeight="1">
      <c r="B115" s="165"/>
      <c r="C115" s="166"/>
      <c r="D115" s="167" t="s">
        <v>71</v>
      </c>
      <c r="E115" s="179" t="s">
        <v>3450</v>
      </c>
      <c r="F115" s="179" t="s">
        <v>3451</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380</v>
      </c>
      <c r="BK115" s="178">
        <f>SUM(BK116:BK120)</f>
        <v>0</v>
      </c>
    </row>
    <row r="116" spans="1:65" s="2" customFormat="1" ht="16.5" customHeight="1">
      <c r="A116" s="36"/>
      <c r="B116" s="37"/>
      <c r="C116" s="181" t="s">
        <v>424</v>
      </c>
      <c r="D116" s="181" t="s">
        <v>382</v>
      </c>
      <c r="E116" s="182" t="s">
        <v>3452</v>
      </c>
      <c r="F116" s="183" t="s">
        <v>5241</v>
      </c>
      <c r="G116" s="184" t="s">
        <v>2389</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5461</v>
      </c>
    </row>
    <row r="117" spans="1:65" s="2" customFormat="1" ht="16.5" customHeight="1">
      <c r="A117" s="36"/>
      <c r="B117" s="37"/>
      <c r="C117" s="181" t="s">
        <v>430</v>
      </c>
      <c r="D117" s="181" t="s">
        <v>382</v>
      </c>
      <c r="E117" s="182" t="s">
        <v>3456</v>
      </c>
      <c r="F117" s="183" t="s">
        <v>5243</v>
      </c>
      <c r="G117" s="184" t="s">
        <v>2389</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5462</v>
      </c>
    </row>
    <row r="118" spans="1:65" s="2" customFormat="1" ht="29.25">
      <c r="A118" s="36"/>
      <c r="B118" s="37"/>
      <c r="C118" s="38"/>
      <c r="D118" s="196" t="s">
        <v>1226</v>
      </c>
      <c r="E118" s="38"/>
      <c r="F118" s="248" t="s">
        <v>5245</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2" customFormat="1" ht="16.5" customHeight="1">
      <c r="A119" s="36"/>
      <c r="B119" s="37"/>
      <c r="C119" s="181" t="s">
        <v>122</v>
      </c>
      <c r="D119" s="181" t="s">
        <v>382</v>
      </c>
      <c r="E119" s="182" t="s">
        <v>3458</v>
      </c>
      <c r="F119" s="183" t="s">
        <v>3462</v>
      </c>
      <c r="G119" s="184" t="s">
        <v>2389</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281</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5463</v>
      </c>
    </row>
    <row r="120" spans="1:65" s="2" customFormat="1" ht="19.5">
      <c r="A120" s="36"/>
      <c r="B120" s="37"/>
      <c r="C120" s="38"/>
      <c r="D120" s="196" t="s">
        <v>1226</v>
      </c>
      <c r="E120" s="38"/>
      <c r="F120" s="248" t="s">
        <v>5247</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12" customFormat="1" ht="22.9" customHeight="1">
      <c r="B121" s="165"/>
      <c r="C121" s="166"/>
      <c r="D121" s="167" t="s">
        <v>71</v>
      </c>
      <c r="E121" s="179" t="s">
        <v>2076</v>
      </c>
      <c r="F121" s="179" t="s">
        <v>3534</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380</v>
      </c>
      <c r="BK121" s="178">
        <f>SUM(BK122:BK124)</f>
        <v>0</v>
      </c>
    </row>
    <row r="122" spans="1:65" s="2" customFormat="1" ht="16.5" customHeight="1">
      <c r="A122" s="36"/>
      <c r="B122" s="37"/>
      <c r="C122" s="181" t="s">
        <v>125</v>
      </c>
      <c r="D122" s="181" t="s">
        <v>382</v>
      </c>
      <c r="E122" s="182" t="s">
        <v>3535</v>
      </c>
      <c r="F122" s="183" t="s">
        <v>5248</v>
      </c>
      <c r="G122" s="184" t="s">
        <v>5249</v>
      </c>
      <c r="H122" s="185">
        <v>20</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5464</v>
      </c>
    </row>
    <row r="123" spans="1:65" s="14" customFormat="1" ht="11.25">
      <c r="B123" s="205"/>
      <c r="C123" s="206"/>
      <c r="D123" s="196" t="s">
        <v>388</v>
      </c>
      <c r="E123" s="207" t="s">
        <v>19</v>
      </c>
      <c r="F123" s="208" t="s">
        <v>5465</v>
      </c>
      <c r="G123" s="206"/>
      <c r="H123" s="209">
        <v>20</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2" customFormat="1" ht="16.5" customHeight="1">
      <c r="A124" s="36"/>
      <c r="B124" s="37"/>
      <c r="C124" s="181" t="s">
        <v>128</v>
      </c>
      <c r="D124" s="181" t="s">
        <v>382</v>
      </c>
      <c r="E124" s="182" t="s">
        <v>5252</v>
      </c>
      <c r="F124" s="183" t="s">
        <v>5253</v>
      </c>
      <c r="G124" s="184" t="s">
        <v>2678</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5466</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5467</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73ob5GCO2+ioHN4IunlFRB4/1sZxvn/GBsSuXIT4j63cPIo+8voS8BYS3tzI1FuebE3m0HZsV5kdfV8B/GtBSA==" saltValue="cVLj1tlTKs90fcRkyMlyMrM1qEiV87qPYaIvWIW+KwmH5f5eCWndRTMVWuho/ttTm8l6YPG8gtiW06mCYWVXqg==" spinCount="100000" sheet="1" objects="1" scenarios="1" formatColumns="0" formatRows="0" autoFilter="0"/>
  <autoFilter ref="C96:K126" xr:uid="{00000000-0009-0000-0000-00002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5468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209 - Okruh server - M2.16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J112</f>
        <v>0</v>
      </c>
      <c r="K70" s="99"/>
      <c r="L70" s="153"/>
    </row>
    <row r="71" spans="1:47" s="10" customFormat="1" ht="19.899999999999999" customHeight="1">
      <c r="B71" s="149"/>
      <c r="C71" s="99"/>
      <c r="D71" s="150" t="s">
        <v>3236</v>
      </c>
      <c r="E71" s="151"/>
      <c r="F71" s="151"/>
      <c r="G71" s="151"/>
      <c r="H71" s="151"/>
      <c r="I71" s="151"/>
      <c r="J71" s="152">
        <f>J115</f>
        <v>0</v>
      </c>
      <c r="K71" s="99"/>
      <c r="L71" s="153"/>
    </row>
    <row r="72" spans="1:47" s="10" customFormat="1" ht="19.899999999999999" customHeight="1">
      <c r="B72" s="149"/>
      <c r="C72" s="99"/>
      <c r="D72" s="150" t="s">
        <v>3465</v>
      </c>
      <c r="E72" s="151"/>
      <c r="F72" s="151"/>
      <c r="G72" s="151"/>
      <c r="H72" s="151"/>
      <c r="I72" s="151"/>
      <c r="J72" s="152">
        <f>J121</f>
        <v>0</v>
      </c>
      <c r="K72" s="99"/>
      <c r="L72" s="153"/>
    </row>
    <row r="73" spans="1:47" s="10" customFormat="1" ht="19.899999999999999" customHeight="1">
      <c r="B73" s="149"/>
      <c r="C73" s="99"/>
      <c r="D73" s="150" t="s">
        <v>361</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209 - Okruh server - M2.16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0.71720000000000006</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P99+P112+P115+P121+P125</f>
        <v>0</v>
      </c>
      <c r="Q98" s="173"/>
      <c r="R98" s="174">
        <f>R99+R112+R115+R121+R125</f>
        <v>0.71720000000000006</v>
      </c>
      <c r="S98" s="173"/>
      <c r="T98" s="175">
        <f>T99+T112+T115+T121+T125</f>
        <v>0</v>
      </c>
      <c r="AR98" s="176" t="s">
        <v>82</v>
      </c>
      <c r="AT98" s="177" t="s">
        <v>71</v>
      </c>
      <c r="AU98" s="177" t="s">
        <v>72</v>
      </c>
      <c r="AY98" s="176" t="s">
        <v>380</v>
      </c>
      <c r="BK98" s="178">
        <f>BK99+BK112+BK115+BK121+BK125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SUM(P100:P111)</f>
        <v>0</v>
      </c>
      <c r="Q99" s="173"/>
      <c r="R99" s="174">
        <f>SUM(R100:R111)</f>
        <v>9.2200000000000004E-2</v>
      </c>
      <c r="S99" s="173"/>
      <c r="T99" s="175">
        <f>SUM(T100:T111)</f>
        <v>0</v>
      </c>
      <c r="AR99" s="176" t="s">
        <v>82</v>
      </c>
      <c r="AT99" s="177" t="s">
        <v>71</v>
      </c>
      <c r="AU99" s="177" t="s">
        <v>79</v>
      </c>
      <c r="AY99" s="176" t="s">
        <v>380</v>
      </c>
      <c r="BK99" s="178">
        <f>SUM(BK100:BK111)</f>
        <v>0</v>
      </c>
    </row>
    <row r="100" spans="1:65" s="2" customFormat="1" ht="24.2" customHeight="1">
      <c r="A100" s="36"/>
      <c r="B100" s="37"/>
      <c r="C100" s="181" t="s">
        <v>79</v>
      </c>
      <c r="D100" s="181" t="s">
        <v>382</v>
      </c>
      <c r="E100" s="182" t="s">
        <v>5444</v>
      </c>
      <c r="F100" s="183" t="s">
        <v>5445</v>
      </c>
      <c r="G100" s="184" t="s">
        <v>641</v>
      </c>
      <c r="H100" s="185">
        <v>1</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5469</v>
      </c>
    </row>
    <row r="101" spans="1:65" s="2" customFormat="1" ht="16.5" customHeight="1">
      <c r="A101" s="36"/>
      <c r="B101" s="37"/>
      <c r="C101" s="227" t="s">
        <v>82</v>
      </c>
      <c r="D101" s="227" t="s">
        <v>465</v>
      </c>
      <c r="E101" s="228" t="s">
        <v>5447</v>
      </c>
      <c r="F101" s="229" t="s">
        <v>5448</v>
      </c>
      <c r="G101" s="230" t="s">
        <v>3278</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5470</v>
      </c>
    </row>
    <row r="102" spans="1:65" s="2" customFormat="1" ht="126.75">
      <c r="A102" s="36"/>
      <c r="B102" s="37"/>
      <c r="C102" s="38"/>
      <c r="D102" s="196" t="s">
        <v>1226</v>
      </c>
      <c r="E102" s="38"/>
      <c r="F102" s="248" t="s">
        <v>5471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5472</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5473</v>
      </c>
    </row>
    <row r="105" spans="1:65" s="2" customFormat="1" ht="16.5" customHeight="1">
      <c r="A105" s="36"/>
      <c r="B105" s="37"/>
      <c r="C105" s="181" t="s">
        <v>405</v>
      </c>
      <c r="D105" s="181" t="s">
        <v>382</v>
      </c>
      <c r="E105" s="182" t="s">
        <v>5233</v>
      </c>
      <c r="F105" s="183" t="s">
        <v>5234</v>
      </c>
      <c r="G105" s="184" t="s">
        <v>452</v>
      </c>
      <c r="H105" s="185">
        <v>15.4</v>
      </c>
      <c r="I105" s="186"/>
      <c r="J105" s="187">
        <f>ROUND(I105*H105,2)</f>
        <v>0</v>
      </c>
      <c r="K105" s="183" t="s">
        <v>19</v>
      </c>
      <c r="L105" s="41"/>
      <c r="M105" s="188" t="s">
        <v>19</v>
      </c>
      <c r="N105" s="189" t="s">
        <v>43</v>
      </c>
      <c r="O105" s="66"/>
      <c r="P105" s="190">
        <f>O105*H105</f>
        <v>0</v>
      </c>
      <c r="Q105" s="190">
        <v>3.0000000000000001E-3</v>
      </c>
      <c r="R105" s="190">
        <f>Q105*H105</f>
        <v>4.6200000000000005E-2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5474</v>
      </c>
    </row>
    <row r="106" spans="1:65" s="2" customFormat="1" ht="39">
      <c r="A106" s="36"/>
      <c r="B106" s="37"/>
      <c r="C106" s="38"/>
      <c r="D106" s="196" t="s">
        <v>1226</v>
      </c>
      <c r="E106" s="38"/>
      <c r="F106" s="248" t="s">
        <v>5236</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5475</v>
      </c>
      <c r="G107" s="206"/>
      <c r="H107" s="209">
        <v>15.4</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3" customFormat="1" ht="11.25">
      <c r="B108" s="194"/>
      <c r="C108" s="195"/>
      <c r="D108" s="196" t="s">
        <v>388</v>
      </c>
      <c r="E108" s="197" t="s">
        <v>19</v>
      </c>
      <c r="F108" s="198" t="s">
        <v>5238</v>
      </c>
      <c r="G108" s="195"/>
      <c r="H108" s="197" t="s">
        <v>19</v>
      </c>
      <c r="I108" s="199"/>
      <c r="J108" s="195"/>
      <c r="K108" s="195"/>
      <c r="L108" s="200"/>
      <c r="M108" s="201"/>
      <c r="N108" s="202"/>
      <c r="O108" s="202"/>
      <c r="P108" s="202"/>
      <c r="Q108" s="202"/>
      <c r="R108" s="202"/>
      <c r="S108" s="202"/>
      <c r="T108" s="203"/>
      <c r="AT108" s="204" t="s">
        <v>388</v>
      </c>
      <c r="AU108" s="204" t="s">
        <v>82</v>
      </c>
      <c r="AV108" s="13" t="s">
        <v>79</v>
      </c>
      <c r="AW108" s="13" t="s">
        <v>33</v>
      </c>
      <c r="AX108" s="13" t="s">
        <v>72</v>
      </c>
      <c r="AY108" s="204" t="s">
        <v>380</v>
      </c>
    </row>
    <row r="109" spans="1:65" s="15" customFormat="1" ht="11.25">
      <c r="B109" s="216"/>
      <c r="C109" s="217"/>
      <c r="D109" s="196" t="s">
        <v>388</v>
      </c>
      <c r="E109" s="218" t="s">
        <v>19</v>
      </c>
      <c r="F109" s="219" t="s">
        <v>419</v>
      </c>
      <c r="G109" s="217"/>
      <c r="H109" s="220">
        <v>15.4</v>
      </c>
      <c r="I109" s="221"/>
      <c r="J109" s="217"/>
      <c r="K109" s="217"/>
      <c r="L109" s="222"/>
      <c r="M109" s="223"/>
      <c r="N109" s="224"/>
      <c r="O109" s="224"/>
      <c r="P109" s="224"/>
      <c r="Q109" s="224"/>
      <c r="R109" s="224"/>
      <c r="S109" s="224"/>
      <c r="T109" s="225"/>
      <c r="AT109" s="226" t="s">
        <v>388</v>
      </c>
      <c r="AU109" s="226" t="s">
        <v>82</v>
      </c>
      <c r="AV109" s="15" t="s">
        <v>386</v>
      </c>
      <c r="AW109" s="15" t="s">
        <v>33</v>
      </c>
      <c r="AX109" s="15" t="s">
        <v>79</v>
      </c>
      <c r="AY109" s="226" t="s">
        <v>380</v>
      </c>
    </row>
    <row r="110" spans="1:65" s="2" customFormat="1" ht="16.5" customHeight="1">
      <c r="A110" s="36"/>
      <c r="B110" s="37"/>
      <c r="C110" s="181" t="s">
        <v>411</v>
      </c>
      <c r="D110" s="181" t="s">
        <v>382</v>
      </c>
      <c r="E110" s="182" t="s">
        <v>3895</v>
      </c>
      <c r="F110" s="183" t="s">
        <v>5239</v>
      </c>
      <c r="G110" s="184" t="s">
        <v>452</v>
      </c>
      <c r="H110" s="185">
        <v>14</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5476</v>
      </c>
    </row>
    <row r="111" spans="1:65" s="14" customFormat="1" ht="11.25">
      <c r="B111" s="205"/>
      <c r="C111" s="206"/>
      <c r="D111" s="196" t="s">
        <v>388</v>
      </c>
      <c r="E111" s="207" t="s">
        <v>19</v>
      </c>
      <c r="F111" s="208" t="s">
        <v>134</v>
      </c>
      <c r="G111" s="206"/>
      <c r="H111" s="209">
        <v>14</v>
      </c>
      <c r="I111" s="210"/>
      <c r="J111" s="206"/>
      <c r="K111" s="206"/>
      <c r="L111" s="211"/>
      <c r="M111" s="212"/>
      <c r="N111" s="213"/>
      <c r="O111" s="213"/>
      <c r="P111" s="213"/>
      <c r="Q111" s="213"/>
      <c r="R111" s="213"/>
      <c r="S111" s="213"/>
      <c r="T111" s="214"/>
      <c r="AT111" s="215" t="s">
        <v>388</v>
      </c>
      <c r="AU111" s="215" t="s">
        <v>82</v>
      </c>
      <c r="AV111" s="14" t="s">
        <v>82</v>
      </c>
      <c r="AW111" s="14" t="s">
        <v>33</v>
      </c>
      <c r="AX111" s="14" t="s">
        <v>79</v>
      </c>
      <c r="AY111" s="215" t="s">
        <v>380</v>
      </c>
    </row>
    <row r="112" spans="1:65" s="12" customFormat="1" ht="22.9" customHeight="1">
      <c r="B112" s="165"/>
      <c r="C112" s="166"/>
      <c r="D112" s="167" t="s">
        <v>71</v>
      </c>
      <c r="E112" s="179" t="s">
        <v>5456</v>
      </c>
      <c r="F112" s="179" t="s">
        <v>5457</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380</v>
      </c>
      <c r="BK112" s="178">
        <f>SUM(BK113:BK114)</f>
        <v>0</v>
      </c>
    </row>
    <row r="113" spans="1:65" s="2" customFormat="1" ht="16.5" customHeight="1">
      <c r="A113" s="36"/>
      <c r="B113" s="37"/>
      <c r="C113" s="181" t="s">
        <v>420</v>
      </c>
      <c r="D113" s="181" t="s">
        <v>382</v>
      </c>
      <c r="E113" s="182" t="s">
        <v>5458</v>
      </c>
      <c r="F113" s="183" t="s">
        <v>5459</v>
      </c>
      <c r="G113" s="184" t="s">
        <v>3278</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5477</v>
      </c>
    </row>
    <row r="114" spans="1:65" s="14" customFormat="1" ht="11.25">
      <c r="B114" s="205"/>
      <c r="C114" s="206"/>
      <c r="D114" s="196" t="s">
        <v>388</v>
      </c>
      <c r="E114" s="207" t="s">
        <v>19</v>
      </c>
      <c r="F114" s="208" t="s">
        <v>5478</v>
      </c>
      <c r="G114" s="206"/>
      <c r="H114" s="209">
        <v>3</v>
      </c>
      <c r="I114" s="210"/>
      <c r="J114" s="206"/>
      <c r="K114" s="206"/>
      <c r="L114" s="211"/>
      <c r="M114" s="212"/>
      <c r="N114" s="213"/>
      <c r="O114" s="213"/>
      <c r="P114" s="213"/>
      <c r="Q114" s="213"/>
      <c r="R114" s="213"/>
      <c r="S114" s="213"/>
      <c r="T114" s="214"/>
      <c r="AT114" s="215" t="s">
        <v>388</v>
      </c>
      <c r="AU114" s="215" t="s">
        <v>82</v>
      </c>
      <c r="AV114" s="14" t="s">
        <v>82</v>
      </c>
      <c r="AW114" s="14" t="s">
        <v>33</v>
      </c>
      <c r="AX114" s="14" t="s">
        <v>79</v>
      </c>
      <c r="AY114" s="215" t="s">
        <v>380</v>
      </c>
    </row>
    <row r="115" spans="1:65" s="12" customFormat="1" ht="22.9" customHeight="1">
      <c r="B115" s="165"/>
      <c r="C115" s="166"/>
      <c r="D115" s="167" t="s">
        <v>71</v>
      </c>
      <c r="E115" s="179" t="s">
        <v>3450</v>
      </c>
      <c r="F115" s="179" t="s">
        <v>3451</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380</v>
      </c>
      <c r="BK115" s="178">
        <f>SUM(BK116:BK120)</f>
        <v>0</v>
      </c>
    </row>
    <row r="116" spans="1:65" s="2" customFormat="1" ht="16.5" customHeight="1">
      <c r="A116" s="36"/>
      <c r="B116" s="37"/>
      <c r="C116" s="181" t="s">
        <v>424</v>
      </c>
      <c r="D116" s="181" t="s">
        <v>382</v>
      </c>
      <c r="E116" s="182" t="s">
        <v>3452</v>
      </c>
      <c r="F116" s="183" t="s">
        <v>5241</v>
      </c>
      <c r="G116" s="184" t="s">
        <v>2389</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5479</v>
      </c>
    </row>
    <row r="117" spans="1:65" s="2" customFormat="1" ht="16.5" customHeight="1">
      <c r="A117" s="36"/>
      <c r="B117" s="37"/>
      <c r="C117" s="181" t="s">
        <v>430</v>
      </c>
      <c r="D117" s="181" t="s">
        <v>382</v>
      </c>
      <c r="E117" s="182" t="s">
        <v>3456</v>
      </c>
      <c r="F117" s="183" t="s">
        <v>5243</v>
      </c>
      <c r="G117" s="184" t="s">
        <v>2389</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5480</v>
      </c>
    </row>
    <row r="118" spans="1:65" s="2" customFormat="1" ht="29.25">
      <c r="A118" s="36"/>
      <c r="B118" s="37"/>
      <c r="C118" s="38"/>
      <c r="D118" s="196" t="s">
        <v>1226</v>
      </c>
      <c r="E118" s="38"/>
      <c r="F118" s="248" t="s">
        <v>5245</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2" customFormat="1" ht="16.5" customHeight="1">
      <c r="A119" s="36"/>
      <c r="B119" s="37"/>
      <c r="C119" s="181" t="s">
        <v>122</v>
      </c>
      <c r="D119" s="181" t="s">
        <v>382</v>
      </c>
      <c r="E119" s="182" t="s">
        <v>3458</v>
      </c>
      <c r="F119" s="183" t="s">
        <v>3462</v>
      </c>
      <c r="G119" s="184" t="s">
        <v>2389</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281</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5481</v>
      </c>
    </row>
    <row r="120" spans="1:65" s="2" customFormat="1" ht="19.5">
      <c r="A120" s="36"/>
      <c r="B120" s="37"/>
      <c r="C120" s="38"/>
      <c r="D120" s="196" t="s">
        <v>1226</v>
      </c>
      <c r="E120" s="38"/>
      <c r="F120" s="248" t="s">
        <v>5247</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12" customFormat="1" ht="22.9" customHeight="1">
      <c r="B121" s="165"/>
      <c r="C121" s="166"/>
      <c r="D121" s="167" t="s">
        <v>71</v>
      </c>
      <c r="E121" s="179" t="s">
        <v>2076</v>
      </c>
      <c r="F121" s="179" t="s">
        <v>3534</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380</v>
      </c>
      <c r="BK121" s="178">
        <f>SUM(BK122:BK124)</f>
        <v>0</v>
      </c>
    </row>
    <row r="122" spans="1:65" s="2" customFormat="1" ht="16.5" customHeight="1">
      <c r="A122" s="36"/>
      <c r="B122" s="37"/>
      <c r="C122" s="181" t="s">
        <v>125</v>
      </c>
      <c r="D122" s="181" t="s">
        <v>382</v>
      </c>
      <c r="E122" s="182" t="s">
        <v>3535</v>
      </c>
      <c r="F122" s="183" t="s">
        <v>5248</v>
      </c>
      <c r="G122" s="184" t="s">
        <v>5249</v>
      </c>
      <c r="H122" s="185">
        <v>28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5482</v>
      </c>
    </row>
    <row r="123" spans="1:65" s="14" customFormat="1" ht="11.25">
      <c r="B123" s="205"/>
      <c r="C123" s="206"/>
      <c r="D123" s="196" t="s">
        <v>388</v>
      </c>
      <c r="E123" s="207" t="s">
        <v>19</v>
      </c>
      <c r="F123" s="208" t="s">
        <v>5483</v>
      </c>
      <c r="G123" s="206"/>
      <c r="H123" s="209">
        <v>28</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2" customFormat="1" ht="16.5" customHeight="1">
      <c r="A124" s="36"/>
      <c r="B124" s="37"/>
      <c r="C124" s="181" t="s">
        <v>128</v>
      </c>
      <c r="D124" s="181" t="s">
        <v>382</v>
      </c>
      <c r="E124" s="182" t="s">
        <v>5252</v>
      </c>
      <c r="F124" s="183" t="s">
        <v>5253</v>
      </c>
      <c r="G124" s="184" t="s">
        <v>2678</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5484</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5256</v>
      </c>
      <c r="F126" s="183" t="s">
        <v>5257</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5485</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t2mWbNb9/qzW9wnhlUmSObcsEJvhc/31LspU9npCrX0cFedUJhfzrGurzESFlD4/yEl2HIkh1F8SNJGMyrAM/Q==" saltValue="8fcIwLFrVB4BBFWrYANRxp8uvY5YjZZtyFh4Ji55HQMuB4fEzEn4rN6lG0Xrdw5UFOFzXbFQr6rNaKtTvGMFYA==" spinCount="100000" sheet="1" objects="1" scenarios="1" formatColumns="0" formatRows="0" autoFilter="0"/>
  <autoFilter ref="C96:K126" xr:uid="{00000000-0009-0000-0000-00002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5486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ROUND((SUM(BE96:BE138)),  2)</f>
        <v>0</v>
      </c>
      <c r="G37" s="36"/>
      <c r="H37" s="36"/>
      <c r="I37" s="127">
        <v>0.21</v>
      </c>
      <c r="J37" s="126">
        <f>ROUND(((SUM(BE96:BE138))*I37),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ROUND((SUM(BF96:BF138)),  2)</f>
        <v>0</v>
      </c>
      <c r="G38" s="36"/>
      <c r="H38" s="36"/>
      <c r="I38" s="127">
        <v>0.15</v>
      </c>
      <c r="J38" s="126">
        <f>ROUND(((SUM(BF96:BF138))*I38),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313 - Okruh badatelna a kancelář - M3.04, 3.04a</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J127</f>
        <v>0</v>
      </c>
      <c r="K70" s="99"/>
      <c r="L70" s="153"/>
    </row>
    <row r="71" spans="1:47" s="10" customFormat="1" ht="19.899999999999999" customHeight="1">
      <c r="B71" s="149"/>
      <c r="C71" s="99"/>
      <c r="D71" s="150" t="s">
        <v>3465</v>
      </c>
      <c r="E71" s="151"/>
      <c r="F71" s="151"/>
      <c r="G71" s="151"/>
      <c r="H71" s="151"/>
      <c r="I71" s="151"/>
      <c r="J71" s="152">
        <f>J133</f>
        <v>0</v>
      </c>
      <c r="K71" s="99"/>
      <c r="L71" s="153"/>
    </row>
    <row r="72" spans="1:47" s="10" customFormat="1" ht="19.899999999999999" customHeight="1">
      <c r="B72" s="149"/>
      <c r="C72" s="99"/>
      <c r="D72" s="150" t="s">
        <v>361</v>
      </c>
      <c r="E72" s="151"/>
      <c r="F72" s="151"/>
      <c r="G72" s="151"/>
      <c r="H72" s="151"/>
      <c r="I72" s="151"/>
      <c r="J72" s="152">
        <f>J137</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313 - Okruh badatelna a kancelář - M3.04, 3.04a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1.1457000000000002</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P98+P127+P133+P137</f>
        <v>0</v>
      </c>
      <c r="Q97" s="173"/>
      <c r="R97" s="174">
        <f>R98+R127+R133+R137</f>
        <v>1.1457000000000002</v>
      </c>
      <c r="S97" s="173"/>
      <c r="T97" s="175">
        <f>T98+T127+T133+T137</f>
        <v>0</v>
      </c>
      <c r="AR97" s="176" t="s">
        <v>82</v>
      </c>
      <c r="AT97" s="177" t="s">
        <v>71</v>
      </c>
      <c r="AU97" s="177" t="s">
        <v>72</v>
      </c>
      <c r="AY97" s="176" t="s">
        <v>380</v>
      </c>
      <c r="BK97" s="178">
        <f>BK98+BK127+BK133+BK137</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SUM(P99:P126)</f>
        <v>0</v>
      </c>
      <c r="Q98" s="173"/>
      <c r="R98" s="174">
        <f>SUM(R99:R126)</f>
        <v>0.52070000000000005</v>
      </c>
      <c r="S98" s="173"/>
      <c r="T98" s="175">
        <f>SUM(T99:T126)</f>
        <v>0</v>
      </c>
      <c r="AR98" s="176" t="s">
        <v>82</v>
      </c>
      <c r="AT98" s="177" t="s">
        <v>71</v>
      </c>
      <c r="AU98" s="177" t="s">
        <v>79</v>
      </c>
      <c r="AY98" s="176" t="s">
        <v>380</v>
      </c>
      <c r="BK98" s="178">
        <f>SUM(BK99:BK126)</f>
        <v>0</v>
      </c>
    </row>
    <row r="99" spans="1:65" s="2" customFormat="1" ht="21.75" customHeight="1">
      <c r="A99" s="36"/>
      <c r="B99" s="37"/>
      <c r="C99" s="181" t="s">
        <v>79</v>
      </c>
      <c r="D99" s="181" t="s">
        <v>382</v>
      </c>
      <c r="E99" s="182" t="s">
        <v>5487</v>
      </c>
      <c r="F99" s="183" t="s">
        <v>5488</v>
      </c>
      <c r="G99" s="184" t="s">
        <v>641</v>
      </c>
      <c r="H99" s="185">
        <v>9</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5489</v>
      </c>
    </row>
    <row r="100" spans="1:65" s="2" customFormat="1" ht="16.5" customHeight="1">
      <c r="A100" s="36"/>
      <c r="B100" s="37"/>
      <c r="C100" s="227" t="s">
        <v>82</v>
      </c>
      <c r="D100" s="227" t="s">
        <v>465</v>
      </c>
      <c r="E100" s="228" t="s">
        <v>3438</v>
      </c>
      <c r="F100" s="229" t="s">
        <v>5490</v>
      </c>
      <c r="G100" s="230" t="s">
        <v>3278</v>
      </c>
      <c r="H100" s="231">
        <v>8</v>
      </c>
      <c r="I100" s="232"/>
      <c r="J100" s="233">
        <f>ROUND(I100*H100,2)</f>
        <v>0</v>
      </c>
      <c r="K100" s="229" t="s">
        <v>19</v>
      </c>
      <c r="L100" s="234"/>
      <c r="M100" s="235" t="s">
        <v>19</v>
      </c>
      <c r="N100" s="236" t="s">
        <v>43</v>
      </c>
      <c r="O100" s="66"/>
      <c r="P100" s="190">
        <f>O100*H100</f>
        <v>0</v>
      </c>
      <c r="Q100" s="190">
        <v>1.2999999999999999E-2</v>
      </c>
      <c r="R100" s="190">
        <f>Q100*H100</f>
        <v>0.104</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5491</v>
      </c>
    </row>
    <row r="101" spans="1:65" s="2" customFormat="1" ht="68.25">
      <c r="A101" s="36"/>
      <c r="B101" s="37"/>
      <c r="C101" s="38"/>
      <c r="D101" s="196" t="s">
        <v>1226</v>
      </c>
      <c r="E101" s="38"/>
      <c r="F101" s="248" t="s">
        <v>5492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5493</v>
      </c>
      <c r="G102" s="230" t="s">
        <v>19</v>
      </c>
      <c r="H102" s="231">
        <v>1</v>
      </c>
      <c r="I102" s="232"/>
      <c r="J102" s="233">
        <f>ROUND(I102*H102,2)</f>
        <v>0</v>
      </c>
      <c r="K102" s="229" t="s">
        <v>19</v>
      </c>
      <c r="L102" s="234"/>
      <c r="M102" s="235" t="s">
        <v>19</v>
      </c>
      <c r="N102" s="236" t="s">
        <v>43</v>
      </c>
      <c r="O102" s="66"/>
      <c r="P102" s="190">
        <f>O102*H102</f>
        <v>0</v>
      </c>
      <c r="Q102" s="190">
        <v>1.4E-2</v>
      </c>
      <c r="R102" s="190">
        <f>Q102*H102</f>
        <v>1.4E-2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5494</v>
      </c>
    </row>
    <row r="103" spans="1:65" s="2" customFormat="1" ht="68.25">
      <c r="A103" s="36"/>
      <c r="B103" s="37"/>
      <c r="C103" s="38"/>
      <c r="D103" s="196" t="s">
        <v>1226</v>
      </c>
      <c r="E103" s="38"/>
      <c r="F103" s="248" t="s">
        <v>5495</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2" customFormat="1" ht="24.2" customHeight="1">
      <c r="A104" s="36"/>
      <c r="B104" s="37"/>
      <c r="C104" s="181" t="s">
        <v>386</v>
      </c>
      <c r="D104" s="181" t="s">
        <v>382</v>
      </c>
      <c r="E104" s="182" t="s">
        <v>3432</v>
      </c>
      <c r="F104" s="183" t="s">
        <v>3433</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5496</v>
      </c>
    </row>
    <row r="105" spans="1:65" s="2" customFormat="1" ht="24.2" customHeight="1">
      <c r="A105" s="36"/>
      <c r="B105" s="37"/>
      <c r="C105" s="181" t="s">
        <v>405</v>
      </c>
      <c r="D105" s="181" t="s">
        <v>382</v>
      </c>
      <c r="E105" s="182" t="s">
        <v>3435</v>
      </c>
      <c r="F105" s="183" t="s">
        <v>3436</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5497</v>
      </c>
    </row>
    <row r="106" spans="1:65" s="2" customFormat="1" ht="16.5" customHeight="1">
      <c r="A106" s="36"/>
      <c r="B106" s="37"/>
      <c r="C106" s="181" t="s">
        <v>411</v>
      </c>
      <c r="D106" s="181" t="s">
        <v>382</v>
      </c>
      <c r="E106" s="182" t="s">
        <v>3446</v>
      </c>
      <c r="F106" s="183" t="s">
        <v>5498</v>
      </c>
      <c r="G106" s="184" t="s">
        <v>5499</v>
      </c>
      <c r="H106" s="185">
        <v>9</v>
      </c>
      <c r="I106" s="186"/>
      <c r="J106" s="187">
        <f>ROUND(I106*H106,2)</f>
        <v>0</v>
      </c>
      <c r="K106" s="183" t="s">
        <v>19</v>
      </c>
      <c r="L106" s="41"/>
      <c r="M106" s="188" t="s">
        <v>19</v>
      </c>
      <c r="N106" s="189" t="s">
        <v>43</v>
      </c>
      <c r="O106" s="66"/>
      <c r="P106" s="190">
        <f>O106*H106</f>
        <v>0</v>
      </c>
      <c r="Q106" s="190">
        <v>3.0000000000000001E-3</v>
      </c>
      <c r="R106" s="190">
        <f>Q106*H106</f>
        <v>2.7E-2</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5500</v>
      </c>
    </row>
    <row r="107" spans="1:65" s="2" customFormat="1" ht="19.5">
      <c r="A107" s="36"/>
      <c r="B107" s="37"/>
      <c r="C107" s="38"/>
      <c r="D107" s="196" t="s">
        <v>1226</v>
      </c>
      <c r="E107" s="38"/>
      <c r="F107" s="248" t="s">
        <v>5501</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1226</v>
      </c>
      <c r="AU107" s="19" t="s">
        <v>82</v>
      </c>
    </row>
    <row r="108" spans="1:65" s="14" customFormat="1" ht="11.25">
      <c r="B108" s="205"/>
      <c r="C108" s="206"/>
      <c r="D108" s="196" t="s">
        <v>388</v>
      </c>
      <c r="E108" s="207" t="s">
        <v>19</v>
      </c>
      <c r="F108" s="208" t="s">
        <v>5502</v>
      </c>
      <c r="G108" s="206"/>
      <c r="H108" s="209">
        <v>9</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16.5" customHeight="1">
      <c r="A109" s="36"/>
      <c r="B109" s="37"/>
      <c r="C109" s="181" t="s">
        <v>420</v>
      </c>
      <c r="D109" s="181" t="s">
        <v>382</v>
      </c>
      <c r="E109" s="182" t="s">
        <v>5503</v>
      </c>
      <c r="F109" s="183" t="s">
        <v>5504</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5505</v>
      </c>
    </row>
    <row r="110" spans="1:65" s="2" customFormat="1" ht="16.5" customHeight="1">
      <c r="A110" s="36"/>
      <c r="B110" s="37"/>
      <c r="C110" s="227" t="s">
        <v>424</v>
      </c>
      <c r="D110" s="227" t="s">
        <v>465</v>
      </c>
      <c r="E110" s="228" t="s">
        <v>3428</v>
      </c>
      <c r="F110" s="229" t="s">
        <v>5506</v>
      </c>
      <c r="G110" s="230" t="s">
        <v>19</v>
      </c>
      <c r="H110" s="231">
        <v>1</v>
      </c>
      <c r="I110" s="232"/>
      <c r="J110" s="233">
        <f>ROUND(I110*H110,2)</f>
        <v>0</v>
      </c>
      <c r="K110" s="229" t="s">
        <v>19</v>
      </c>
      <c r="L110" s="234"/>
      <c r="M110" s="235" t="s">
        <v>19</v>
      </c>
      <c r="N110" s="236" t="s">
        <v>43</v>
      </c>
      <c r="O110" s="66"/>
      <c r="P110" s="190">
        <f>O110*H110</f>
        <v>0</v>
      </c>
      <c r="Q110" s="190">
        <v>0.115</v>
      </c>
      <c r="R110" s="190">
        <f>Q110*H110</f>
        <v>0.115</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5507</v>
      </c>
    </row>
    <row r="111" spans="1:65" s="2" customFormat="1" ht="58.5">
      <c r="A111" s="36"/>
      <c r="B111" s="37"/>
      <c r="C111" s="38"/>
      <c r="D111" s="196" t="s">
        <v>1226</v>
      </c>
      <c r="E111" s="38"/>
      <c r="F111" s="248" t="s">
        <v>5508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3311</v>
      </c>
      <c r="F112" s="183" t="s">
        <v>5509</v>
      </c>
      <c r="G112" s="184" t="s">
        <v>3278</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5510</v>
      </c>
    </row>
    <row r="113" spans="1:65" s="2" customFormat="1" ht="58.5">
      <c r="A113" s="36"/>
      <c r="B113" s="37"/>
      <c r="C113" s="38"/>
      <c r="D113" s="196" t="s">
        <v>1226</v>
      </c>
      <c r="E113" s="38"/>
      <c r="F113" s="248" t="s">
        <v>5511</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5447</v>
      </c>
      <c r="F114" s="183" t="s">
        <v>5512</v>
      </c>
      <c r="G114" s="184" t="s">
        <v>5513</v>
      </c>
      <c r="H114" s="185">
        <v>18</v>
      </c>
      <c r="I114" s="186"/>
      <c r="J114" s="187">
        <f>ROUND(I114*H114,2)</f>
        <v>0</v>
      </c>
      <c r="K114" s="183" t="s">
        <v>19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5514</v>
      </c>
    </row>
    <row r="115" spans="1:65" s="2" customFormat="1" ht="29.25">
      <c r="A115" s="36"/>
      <c r="B115" s="37"/>
      <c r="C115" s="38"/>
      <c r="D115" s="196" t="s">
        <v>1226</v>
      </c>
      <c r="E115" s="38"/>
      <c r="F115" s="248" t="s">
        <v>5515</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2" customFormat="1" ht="16.5" customHeight="1">
      <c r="A116" s="36"/>
      <c r="B116" s="37"/>
      <c r="C116" s="181" t="s">
        <v>125</v>
      </c>
      <c r="D116" s="181" t="s">
        <v>382</v>
      </c>
      <c r="E116" s="182" t="s">
        <v>5233</v>
      </c>
      <c r="F116" s="183" t="s">
        <v>5234</v>
      </c>
      <c r="G116" s="184" t="s">
        <v>452</v>
      </c>
      <c r="H116" s="185">
        <v>86.9</v>
      </c>
      <c r="I116" s="186"/>
      <c r="J116" s="187">
        <f>ROUND(I116*H116,2)</f>
        <v>0</v>
      </c>
      <c r="K116" s="183" t="s">
        <v>19</v>
      </c>
      <c r="L116" s="41"/>
      <c r="M116" s="188" t="s">
        <v>19</v>
      </c>
      <c r="N116" s="189" t="s">
        <v>43</v>
      </c>
      <c r="O116" s="66"/>
      <c r="P116" s="190">
        <f>O116*H116</f>
        <v>0</v>
      </c>
      <c r="Q116" s="190">
        <v>3.0000000000000001E-3</v>
      </c>
      <c r="R116" s="190">
        <f>Q116*H116</f>
        <v>0.26070000000000004</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5516</v>
      </c>
    </row>
    <row r="117" spans="1:65" s="2" customFormat="1" ht="39">
      <c r="A117" s="36"/>
      <c r="B117" s="37"/>
      <c r="C117" s="38"/>
      <c r="D117" s="196" t="s">
        <v>1226</v>
      </c>
      <c r="E117" s="38"/>
      <c r="F117" s="248" t="s">
        <v>5236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14" customFormat="1" ht="11.25">
      <c r="B118" s="205"/>
      <c r="C118" s="206"/>
      <c r="D118" s="196" t="s">
        <v>388</v>
      </c>
      <c r="E118" s="207" t="s">
        <v>19</v>
      </c>
      <c r="F118" s="208" t="s">
        <v>5517</v>
      </c>
      <c r="G118" s="206"/>
      <c r="H118" s="209">
        <v>62.7</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3" customFormat="1" ht="11.25">
      <c r="B119" s="194"/>
      <c r="C119" s="195"/>
      <c r="D119" s="196" t="s">
        <v>388</v>
      </c>
      <c r="E119" s="197" t="s">
        <v>19</v>
      </c>
      <c r="F119" s="198" t="s">
        <v>5518</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4" customFormat="1" ht="11.25">
      <c r="B120" s="205"/>
      <c r="C120" s="206"/>
      <c r="D120" s="196" t="s">
        <v>388</v>
      </c>
      <c r="E120" s="207" t="s">
        <v>19</v>
      </c>
      <c r="F120" s="208" t="s">
        <v>5519</v>
      </c>
      <c r="G120" s="206"/>
      <c r="H120" s="209">
        <v>17.600000000000001</v>
      </c>
      <c r="I120" s="210"/>
      <c r="J120" s="206"/>
      <c r="K120" s="206"/>
      <c r="L120" s="211"/>
      <c r="M120" s="212"/>
      <c r="N120" s="213"/>
      <c r="O120" s="213"/>
      <c r="P120" s="213"/>
      <c r="Q120" s="213"/>
      <c r="R120" s="213"/>
      <c r="S120" s="213"/>
      <c r="T120" s="214"/>
      <c r="AT120" s="215" t="s">
        <v>388</v>
      </c>
      <c r="AU120" s="215" t="s">
        <v>82</v>
      </c>
      <c r="AV120" s="14" t="s">
        <v>82</v>
      </c>
      <c r="AW120" s="14" t="s">
        <v>33</v>
      </c>
      <c r="AX120" s="14" t="s">
        <v>72</v>
      </c>
      <c r="AY120" s="215" t="s">
        <v>380</v>
      </c>
    </row>
    <row r="121" spans="1:65" s="13" customFormat="1" ht="11.25">
      <c r="B121" s="194"/>
      <c r="C121" s="195"/>
      <c r="D121" s="196" t="s">
        <v>388</v>
      </c>
      <c r="E121" s="197" t="s">
        <v>19</v>
      </c>
      <c r="F121" s="198" t="s">
        <v>5520</v>
      </c>
      <c r="G121" s="195"/>
      <c r="H121" s="197" t="s">
        <v>19</v>
      </c>
      <c r="I121" s="199"/>
      <c r="J121" s="195"/>
      <c r="K121" s="195"/>
      <c r="L121" s="200"/>
      <c r="M121" s="201"/>
      <c r="N121" s="202"/>
      <c r="O121" s="202"/>
      <c r="P121" s="202"/>
      <c r="Q121" s="202"/>
      <c r="R121" s="202"/>
      <c r="S121" s="202"/>
      <c r="T121" s="203"/>
      <c r="AT121" s="204" t="s">
        <v>388</v>
      </c>
      <c r="AU121" s="204" t="s">
        <v>82</v>
      </c>
      <c r="AV121" s="13" t="s">
        <v>79</v>
      </c>
      <c r="AW121" s="13" t="s">
        <v>33</v>
      </c>
      <c r="AX121" s="13" t="s">
        <v>72</v>
      </c>
      <c r="AY121" s="204" t="s">
        <v>380</v>
      </c>
    </row>
    <row r="122" spans="1:65" s="14" customFormat="1" ht="11.25">
      <c r="B122" s="205"/>
      <c r="C122" s="206"/>
      <c r="D122" s="196" t="s">
        <v>388</v>
      </c>
      <c r="E122" s="207" t="s">
        <v>19</v>
      </c>
      <c r="F122" s="208" t="s">
        <v>5521</v>
      </c>
      <c r="G122" s="206"/>
      <c r="H122" s="209">
        <v>6.6</v>
      </c>
      <c r="I122" s="210"/>
      <c r="J122" s="206"/>
      <c r="K122" s="206"/>
      <c r="L122" s="211"/>
      <c r="M122" s="212"/>
      <c r="N122" s="213"/>
      <c r="O122" s="213"/>
      <c r="P122" s="213"/>
      <c r="Q122" s="213"/>
      <c r="R122" s="213"/>
      <c r="S122" s="213"/>
      <c r="T122" s="214"/>
      <c r="AT122" s="215" t="s">
        <v>388</v>
      </c>
      <c r="AU122" s="215" t="s">
        <v>82</v>
      </c>
      <c r="AV122" s="14" t="s">
        <v>82</v>
      </c>
      <c r="AW122" s="14" t="s">
        <v>33</v>
      </c>
      <c r="AX122" s="14" t="s">
        <v>72</v>
      </c>
      <c r="AY122" s="215" t="s">
        <v>380</v>
      </c>
    </row>
    <row r="123" spans="1:65" s="13" customFormat="1" ht="11.25">
      <c r="B123" s="194"/>
      <c r="C123" s="195"/>
      <c r="D123" s="196" t="s">
        <v>388</v>
      </c>
      <c r="E123" s="197" t="s">
        <v>19</v>
      </c>
      <c r="F123" s="198" t="s">
        <v>5522</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5" customFormat="1" ht="11.25">
      <c r="B124" s="216"/>
      <c r="C124" s="217"/>
      <c r="D124" s="196" t="s">
        <v>388</v>
      </c>
      <c r="E124" s="218" t="s">
        <v>19</v>
      </c>
      <c r="F124" s="219" t="s">
        <v>419</v>
      </c>
      <c r="G124" s="217"/>
      <c r="H124" s="220">
        <v>86.9</v>
      </c>
      <c r="I124" s="221"/>
      <c r="J124" s="217"/>
      <c r="K124" s="217"/>
      <c r="L124" s="222"/>
      <c r="M124" s="223"/>
      <c r="N124" s="224"/>
      <c r="O124" s="224"/>
      <c r="P124" s="224"/>
      <c r="Q124" s="224"/>
      <c r="R124" s="224"/>
      <c r="S124" s="224"/>
      <c r="T124" s="225"/>
      <c r="AT124" s="226" t="s">
        <v>388</v>
      </c>
      <c r="AU124" s="226" t="s">
        <v>82</v>
      </c>
      <c r="AV124" s="15" t="s">
        <v>386</v>
      </c>
      <c r="AW124" s="15" t="s">
        <v>33</v>
      </c>
      <c r="AX124" s="15" t="s">
        <v>79</v>
      </c>
      <c r="AY124" s="226" t="s">
        <v>380</v>
      </c>
    </row>
    <row r="125" spans="1:65" s="2" customFormat="1" ht="16.5" customHeight="1">
      <c r="A125" s="36"/>
      <c r="B125" s="37"/>
      <c r="C125" s="181" t="s">
        <v>128</v>
      </c>
      <c r="D125" s="181" t="s">
        <v>382</v>
      </c>
      <c r="E125" s="182" t="s">
        <v>3895</v>
      </c>
      <c r="F125" s="183" t="s">
        <v>5239</v>
      </c>
      <c r="G125" s="184" t="s">
        <v>452</v>
      </c>
      <c r="H125" s="185">
        <v>79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5523</v>
      </c>
    </row>
    <row r="126" spans="1:65" s="14" customFormat="1" ht="11.25">
      <c r="B126" s="205"/>
      <c r="C126" s="206"/>
      <c r="D126" s="196" t="s">
        <v>388</v>
      </c>
      <c r="E126" s="207" t="s">
        <v>19</v>
      </c>
      <c r="F126" s="208" t="s">
        <v>5524</v>
      </c>
      <c r="G126" s="206"/>
      <c r="H126" s="209">
        <v>79</v>
      </c>
      <c r="I126" s="210"/>
      <c r="J126" s="206"/>
      <c r="K126" s="206"/>
      <c r="L126" s="211"/>
      <c r="M126" s="212"/>
      <c r="N126" s="213"/>
      <c r="O126" s="213"/>
      <c r="P126" s="213"/>
      <c r="Q126" s="213"/>
      <c r="R126" s="213"/>
      <c r="S126" s="213"/>
      <c r="T126" s="214"/>
      <c r="AT126" s="215" t="s">
        <v>388</v>
      </c>
      <c r="AU126" s="215" t="s">
        <v>82</v>
      </c>
      <c r="AV126" s="14" t="s">
        <v>82</v>
      </c>
      <c r="AW126" s="14" t="s">
        <v>33</v>
      </c>
      <c r="AX126" s="14" t="s">
        <v>79</v>
      </c>
      <c r="AY126" s="215" t="s">
        <v>380</v>
      </c>
    </row>
    <row r="127" spans="1:65" s="12" customFormat="1" ht="22.9" customHeight="1">
      <c r="B127" s="165"/>
      <c r="C127" s="166"/>
      <c r="D127" s="167" t="s">
        <v>71</v>
      </c>
      <c r="E127" s="179" t="s">
        <v>3450</v>
      </c>
      <c r="F127" s="179" t="s">
        <v>3451</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380</v>
      </c>
      <c r="BK127" s="178">
        <f>SUM(BK128:BK132)</f>
        <v>0</v>
      </c>
    </row>
    <row r="128" spans="1:65" s="2" customFormat="1" ht="16.5" customHeight="1">
      <c r="A128" s="36"/>
      <c r="B128" s="37"/>
      <c r="C128" s="181" t="s">
        <v>131</v>
      </c>
      <c r="D128" s="181" t="s">
        <v>382</v>
      </c>
      <c r="E128" s="182" t="s">
        <v>3452</v>
      </c>
      <c r="F128" s="183" t="s">
        <v>5241</v>
      </c>
      <c r="G128" s="184" t="s">
        <v>2389</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5525</v>
      </c>
    </row>
    <row r="129" spans="1:65" s="2" customFormat="1" ht="16.5" customHeight="1">
      <c r="A129" s="36"/>
      <c r="B129" s="37"/>
      <c r="C129" s="181" t="s">
        <v>134</v>
      </c>
      <c r="D129" s="181" t="s">
        <v>382</v>
      </c>
      <c r="E129" s="182" t="s">
        <v>3456</v>
      </c>
      <c r="F129" s="183" t="s">
        <v>5243</v>
      </c>
      <c r="G129" s="184" t="s">
        <v>2389</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5526</v>
      </c>
    </row>
    <row r="130" spans="1:65" s="2" customFormat="1" ht="29.25">
      <c r="A130" s="36"/>
      <c r="B130" s="37"/>
      <c r="C130" s="38"/>
      <c r="D130" s="196" t="s">
        <v>1226</v>
      </c>
      <c r="E130" s="38"/>
      <c r="F130" s="248" t="s">
        <v>5245</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2" customFormat="1" ht="16.5" customHeight="1">
      <c r="A131" s="36"/>
      <c r="B131" s="37"/>
      <c r="C131" s="181" t="s">
        <v>8</v>
      </c>
      <c r="D131" s="181" t="s">
        <v>382</v>
      </c>
      <c r="E131" s="182" t="s">
        <v>3458</v>
      </c>
      <c r="F131" s="183" t="s">
        <v>3462</v>
      </c>
      <c r="G131" s="184" t="s">
        <v>2389</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5527</v>
      </c>
    </row>
    <row r="132" spans="1:65" s="2" customFormat="1" ht="19.5">
      <c r="A132" s="36"/>
      <c r="B132" s="37"/>
      <c r="C132" s="38"/>
      <c r="D132" s="196" t="s">
        <v>1226</v>
      </c>
      <c r="E132" s="38"/>
      <c r="F132" s="248" t="s">
        <v>5247</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12" customFormat="1" ht="22.9" customHeight="1">
      <c r="B133" s="165"/>
      <c r="C133" s="166"/>
      <c r="D133" s="167" t="s">
        <v>71</v>
      </c>
      <c r="E133" s="179" t="s">
        <v>2076</v>
      </c>
      <c r="F133" s="179" t="s">
        <v>3534</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380</v>
      </c>
      <c r="BK133" s="178">
        <f>SUM(BK134:BK136)</f>
        <v>0</v>
      </c>
    </row>
    <row r="134" spans="1:65" s="2" customFormat="1" ht="16.5" customHeight="1">
      <c r="A134" s="36"/>
      <c r="B134" s="37"/>
      <c r="C134" s="181" t="s">
        <v>281</v>
      </c>
      <c r="D134" s="181" t="s">
        <v>382</v>
      </c>
      <c r="E134" s="182" t="s">
        <v>3535</v>
      </c>
      <c r="F134" s="183" t="s">
        <v>5248</v>
      </c>
      <c r="G134" s="184" t="s">
        <v>5249</v>
      </c>
      <c r="H134" s="185">
        <v>172</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5528</v>
      </c>
    </row>
    <row r="135" spans="1:65" s="14" customFormat="1" ht="11.25">
      <c r="B135" s="205"/>
      <c r="C135" s="206"/>
      <c r="D135" s="196" t="s">
        <v>388</v>
      </c>
      <c r="E135" s="207" t="s">
        <v>19</v>
      </c>
      <c r="F135" s="208" t="s">
        <v>5529</v>
      </c>
      <c r="G135" s="206"/>
      <c r="H135" s="209">
        <v>172</v>
      </c>
      <c r="I135" s="210"/>
      <c r="J135" s="206"/>
      <c r="K135" s="206"/>
      <c r="L135" s="211"/>
      <c r="M135" s="212"/>
      <c r="N135" s="213"/>
      <c r="O135" s="213"/>
      <c r="P135" s="213"/>
      <c r="Q135" s="213"/>
      <c r="R135" s="213"/>
      <c r="S135" s="213"/>
      <c r="T135" s="214"/>
      <c r="AT135" s="215" t="s">
        <v>388</v>
      </c>
      <c r="AU135" s="215" t="s">
        <v>82</v>
      </c>
      <c r="AV135" s="14" t="s">
        <v>82</v>
      </c>
      <c r="AW135" s="14" t="s">
        <v>33</v>
      </c>
      <c r="AX135" s="14" t="s">
        <v>79</v>
      </c>
      <c r="AY135" s="215" t="s">
        <v>380</v>
      </c>
    </row>
    <row r="136" spans="1:65" s="2" customFormat="1" ht="16.5" customHeight="1">
      <c r="A136" s="36"/>
      <c r="B136" s="37"/>
      <c r="C136" s="181" t="s">
        <v>471</v>
      </c>
      <c r="D136" s="181" t="s">
        <v>382</v>
      </c>
      <c r="E136" s="182" t="s">
        <v>5252</v>
      </c>
      <c r="F136" s="183" t="s">
        <v>5253</v>
      </c>
      <c r="G136" s="184" t="s">
        <v>2678</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5530</v>
      </c>
    </row>
    <row r="137" spans="1:65" s="12" customFormat="1" ht="22.9" customHeight="1">
      <c r="B137" s="165"/>
      <c r="C137" s="166"/>
      <c r="D137" s="167" t="s">
        <v>71</v>
      </c>
      <c r="E137" s="179" t="s">
        <v>2287</v>
      </c>
      <c r="F137" s="179" t="s">
        <v>2288</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380</v>
      </c>
      <c r="BK137" s="178">
        <f>BK138</f>
        <v>0</v>
      </c>
    </row>
    <row r="138" spans="1:65" s="2" customFormat="1" ht="16.5" customHeight="1">
      <c r="A138" s="36"/>
      <c r="B138" s="37"/>
      <c r="C138" s="181" t="s">
        <v>477</v>
      </c>
      <c r="D138" s="181" t="s">
        <v>382</v>
      </c>
      <c r="E138" s="182" t="s">
        <v>5256</v>
      </c>
      <c r="F138" s="183" t="s">
        <v>5257</v>
      </c>
      <c r="G138" s="184" t="s">
        <v>3278</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5531</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5T9qeKr1vUGgfwoE6k9bPSWeydZHw7O28Kzj4lF5FEslMwzE4BPwjaBtuCV6pbDNE58tGbSKQSUz376LteuKHg==" saltValue="HBWQRsUtSw+OkGRnZaWKRDyKZwPGl4cVLVcu5IH4J40kFhT0wHBIq61jr7X0R+SZV1GjKvjek0CwEmqxyK/Hdw==" spinCount="100000" sheet="1" objects="1" scenarios="1" formatColumns="0" formatRows="0" autoFilter="0"/>
  <autoFilter ref="C95:K138" xr:uid="{00000000-0009-0000-0000-00002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5532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314 - Okruh konferenční místnost - M3.05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J123</f>
        <v>0</v>
      </c>
      <c r="K70" s="99"/>
      <c r="L70" s="153"/>
    </row>
    <row r="71" spans="1:47" s="10" customFormat="1" ht="19.899999999999999" customHeight="1">
      <c r="B71" s="149"/>
      <c r="C71" s="99"/>
      <c r="D71" s="150" t="s">
        <v>3465</v>
      </c>
      <c r="E71" s="151"/>
      <c r="F71" s="151"/>
      <c r="G71" s="151"/>
      <c r="H71" s="151"/>
      <c r="I71" s="151"/>
      <c r="J71" s="152">
        <f>J129</f>
        <v>0</v>
      </c>
      <c r="K71" s="99"/>
      <c r="L71" s="153"/>
    </row>
    <row r="72" spans="1:47" s="10" customFormat="1" ht="19.899999999999999" customHeight="1">
      <c r="B72" s="149"/>
      <c r="C72" s="99"/>
      <c r="D72" s="150" t="s">
        <v>361</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314 - Okruh konferenční místnost - M3.05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0.94640000000000002</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P98+P123+P129+P133</f>
        <v>0</v>
      </c>
      <c r="Q97" s="173"/>
      <c r="R97" s="174">
        <f>R98+R123+R129+R133</f>
        <v>0.94640000000000002</v>
      </c>
      <c r="S97" s="173"/>
      <c r="T97" s="175">
        <f>T98+T123+T129+T133</f>
        <v>0</v>
      </c>
      <c r="AR97" s="176" t="s">
        <v>82</v>
      </c>
      <c r="AT97" s="177" t="s">
        <v>71</v>
      </c>
      <c r="AU97" s="177" t="s">
        <v>72</v>
      </c>
      <c r="AY97" s="176" t="s">
        <v>380</v>
      </c>
      <c r="BK97" s="178">
        <f>BK98+BK123+BK129+BK133</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SUM(P99:P122)</f>
        <v>0</v>
      </c>
      <c r="Q98" s="173"/>
      <c r="R98" s="174">
        <f>SUM(R99:R122)</f>
        <v>0.32140000000000002</v>
      </c>
      <c r="S98" s="173"/>
      <c r="T98" s="175">
        <f>SUM(T99:T122)</f>
        <v>0</v>
      </c>
      <c r="AR98" s="176" t="s">
        <v>82</v>
      </c>
      <c r="AT98" s="177" t="s">
        <v>71</v>
      </c>
      <c r="AU98" s="177" t="s">
        <v>79</v>
      </c>
      <c r="AY98" s="176" t="s">
        <v>380</v>
      </c>
      <c r="BK98" s="178">
        <f>SUM(BK99:BK122)</f>
        <v>0</v>
      </c>
    </row>
    <row r="99" spans="1:65" s="2" customFormat="1" ht="21.75" customHeight="1">
      <c r="A99" s="36"/>
      <c r="B99" s="37"/>
      <c r="C99" s="181" t="s">
        <v>79</v>
      </c>
      <c r="D99" s="181" t="s">
        <v>382</v>
      </c>
      <c r="E99" s="182" t="s">
        <v>5487</v>
      </c>
      <c r="F99" s="183" t="s">
        <v>5488</v>
      </c>
      <c r="G99" s="184" t="s">
        <v>641</v>
      </c>
      <c r="H99" s="185">
        <v>6</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5533</v>
      </c>
    </row>
    <row r="100" spans="1:65" s="2" customFormat="1" ht="16.5" customHeight="1">
      <c r="A100" s="36"/>
      <c r="B100" s="37"/>
      <c r="C100" s="227" t="s">
        <v>82</v>
      </c>
      <c r="D100" s="227" t="s">
        <v>465</v>
      </c>
      <c r="E100" s="228" t="s">
        <v>3438</v>
      </c>
      <c r="F100" s="229" t="s">
        <v>5490</v>
      </c>
      <c r="G100" s="230" t="s">
        <v>3278</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5534</v>
      </c>
    </row>
    <row r="101" spans="1:65" s="2" customFormat="1" ht="68.25">
      <c r="A101" s="36"/>
      <c r="B101" s="37"/>
      <c r="C101" s="38"/>
      <c r="D101" s="196" t="s">
        <v>1226</v>
      </c>
      <c r="E101" s="38"/>
      <c r="F101" s="248" t="s">
        <v>5535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24.2" customHeight="1">
      <c r="A102" s="36"/>
      <c r="B102" s="37"/>
      <c r="C102" s="181" t="s">
        <v>99</v>
      </c>
      <c r="D102" s="181" t="s">
        <v>382</v>
      </c>
      <c r="E102" s="182" t="s">
        <v>3432</v>
      </c>
      <c r="F102" s="183" t="s">
        <v>3433</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5536</v>
      </c>
    </row>
    <row r="103" spans="1:65" s="2" customFormat="1" ht="24.2" customHeight="1">
      <c r="A103" s="36"/>
      <c r="B103" s="37"/>
      <c r="C103" s="181" t="s">
        <v>386</v>
      </c>
      <c r="D103" s="181" t="s">
        <v>382</v>
      </c>
      <c r="E103" s="182" t="s">
        <v>3435</v>
      </c>
      <c r="F103" s="183" t="s">
        <v>3436</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5537</v>
      </c>
    </row>
    <row r="104" spans="1:65" s="2" customFormat="1" ht="16.5" customHeight="1">
      <c r="A104" s="36"/>
      <c r="B104" s="37"/>
      <c r="C104" s="181" t="s">
        <v>405</v>
      </c>
      <c r="D104" s="181" t="s">
        <v>382</v>
      </c>
      <c r="E104" s="182" t="s">
        <v>3446</v>
      </c>
      <c r="F104" s="183" t="s">
        <v>5498</v>
      </c>
      <c r="G104" s="184" t="s">
        <v>5499</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5538</v>
      </c>
    </row>
    <row r="105" spans="1:65" s="2" customFormat="1" ht="19.5">
      <c r="A105" s="36"/>
      <c r="B105" s="37"/>
      <c r="C105" s="38"/>
      <c r="D105" s="196" t="s">
        <v>1226</v>
      </c>
      <c r="E105" s="38"/>
      <c r="F105" s="248" t="s">
        <v>5501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411</v>
      </c>
      <c r="G106" s="206"/>
      <c r="H106" s="209">
        <v>6</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16.5" customHeight="1">
      <c r="A107" s="36"/>
      <c r="B107" s="37"/>
      <c r="C107" s="181" t="s">
        <v>411</v>
      </c>
      <c r="D107" s="181" t="s">
        <v>382</v>
      </c>
      <c r="E107" s="182" t="s">
        <v>5503</v>
      </c>
      <c r="F107" s="183" t="s">
        <v>5504</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5539</v>
      </c>
    </row>
    <row r="108" spans="1:65" s="2" customFormat="1" ht="16.5" customHeight="1">
      <c r="A108" s="36"/>
      <c r="B108" s="37"/>
      <c r="C108" s="227" t="s">
        <v>420</v>
      </c>
      <c r="D108" s="227" t="s">
        <v>465</v>
      </c>
      <c r="E108" s="228" t="s">
        <v>3428</v>
      </c>
      <c r="F108" s="229" t="s">
        <v>5540</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5541</v>
      </c>
    </row>
    <row r="109" spans="1:65" s="2" customFormat="1" ht="58.5">
      <c r="A109" s="36"/>
      <c r="B109" s="37"/>
      <c r="C109" s="38"/>
      <c r="D109" s="196" t="s">
        <v>1226</v>
      </c>
      <c r="E109" s="38"/>
      <c r="F109" s="248" t="s">
        <v>5542</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181" t="s">
        <v>424</v>
      </c>
      <c r="D110" s="181" t="s">
        <v>382</v>
      </c>
      <c r="E110" s="182" t="s">
        <v>3311</v>
      </c>
      <c r="F110" s="183" t="s">
        <v>5509</v>
      </c>
      <c r="G110" s="184" t="s">
        <v>3278</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5543</v>
      </c>
    </row>
    <row r="111" spans="1:65" s="2" customFormat="1" ht="58.5">
      <c r="A111" s="36"/>
      <c r="B111" s="37"/>
      <c r="C111" s="38"/>
      <c r="D111" s="196" t="s">
        <v>1226</v>
      </c>
      <c r="E111" s="38"/>
      <c r="F111" s="248" t="s">
        <v>5511</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5447</v>
      </c>
      <c r="F112" s="183" t="s">
        <v>5512</v>
      </c>
      <c r="G112" s="184" t="s">
        <v>5513</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5544</v>
      </c>
    </row>
    <row r="113" spans="1:65" s="2" customFormat="1" ht="29.25">
      <c r="A113" s="36"/>
      <c r="B113" s="37"/>
      <c r="C113" s="38"/>
      <c r="D113" s="196" t="s">
        <v>1226</v>
      </c>
      <c r="E113" s="38"/>
      <c r="F113" s="248" t="s">
        <v>5515</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5233</v>
      </c>
      <c r="F114" s="183" t="s">
        <v>5234</v>
      </c>
      <c r="G114" s="184" t="s">
        <v>452</v>
      </c>
      <c r="H114" s="185">
        <v>41.8</v>
      </c>
      <c r="I114" s="186"/>
      <c r="J114" s="187">
        <f>ROUND(I114*H114,2)</f>
        <v>0</v>
      </c>
      <c r="K114" s="183" t="s">
        <v>19</v>
      </c>
      <c r="L114" s="41"/>
      <c r="M114" s="188" t="s">
        <v>19</v>
      </c>
      <c r="N114" s="189" t="s">
        <v>43</v>
      </c>
      <c r="O114" s="66"/>
      <c r="P114" s="190">
        <f>O114*H114</f>
        <v>0</v>
      </c>
      <c r="Q114" s="190">
        <v>3.0000000000000001E-3</v>
      </c>
      <c r="R114" s="190">
        <f>Q114*H114</f>
        <v>0.12539999999999998</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5545</v>
      </c>
    </row>
    <row r="115" spans="1:65" s="2" customFormat="1" ht="39">
      <c r="A115" s="36"/>
      <c r="B115" s="37"/>
      <c r="C115" s="38"/>
      <c r="D115" s="196" t="s">
        <v>1226</v>
      </c>
      <c r="E115" s="38"/>
      <c r="F115" s="248" t="s">
        <v>5236</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14" customFormat="1" ht="11.25">
      <c r="B116" s="205"/>
      <c r="C116" s="206"/>
      <c r="D116" s="196" t="s">
        <v>388</v>
      </c>
      <c r="E116" s="207" t="s">
        <v>19</v>
      </c>
      <c r="F116" s="208" t="s">
        <v>5546</v>
      </c>
      <c r="G116" s="206"/>
      <c r="H116" s="209">
        <v>35.200000000000003</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3" customFormat="1" ht="11.25">
      <c r="B117" s="194"/>
      <c r="C117" s="195"/>
      <c r="D117" s="196" t="s">
        <v>388</v>
      </c>
      <c r="E117" s="197" t="s">
        <v>19</v>
      </c>
      <c r="F117" s="198" t="s">
        <v>5518</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5521</v>
      </c>
      <c r="G118" s="206"/>
      <c r="H118" s="209">
        <v>6.6</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3" customFormat="1" ht="11.25">
      <c r="B119" s="194"/>
      <c r="C119" s="195"/>
      <c r="D119" s="196" t="s">
        <v>388</v>
      </c>
      <c r="E119" s="197" t="s">
        <v>19</v>
      </c>
      <c r="F119" s="198" t="s">
        <v>5520</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5" customFormat="1" ht="11.25">
      <c r="B120" s="216"/>
      <c r="C120" s="217"/>
      <c r="D120" s="196" t="s">
        <v>388</v>
      </c>
      <c r="E120" s="218" t="s">
        <v>19</v>
      </c>
      <c r="F120" s="219" t="s">
        <v>419</v>
      </c>
      <c r="G120" s="217"/>
      <c r="H120" s="220">
        <v>41.800000000000004</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181" t="s">
        <v>125</v>
      </c>
      <c r="D121" s="181" t="s">
        <v>382</v>
      </c>
      <c r="E121" s="182" t="s">
        <v>3895</v>
      </c>
      <c r="F121" s="183" t="s">
        <v>5239</v>
      </c>
      <c r="G121" s="184" t="s">
        <v>452</v>
      </c>
      <c r="H121" s="185">
        <v>38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5547</v>
      </c>
    </row>
    <row r="122" spans="1:65" s="14" customFormat="1" ht="11.25">
      <c r="B122" s="205"/>
      <c r="C122" s="206"/>
      <c r="D122" s="196" t="s">
        <v>388</v>
      </c>
      <c r="E122" s="207" t="s">
        <v>19</v>
      </c>
      <c r="F122" s="208" t="s">
        <v>5548</v>
      </c>
      <c r="G122" s="206"/>
      <c r="H122" s="209">
        <v>38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12" customFormat="1" ht="22.9" customHeight="1">
      <c r="B123" s="165"/>
      <c r="C123" s="166"/>
      <c r="D123" s="167" t="s">
        <v>71</v>
      </c>
      <c r="E123" s="179" t="s">
        <v>3450</v>
      </c>
      <c r="F123" s="179" t="s">
        <v>3451</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380</v>
      </c>
      <c r="BK123" s="178">
        <f>SUM(BK124:BK128)</f>
        <v>0</v>
      </c>
    </row>
    <row r="124" spans="1:65" s="2" customFormat="1" ht="16.5" customHeight="1">
      <c r="A124" s="36"/>
      <c r="B124" s="37"/>
      <c r="C124" s="181" t="s">
        <v>128</v>
      </c>
      <c r="D124" s="181" t="s">
        <v>382</v>
      </c>
      <c r="E124" s="182" t="s">
        <v>3452</v>
      </c>
      <c r="F124" s="183" t="s">
        <v>5241</v>
      </c>
      <c r="G124" s="184" t="s">
        <v>2389</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5549</v>
      </c>
    </row>
    <row r="125" spans="1:65" s="2" customFormat="1" ht="16.5" customHeight="1">
      <c r="A125" s="36"/>
      <c r="B125" s="37"/>
      <c r="C125" s="181" t="s">
        <v>131</v>
      </c>
      <c r="D125" s="181" t="s">
        <v>382</v>
      </c>
      <c r="E125" s="182" t="s">
        <v>3456</v>
      </c>
      <c r="F125" s="183" t="s">
        <v>5243</v>
      </c>
      <c r="G125" s="184" t="s">
        <v>2389</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5550</v>
      </c>
    </row>
    <row r="126" spans="1:65" s="2" customFormat="1" ht="29.25">
      <c r="A126" s="36"/>
      <c r="B126" s="37"/>
      <c r="C126" s="38"/>
      <c r="D126" s="196" t="s">
        <v>1226</v>
      </c>
      <c r="E126" s="38"/>
      <c r="F126" s="248" t="s">
        <v>5245</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2" customFormat="1" ht="16.5" customHeight="1">
      <c r="A127" s="36"/>
      <c r="B127" s="37"/>
      <c r="C127" s="181" t="s">
        <v>134</v>
      </c>
      <c r="D127" s="181" t="s">
        <v>382</v>
      </c>
      <c r="E127" s="182" t="s">
        <v>3458</v>
      </c>
      <c r="F127" s="183" t="s">
        <v>3462</v>
      </c>
      <c r="G127" s="184" t="s">
        <v>2389</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5551</v>
      </c>
    </row>
    <row r="128" spans="1:65" s="2" customFormat="1" ht="19.5">
      <c r="A128" s="36"/>
      <c r="B128" s="37"/>
      <c r="C128" s="38"/>
      <c r="D128" s="196" t="s">
        <v>1226</v>
      </c>
      <c r="E128" s="38"/>
      <c r="F128" s="248" t="s">
        <v>5247</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12" customFormat="1" ht="22.9" customHeight="1">
      <c r="B129" s="165"/>
      <c r="C129" s="166"/>
      <c r="D129" s="167" t="s">
        <v>71</v>
      </c>
      <c r="E129" s="179" t="s">
        <v>2076</v>
      </c>
      <c r="F129" s="179" t="s">
        <v>3534</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380</v>
      </c>
      <c r="BK129" s="178">
        <f>SUM(BK130:BK132)</f>
        <v>0</v>
      </c>
    </row>
    <row r="130" spans="1:65" s="2" customFormat="1" ht="16.5" customHeight="1">
      <c r="A130" s="36"/>
      <c r="B130" s="37"/>
      <c r="C130" s="181" t="s">
        <v>8</v>
      </c>
      <c r="D130" s="181" t="s">
        <v>382</v>
      </c>
      <c r="E130" s="182" t="s">
        <v>3535</v>
      </c>
      <c r="F130" s="183" t="s">
        <v>5248</v>
      </c>
      <c r="G130" s="184" t="s">
        <v>5249</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5552</v>
      </c>
    </row>
    <row r="131" spans="1:65" s="14" customFormat="1" ht="11.25">
      <c r="B131" s="205"/>
      <c r="C131" s="206"/>
      <c r="D131" s="196" t="s">
        <v>388</v>
      </c>
      <c r="E131" s="207" t="s">
        <v>19</v>
      </c>
      <c r="F131" s="208" t="s">
        <v>5553</v>
      </c>
      <c r="G131" s="206"/>
      <c r="H131" s="209">
        <v>76</v>
      </c>
      <c r="I131" s="210"/>
      <c r="J131" s="206"/>
      <c r="K131" s="206"/>
      <c r="L131" s="211"/>
      <c r="M131" s="212"/>
      <c r="N131" s="213"/>
      <c r="O131" s="213"/>
      <c r="P131" s="213"/>
      <c r="Q131" s="213"/>
      <c r="R131" s="213"/>
      <c r="S131" s="213"/>
      <c r="T131" s="214"/>
      <c r="AT131" s="215" t="s">
        <v>388</v>
      </c>
      <c r="AU131" s="215" t="s">
        <v>82</v>
      </c>
      <c r="AV131" s="14" t="s">
        <v>82</v>
      </c>
      <c r="AW131" s="14" t="s">
        <v>33</v>
      </c>
      <c r="AX131" s="14" t="s">
        <v>79</v>
      </c>
      <c r="AY131" s="215" t="s">
        <v>380</v>
      </c>
    </row>
    <row r="132" spans="1:65" s="2" customFormat="1" ht="16.5" customHeight="1">
      <c r="A132" s="36"/>
      <c r="B132" s="37"/>
      <c r="C132" s="181" t="s">
        <v>281</v>
      </c>
      <c r="D132" s="181" t="s">
        <v>382</v>
      </c>
      <c r="E132" s="182" t="s">
        <v>5252</v>
      </c>
      <c r="F132" s="183" t="s">
        <v>5253</v>
      </c>
      <c r="G132" s="184" t="s">
        <v>2678</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5554</v>
      </c>
    </row>
    <row r="133" spans="1:65" s="12" customFormat="1" ht="22.9" customHeight="1">
      <c r="B133" s="165"/>
      <c r="C133" s="166"/>
      <c r="D133" s="167" t="s">
        <v>71</v>
      </c>
      <c r="E133" s="179" t="s">
        <v>2287</v>
      </c>
      <c r="F133" s="179" t="s">
        <v>2288</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380</v>
      </c>
      <c r="BK133" s="178">
        <f>BK134</f>
        <v>0</v>
      </c>
    </row>
    <row r="134" spans="1:65" s="2" customFormat="1" ht="16.5" customHeight="1">
      <c r="A134" s="36"/>
      <c r="B134" s="37"/>
      <c r="C134" s="181" t="s">
        <v>471</v>
      </c>
      <c r="D134" s="181" t="s">
        <v>382</v>
      </c>
      <c r="E134" s="182" t="s">
        <v>5256</v>
      </c>
      <c r="F134" s="183" t="s">
        <v>5257</v>
      </c>
      <c r="G134" s="184" t="s">
        <v>3278</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5555</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A7nXdjBJMHF97n7wXrj55nOoPa7q3wk2h1kTk6fJi2frI98piBvu5Jhz2crC2XapEBvztvdzVEyvYcbLbDNg9A==" saltValue="JtDVBYJ0TdiKywvmzlW0FfFcqp1RQhvOQfhe4eCkNiXm/3vwn7JF9sWkBxZOVKq4g8k+/XtqRoEDrZMCcXcZdQ==" spinCount="100000" sheet="1" objects="1" scenarios="1" formatColumns="0" formatRows="0" autoFilter="0"/>
  <autoFilter ref="C95:K134"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5556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316 - Okruh kanceláře - M3.07, 3.08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J123</f>
        <v>0</v>
      </c>
      <c r="K70" s="99"/>
      <c r="L70" s="153"/>
    </row>
    <row r="71" spans="1:47" s="10" customFormat="1" ht="19.899999999999999" customHeight="1">
      <c r="B71" s="149"/>
      <c r="C71" s="99"/>
      <c r="D71" s="150" t="s">
        <v>3465</v>
      </c>
      <c r="E71" s="151"/>
      <c r="F71" s="151"/>
      <c r="G71" s="151"/>
      <c r="H71" s="151"/>
      <c r="I71" s="151"/>
      <c r="J71" s="152">
        <f>J129</f>
        <v>0</v>
      </c>
      <c r="K71" s="99"/>
      <c r="L71" s="153"/>
    </row>
    <row r="72" spans="1:47" s="10" customFormat="1" ht="19.899999999999999" customHeight="1">
      <c r="B72" s="149"/>
      <c r="C72" s="99"/>
      <c r="D72" s="150" t="s">
        <v>361</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316 - Okruh kanceláře - M3.07, 3.08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0.92660000000000009</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P98+P123+P129+P133</f>
        <v>0</v>
      </c>
      <c r="Q97" s="173"/>
      <c r="R97" s="174">
        <f>R98+R123+R129+R133</f>
        <v>0.92660000000000009</v>
      </c>
      <c r="S97" s="173"/>
      <c r="T97" s="175">
        <f>T98+T123+T129+T133</f>
        <v>0</v>
      </c>
      <c r="AR97" s="176" t="s">
        <v>82</v>
      </c>
      <c r="AT97" s="177" t="s">
        <v>71</v>
      </c>
      <c r="AU97" s="177" t="s">
        <v>72</v>
      </c>
      <c r="AY97" s="176" t="s">
        <v>380</v>
      </c>
      <c r="BK97" s="178">
        <f>BK98+BK123+BK129+BK133</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SUM(P99:P122)</f>
        <v>0</v>
      </c>
      <c r="Q98" s="173"/>
      <c r="R98" s="174">
        <f>SUM(R99:R122)</f>
        <v>0.30160000000000003</v>
      </c>
      <c r="S98" s="173"/>
      <c r="T98" s="175">
        <f>SUM(T99:T122)</f>
        <v>0</v>
      </c>
      <c r="AR98" s="176" t="s">
        <v>82</v>
      </c>
      <c r="AT98" s="177" t="s">
        <v>71</v>
      </c>
      <c r="AU98" s="177" t="s">
        <v>79</v>
      </c>
      <c r="AY98" s="176" t="s">
        <v>380</v>
      </c>
      <c r="BK98" s="178">
        <f>SUM(BK99:BK122)</f>
        <v>0</v>
      </c>
    </row>
    <row r="99" spans="1:65" s="2" customFormat="1" ht="21.75" customHeight="1">
      <c r="A99" s="36"/>
      <c r="B99" s="37"/>
      <c r="C99" s="181" t="s">
        <v>79</v>
      </c>
      <c r="D99" s="181" t="s">
        <v>382</v>
      </c>
      <c r="E99" s="182" t="s">
        <v>5487</v>
      </c>
      <c r="F99" s="183" t="s">
        <v>5488</v>
      </c>
      <c r="G99" s="184" t="s">
        <v>641</v>
      </c>
      <c r="H99" s="185">
        <v>6</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5557</v>
      </c>
    </row>
    <row r="100" spans="1:65" s="2" customFormat="1" ht="16.5" customHeight="1">
      <c r="A100" s="36"/>
      <c r="B100" s="37"/>
      <c r="C100" s="227" t="s">
        <v>82</v>
      </c>
      <c r="D100" s="227" t="s">
        <v>465</v>
      </c>
      <c r="E100" s="228" t="s">
        <v>3438</v>
      </c>
      <c r="F100" s="229" t="s">
        <v>5490</v>
      </c>
      <c r="G100" s="230" t="s">
        <v>3278</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5558</v>
      </c>
    </row>
    <row r="101" spans="1:65" s="2" customFormat="1" ht="68.25">
      <c r="A101" s="36"/>
      <c r="B101" s="37"/>
      <c r="C101" s="38"/>
      <c r="D101" s="196" t="s">
        <v>1226</v>
      </c>
      <c r="E101" s="38"/>
      <c r="F101" s="248" t="s">
        <v>5559</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24.2" customHeight="1">
      <c r="A102" s="36"/>
      <c r="B102" s="37"/>
      <c r="C102" s="181" t="s">
        <v>99</v>
      </c>
      <c r="D102" s="181" t="s">
        <v>382</v>
      </c>
      <c r="E102" s="182" t="s">
        <v>3432</v>
      </c>
      <c r="F102" s="183" t="s">
        <v>3433</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5560</v>
      </c>
    </row>
    <row r="103" spans="1:65" s="2" customFormat="1" ht="24.2" customHeight="1">
      <c r="A103" s="36"/>
      <c r="B103" s="37"/>
      <c r="C103" s="181" t="s">
        <v>386</v>
      </c>
      <c r="D103" s="181" t="s">
        <v>382</v>
      </c>
      <c r="E103" s="182" t="s">
        <v>3435</v>
      </c>
      <c r="F103" s="183" t="s">
        <v>3436</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5561</v>
      </c>
    </row>
    <row r="104" spans="1:65" s="2" customFormat="1" ht="16.5" customHeight="1">
      <c r="A104" s="36"/>
      <c r="B104" s="37"/>
      <c r="C104" s="181" t="s">
        <v>405</v>
      </c>
      <c r="D104" s="181" t="s">
        <v>382</v>
      </c>
      <c r="E104" s="182" t="s">
        <v>3446</v>
      </c>
      <c r="F104" s="183" t="s">
        <v>5498</v>
      </c>
      <c r="G104" s="184" t="s">
        <v>5499</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5562</v>
      </c>
    </row>
    <row r="105" spans="1:65" s="2" customFormat="1" ht="19.5">
      <c r="A105" s="36"/>
      <c r="B105" s="37"/>
      <c r="C105" s="38"/>
      <c r="D105" s="196" t="s">
        <v>1226</v>
      </c>
      <c r="E105" s="38"/>
      <c r="F105" s="248" t="s">
        <v>5501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411</v>
      </c>
      <c r="G106" s="206"/>
      <c r="H106" s="209">
        <v>6</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16.5" customHeight="1">
      <c r="A107" s="36"/>
      <c r="B107" s="37"/>
      <c r="C107" s="181" t="s">
        <v>411</v>
      </c>
      <c r="D107" s="181" t="s">
        <v>382</v>
      </c>
      <c r="E107" s="182" t="s">
        <v>5503</v>
      </c>
      <c r="F107" s="183" t="s">
        <v>5504</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5563</v>
      </c>
    </row>
    <row r="108" spans="1:65" s="2" customFormat="1" ht="16.5" customHeight="1">
      <c r="A108" s="36"/>
      <c r="B108" s="37"/>
      <c r="C108" s="227" t="s">
        <v>420</v>
      </c>
      <c r="D108" s="227" t="s">
        <v>465</v>
      </c>
      <c r="E108" s="228" t="s">
        <v>3428</v>
      </c>
      <c r="F108" s="229" t="s">
        <v>5540</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5564</v>
      </c>
    </row>
    <row r="109" spans="1:65" s="2" customFormat="1" ht="58.5">
      <c r="A109" s="36"/>
      <c r="B109" s="37"/>
      <c r="C109" s="38"/>
      <c r="D109" s="196" t="s">
        <v>1226</v>
      </c>
      <c r="E109" s="38"/>
      <c r="F109" s="248" t="s">
        <v>5565</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181" t="s">
        <v>424</v>
      </c>
      <c r="D110" s="181" t="s">
        <v>382</v>
      </c>
      <c r="E110" s="182" t="s">
        <v>3311</v>
      </c>
      <c r="F110" s="183" t="s">
        <v>5509</v>
      </c>
      <c r="G110" s="184" t="s">
        <v>3278</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5566</v>
      </c>
    </row>
    <row r="111" spans="1:65" s="2" customFormat="1" ht="58.5">
      <c r="A111" s="36"/>
      <c r="B111" s="37"/>
      <c r="C111" s="38"/>
      <c r="D111" s="196" t="s">
        <v>1226</v>
      </c>
      <c r="E111" s="38"/>
      <c r="F111" s="248" t="s">
        <v>5511</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5447</v>
      </c>
      <c r="F112" s="183" t="s">
        <v>5512</v>
      </c>
      <c r="G112" s="184" t="s">
        <v>5513</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5567</v>
      </c>
    </row>
    <row r="113" spans="1:65" s="2" customFormat="1" ht="29.25">
      <c r="A113" s="36"/>
      <c r="B113" s="37"/>
      <c r="C113" s="38"/>
      <c r="D113" s="196" t="s">
        <v>1226</v>
      </c>
      <c r="E113" s="38"/>
      <c r="F113" s="248" t="s">
        <v>5515</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5233</v>
      </c>
      <c r="F114" s="183" t="s">
        <v>5234</v>
      </c>
      <c r="G114" s="184" t="s">
        <v>452</v>
      </c>
      <c r="H114" s="185">
        <v>35.200000000000003</v>
      </c>
      <c r="I114" s="186"/>
      <c r="J114" s="187">
        <f>ROUND(I114*H114,2)</f>
        <v>0</v>
      </c>
      <c r="K114" s="183" t="s">
        <v>19</v>
      </c>
      <c r="L114" s="41"/>
      <c r="M114" s="188" t="s">
        <v>19</v>
      </c>
      <c r="N114" s="189" t="s">
        <v>43</v>
      </c>
      <c r="O114" s="66"/>
      <c r="P114" s="190">
        <f>O114*H114</f>
        <v>0</v>
      </c>
      <c r="Q114" s="190">
        <v>3.0000000000000001E-3</v>
      </c>
      <c r="R114" s="190">
        <f>Q114*H114</f>
        <v>0.10560000000000001</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5568</v>
      </c>
    </row>
    <row r="115" spans="1:65" s="2" customFormat="1" ht="39">
      <c r="A115" s="36"/>
      <c r="B115" s="37"/>
      <c r="C115" s="38"/>
      <c r="D115" s="196" t="s">
        <v>1226</v>
      </c>
      <c r="E115" s="38"/>
      <c r="F115" s="248" t="s">
        <v>5236</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14" customFormat="1" ht="11.25">
      <c r="B116" s="205"/>
      <c r="C116" s="206"/>
      <c r="D116" s="196" t="s">
        <v>388</v>
      </c>
      <c r="E116" s="207" t="s">
        <v>19</v>
      </c>
      <c r="F116" s="208" t="s">
        <v>5519</v>
      </c>
      <c r="G116" s="206"/>
      <c r="H116" s="209">
        <v>17.600000000000001</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3" customFormat="1" ht="11.25">
      <c r="B117" s="194"/>
      <c r="C117" s="195"/>
      <c r="D117" s="196" t="s">
        <v>388</v>
      </c>
      <c r="E117" s="197" t="s">
        <v>19</v>
      </c>
      <c r="F117" s="198" t="s">
        <v>5518</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5519</v>
      </c>
      <c r="G118" s="206"/>
      <c r="H118" s="209">
        <v>17.600000000000001</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3" customFormat="1" ht="11.25">
      <c r="B119" s="194"/>
      <c r="C119" s="195"/>
      <c r="D119" s="196" t="s">
        <v>388</v>
      </c>
      <c r="E119" s="197" t="s">
        <v>19</v>
      </c>
      <c r="F119" s="198" t="s">
        <v>5520</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5" customFormat="1" ht="11.25">
      <c r="B120" s="216"/>
      <c r="C120" s="217"/>
      <c r="D120" s="196" t="s">
        <v>388</v>
      </c>
      <c r="E120" s="218" t="s">
        <v>19</v>
      </c>
      <c r="F120" s="219" t="s">
        <v>419</v>
      </c>
      <c r="G120" s="217"/>
      <c r="H120" s="220">
        <v>35.200000000000003</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181" t="s">
        <v>125</v>
      </c>
      <c r="D121" s="181" t="s">
        <v>382</v>
      </c>
      <c r="E121" s="182" t="s">
        <v>3895</v>
      </c>
      <c r="F121" s="183" t="s">
        <v>5239</v>
      </c>
      <c r="G121" s="184" t="s">
        <v>452</v>
      </c>
      <c r="H121" s="185">
        <v>32</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5569</v>
      </c>
    </row>
    <row r="122" spans="1:65" s="14" customFormat="1" ht="11.25">
      <c r="B122" s="205"/>
      <c r="C122" s="206"/>
      <c r="D122" s="196" t="s">
        <v>388</v>
      </c>
      <c r="E122" s="207" t="s">
        <v>19</v>
      </c>
      <c r="F122" s="208" t="s">
        <v>546</v>
      </c>
      <c r="G122" s="206"/>
      <c r="H122" s="209">
        <v>32</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12" customFormat="1" ht="22.9" customHeight="1">
      <c r="B123" s="165"/>
      <c r="C123" s="166"/>
      <c r="D123" s="167" t="s">
        <v>71</v>
      </c>
      <c r="E123" s="179" t="s">
        <v>3450</v>
      </c>
      <c r="F123" s="179" t="s">
        <v>3451</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380</v>
      </c>
      <c r="BK123" s="178">
        <f>SUM(BK124:BK128)</f>
        <v>0</v>
      </c>
    </row>
    <row r="124" spans="1:65" s="2" customFormat="1" ht="16.5" customHeight="1">
      <c r="A124" s="36"/>
      <c r="B124" s="37"/>
      <c r="C124" s="181" t="s">
        <v>128</v>
      </c>
      <c r="D124" s="181" t="s">
        <v>382</v>
      </c>
      <c r="E124" s="182" t="s">
        <v>3452</v>
      </c>
      <c r="F124" s="183" t="s">
        <v>5241</v>
      </c>
      <c r="G124" s="184" t="s">
        <v>2389</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5570</v>
      </c>
    </row>
    <row r="125" spans="1:65" s="2" customFormat="1" ht="16.5" customHeight="1">
      <c r="A125" s="36"/>
      <c r="B125" s="37"/>
      <c r="C125" s="181" t="s">
        <v>131</v>
      </c>
      <c r="D125" s="181" t="s">
        <v>382</v>
      </c>
      <c r="E125" s="182" t="s">
        <v>3456</v>
      </c>
      <c r="F125" s="183" t="s">
        <v>5243</v>
      </c>
      <c r="G125" s="184" t="s">
        <v>2389</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5571</v>
      </c>
    </row>
    <row r="126" spans="1:65" s="2" customFormat="1" ht="29.25">
      <c r="A126" s="36"/>
      <c r="B126" s="37"/>
      <c r="C126" s="38"/>
      <c r="D126" s="196" t="s">
        <v>1226</v>
      </c>
      <c r="E126" s="38"/>
      <c r="F126" s="248" t="s">
        <v>5245</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2" customFormat="1" ht="16.5" customHeight="1">
      <c r="A127" s="36"/>
      <c r="B127" s="37"/>
      <c r="C127" s="181" t="s">
        <v>134</v>
      </c>
      <c r="D127" s="181" t="s">
        <v>382</v>
      </c>
      <c r="E127" s="182" t="s">
        <v>3458</v>
      </c>
      <c r="F127" s="183" t="s">
        <v>3462</v>
      </c>
      <c r="G127" s="184" t="s">
        <v>2389</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5572</v>
      </c>
    </row>
    <row r="128" spans="1:65" s="2" customFormat="1" ht="19.5">
      <c r="A128" s="36"/>
      <c r="B128" s="37"/>
      <c r="C128" s="38"/>
      <c r="D128" s="196" t="s">
        <v>1226</v>
      </c>
      <c r="E128" s="38"/>
      <c r="F128" s="248" t="s">
        <v>5247</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12" customFormat="1" ht="22.9" customHeight="1">
      <c r="B129" s="165"/>
      <c r="C129" s="166"/>
      <c r="D129" s="167" t="s">
        <v>71</v>
      </c>
      <c r="E129" s="179" t="s">
        <v>2076</v>
      </c>
      <c r="F129" s="179" t="s">
        <v>3534</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380</v>
      </c>
      <c r="BK129" s="178">
        <f>SUM(BK130:BK132)</f>
        <v>0</v>
      </c>
    </row>
    <row r="130" spans="1:65" s="2" customFormat="1" ht="16.5" customHeight="1">
      <c r="A130" s="36"/>
      <c r="B130" s="37"/>
      <c r="C130" s="181" t="s">
        <v>8</v>
      </c>
      <c r="D130" s="181" t="s">
        <v>382</v>
      </c>
      <c r="E130" s="182" t="s">
        <v>3535</v>
      </c>
      <c r="F130" s="183" t="s">
        <v>5248</v>
      </c>
      <c r="G130" s="184" t="s">
        <v>5249</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5573</v>
      </c>
    </row>
    <row r="131" spans="1:65" s="14" customFormat="1" ht="11.25">
      <c r="B131" s="205"/>
      <c r="C131" s="206"/>
      <c r="D131" s="196" t="s">
        <v>388</v>
      </c>
      <c r="E131" s="207" t="s">
        <v>19</v>
      </c>
      <c r="F131" s="208" t="s">
        <v>5553</v>
      </c>
      <c r="G131" s="206"/>
      <c r="H131" s="209">
        <v>76</v>
      </c>
      <c r="I131" s="210"/>
      <c r="J131" s="206"/>
      <c r="K131" s="206"/>
      <c r="L131" s="211"/>
      <c r="M131" s="212"/>
      <c r="N131" s="213"/>
      <c r="O131" s="213"/>
      <c r="P131" s="213"/>
      <c r="Q131" s="213"/>
      <c r="R131" s="213"/>
      <c r="S131" s="213"/>
      <c r="T131" s="214"/>
      <c r="AT131" s="215" t="s">
        <v>388</v>
      </c>
      <c r="AU131" s="215" t="s">
        <v>82</v>
      </c>
      <c r="AV131" s="14" t="s">
        <v>82</v>
      </c>
      <c r="AW131" s="14" t="s">
        <v>33</v>
      </c>
      <c r="AX131" s="14" t="s">
        <v>79</v>
      </c>
      <c r="AY131" s="215" t="s">
        <v>380</v>
      </c>
    </row>
    <row r="132" spans="1:65" s="2" customFormat="1" ht="16.5" customHeight="1">
      <c r="A132" s="36"/>
      <c r="B132" s="37"/>
      <c r="C132" s="181" t="s">
        <v>281</v>
      </c>
      <c r="D132" s="181" t="s">
        <v>382</v>
      </c>
      <c r="E132" s="182" t="s">
        <v>5252</v>
      </c>
      <c r="F132" s="183" t="s">
        <v>5253</v>
      </c>
      <c r="G132" s="184" t="s">
        <v>2678</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5574</v>
      </c>
    </row>
    <row r="133" spans="1:65" s="12" customFormat="1" ht="22.9" customHeight="1">
      <c r="B133" s="165"/>
      <c r="C133" s="166"/>
      <c r="D133" s="167" t="s">
        <v>71</v>
      </c>
      <c r="E133" s="179" t="s">
        <v>2287</v>
      </c>
      <c r="F133" s="179" t="s">
        <v>2288</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380</v>
      </c>
      <c r="BK133" s="178">
        <f>BK134</f>
        <v>0</v>
      </c>
    </row>
    <row r="134" spans="1:65" s="2" customFormat="1" ht="16.5" customHeight="1">
      <c r="A134" s="36"/>
      <c r="B134" s="37"/>
      <c r="C134" s="181" t="s">
        <v>471</v>
      </c>
      <c r="D134" s="181" t="s">
        <v>382</v>
      </c>
      <c r="E134" s="182" t="s">
        <v>5256</v>
      </c>
      <c r="F134" s="183" t="s">
        <v>5257</v>
      </c>
      <c r="G134" s="184" t="s">
        <v>3278</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5575</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LCByi3wt/ZtKwmCsuqH7FaAJJxaRuKrNE5ucYPpS2WAK9eACfUZAKIx3q6TKBKZnzHQl6ekknObCsZqnWfiDrw==" saltValue="0kAaX+BiE+q+o3fccq36Rx140JcrL2v33w2iRk9kCrSZxyZbQe0BZNgMDFU9Cx4wWLCQn3f/jkgPWTj3iNVyOg==" spinCount="100000" sheet="1" objects="1" scenarios="1" formatColumns="0" formatRows="0" autoFilter="0"/>
  <autoFilter ref="C95:K134"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5576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410 - Okruh kanceláře - M3.13, 2.12, 2.13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J122</f>
        <v>0</v>
      </c>
      <c r="K70" s="99"/>
      <c r="L70" s="153"/>
    </row>
    <row r="71" spans="1:47" s="10" customFormat="1" ht="19.899999999999999" customHeight="1">
      <c r="B71" s="149"/>
      <c r="C71" s="99"/>
      <c r="D71" s="150" t="s">
        <v>3236</v>
      </c>
      <c r="E71" s="151"/>
      <c r="F71" s="151"/>
      <c r="G71" s="151"/>
      <c r="H71" s="151"/>
      <c r="I71" s="151"/>
      <c r="J71" s="152">
        <f>J125</f>
        <v>0</v>
      </c>
      <c r="K71" s="99"/>
      <c r="L71" s="153"/>
    </row>
    <row r="72" spans="1:47" s="10" customFormat="1" ht="19.899999999999999" customHeight="1">
      <c r="B72" s="149"/>
      <c r="C72" s="99"/>
      <c r="D72" s="150" t="s">
        <v>3465</v>
      </c>
      <c r="E72" s="151"/>
      <c r="F72" s="151"/>
      <c r="G72" s="151"/>
      <c r="H72" s="151"/>
      <c r="I72" s="151"/>
      <c r="J72" s="152">
        <f>J131</f>
        <v>0</v>
      </c>
      <c r="K72" s="99"/>
      <c r="L72" s="153"/>
    </row>
    <row r="73" spans="1:47" s="10" customFormat="1" ht="19.899999999999999" customHeight="1">
      <c r="B73" s="149"/>
      <c r="C73" s="99"/>
      <c r="D73" s="150" t="s">
        <v>361</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410 - Okruh kanceláře - M3.13, 2.12, 2.13</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0.93829999999999991</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P99+P122+P125+P131+P135</f>
        <v>0</v>
      </c>
      <c r="Q98" s="173"/>
      <c r="R98" s="174">
        <f>R99+R122+R125+R131+R135</f>
        <v>0.93829999999999991</v>
      </c>
      <c r="S98" s="173"/>
      <c r="T98" s="175">
        <f>T99+T122+T125+T131+T135</f>
        <v>0</v>
      </c>
      <c r="AR98" s="176" t="s">
        <v>82</v>
      </c>
      <c r="AT98" s="177" t="s">
        <v>71</v>
      </c>
      <c r="AU98" s="177" t="s">
        <v>72</v>
      </c>
      <c r="AY98" s="176" t="s">
        <v>380</v>
      </c>
      <c r="BK98" s="178">
        <f>BK99+BK122+BK125+BK131+BK135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SUM(P100:P121)</f>
        <v>0</v>
      </c>
      <c r="Q99" s="173"/>
      <c r="R99" s="174">
        <f>SUM(R100:R121)</f>
        <v>0.31329999999999997</v>
      </c>
      <c r="S99" s="173"/>
      <c r="T99" s="175">
        <f>SUM(T100:T121)</f>
        <v>0</v>
      </c>
      <c r="AR99" s="176" t="s">
        <v>82</v>
      </c>
      <c r="AT99" s="177" t="s">
        <v>71</v>
      </c>
      <c r="AU99" s="177" t="s">
        <v>79</v>
      </c>
      <c r="AY99" s="176" t="s">
        <v>380</v>
      </c>
      <c r="BK99" s="178">
        <f>SUM(BK100:BK121)</f>
        <v>0</v>
      </c>
    </row>
    <row r="100" spans="1:65" s="2" customFormat="1" ht="21.75" customHeight="1">
      <c r="A100" s="36"/>
      <c r="B100" s="37"/>
      <c r="C100" s="181" t="s">
        <v>79</v>
      </c>
      <c r="D100" s="181" t="s">
        <v>382</v>
      </c>
      <c r="E100" s="182" t="s">
        <v>5487</v>
      </c>
      <c r="F100" s="183" t="s">
        <v>5488</v>
      </c>
      <c r="G100" s="184" t="s">
        <v>641</v>
      </c>
      <c r="H100" s="185">
        <v>3</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5577</v>
      </c>
    </row>
    <row r="101" spans="1:65" s="2" customFormat="1" ht="16.5" customHeight="1">
      <c r="A101" s="36"/>
      <c r="B101" s="37"/>
      <c r="C101" s="227" t="s">
        <v>82</v>
      </c>
      <c r="D101" s="227" t="s">
        <v>465</v>
      </c>
      <c r="E101" s="228" t="s">
        <v>3438</v>
      </c>
      <c r="F101" s="229" t="s">
        <v>5578</v>
      </c>
      <c r="G101" s="230" t="s">
        <v>3278</v>
      </c>
      <c r="H101" s="231">
        <v>3</v>
      </c>
      <c r="I101" s="232"/>
      <c r="J101" s="233">
        <f>ROUND(I101*H101,2)</f>
        <v>0</v>
      </c>
      <c r="K101" s="229" t="s">
        <v>19</v>
      </c>
      <c r="L101" s="234"/>
      <c r="M101" s="235" t="s">
        <v>19</v>
      </c>
      <c r="N101" s="236" t="s">
        <v>43</v>
      </c>
      <c r="O101" s="66"/>
      <c r="P101" s="190">
        <f>O101*H101</f>
        <v>0</v>
      </c>
      <c r="Q101" s="190">
        <v>1.4E-2</v>
      </c>
      <c r="R101" s="190">
        <f>Q101*H101</f>
        <v>4.2000000000000003E-2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5579</v>
      </c>
    </row>
    <row r="102" spans="1:65" s="2" customFormat="1" ht="68.25">
      <c r="A102" s="36"/>
      <c r="B102" s="37"/>
      <c r="C102" s="38"/>
      <c r="D102" s="196" t="s">
        <v>1226</v>
      </c>
      <c r="E102" s="38"/>
      <c r="F102" s="248" t="s">
        <v>5580</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5581</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5582</v>
      </c>
    </row>
    <row r="105" spans="1:65" s="2" customFormat="1" ht="16.5" customHeight="1">
      <c r="A105" s="36"/>
      <c r="B105" s="37"/>
      <c r="C105" s="181" t="s">
        <v>405</v>
      </c>
      <c r="D105" s="181" t="s">
        <v>382</v>
      </c>
      <c r="E105" s="182" t="s">
        <v>3446</v>
      </c>
      <c r="F105" s="183" t="s">
        <v>5498</v>
      </c>
      <c r="G105" s="184" t="s">
        <v>5499</v>
      </c>
      <c r="H105" s="185">
        <v>3</v>
      </c>
      <c r="I105" s="186"/>
      <c r="J105" s="187">
        <f>ROUND(I105*H105,2)</f>
        <v>0</v>
      </c>
      <c r="K105" s="183" t="s">
        <v>19</v>
      </c>
      <c r="L105" s="41"/>
      <c r="M105" s="188" t="s">
        <v>19</v>
      </c>
      <c r="N105" s="189" t="s">
        <v>43</v>
      </c>
      <c r="O105" s="66"/>
      <c r="P105" s="190">
        <f>O105*H105</f>
        <v>0</v>
      </c>
      <c r="Q105" s="190">
        <v>3.0000000000000001E-3</v>
      </c>
      <c r="R105" s="190">
        <f>Q105*H105</f>
        <v>9.0000000000000011E-3</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5583</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99</v>
      </c>
      <c r="G107" s="206"/>
      <c r="H107" s="209">
        <v>3</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5586</v>
      </c>
    </row>
    <row r="109" spans="1:65" s="2" customFormat="1" ht="16.5" customHeight="1">
      <c r="A109" s="36"/>
      <c r="B109" s="37"/>
      <c r="C109" s="227" t="s">
        <v>420</v>
      </c>
      <c r="D109" s="227" t="s">
        <v>465</v>
      </c>
      <c r="E109" s="228" t="s">
        <v>3428</v>
      </c>
      <c r="F109" s="229" t="s">
        <v>5587</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5588</v>
      </c>
    </row>
    <row r="110" spans="1:65" s="2" customFormat="1" ht="87.75">
      <c r="A110" s="36"/>
      <c r="B110" s="37"/>
      <c r="C110" s="38"/>
      <c r="D110" s="196" t="s">
        <v>1226</v>
      </c>
      <c r="E110" s="38"/>
      <c r="F110" s="248" t="s">
        <v>5589</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5591</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181" t="s">
        <v>430</v>
      </c>
      <c r="D113" s="181" t="s">
        <v>382</v>
      </c>
      <c r="E113" s="182" t="s">
        <v>3311</v>
      </c>
      <c r="F113" s="183" t="s">
        <v>5509</v>
      </c>
      <c r="G113" s="184" t="s">
        <v>3278</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5593</v>
      </c>
    </row>
    <row r="114" spans="1:65" s="2" customFormat="1" ht="58.5">
      <c r="A114" s="36"/>
      <c r="B114" s="37"/>
      <c r="C114" s="38"/>
      <c r="D114" s="196" t="s">
        <v>1226</v>
      </c>
      <c r="E114" s="38"/>
      <c r="F114" s="248" t="s">
        <v>5511</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5233</v>
      </c>
      <c r="F115" s="183" t="s">
        <v>5234</v>
      </c>
      <c r="G115" s="184" t="s">
        <v>452</v>
      </c>
      <c r="H115" s="185">
        <v>67.099999999999994</v>
      </c>
      <c r="I115" s="186"/>
      <c r="J115" s="187">
        <f>ROUND(I115*H115,2)</f>
        <v>0</v>
      </c>
      <c r="K115" s="183" t="s">
        <v>19</v>
      </c>
      <c r="L115" s="41"/>
      <c r="M115" s="188" t="s">
        <v>19</v>
      </c>
      <c r="N115" s="189" t="s">
        <v>43</v>
      </c>
      <c r="O115" s="66"/>
      <c r="P115" s="190">
        <f>O115*H115</f>
        <v>0</v>
      </c>
      <c r="Q115" s="190">
        <v>3.0000000000000001E-3</v>
      </c>
      <c r="R115" s="190">
        <f>Q115*H115</f>
        <v>0.20129999999999998</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5594</v>
      </c>
    </row>
    <row r="116" spans="1:65" s="2" customFormat="1" ht="39">
      <c r="A116" s="36"/>
      <c r="B116" s="37"/>
      <c r="C116" s="38"/>
      <c r="D116" s="196" t="s">
        <v>1226</v>
      </c>
      <c r="E116" s="38"/>
      <c r="F116" s="248" t="s">
        <v>5236</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14" customFormat="1" ht="11.25">
      <c r="B117" s="205"/>
      <c r="C117" s="206"/>
      <c r="D117" s="196" t="s">
        <v>388</v>
      </c>
      <c r="E117" s="207" t="s">
        <v>19</v>
      </c>
      <c r="F117" s="208" t="s">
        <v>5595</v>
      </c>
      <c r="G117" s="206"/>
      <c r="H117" s="209">
        <v>67.099999999999994</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5238</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5" customFormat="1" ht="11.25">
      <c r="B119" s="216"/>
      <c r="C119" s="217"/>
      <c r="D119" s="196" t="s">
        <v>388</v>
      </c>
      <c r="E119" s="218" t="s">
        <v>19</v>
      </c>
      <c r="F119" s="219" t="s">
        <v>419</v>
      </c>
      <c r="G119" s="217"/>
      <c r="H119" s="220">
        <v>67.099999999999994</v>
      </c>
      <c r="I119" s="221"/>
      <c r="J119" s="217"/>
      <c r="K119" s="217"/>
      <c r="L119" s="222"/>
      <c r="M119" s="223"/>
      <c r="N119" s="224"/>
      <c r="O119" s="224"/>
      <c r="P119" s="224"/>
      <c r="Q119" s="224"/>
      <c r="R119" s="224"/>
      <c r="S119" s="224"/>
      <c r="T119" s="225"/>
      <c r="AT119" s="226" t="s">
        <v>388</v>
      </c>
      <c r="AU119" s="226" t="s">
        <v>82</v>
      </c>
      <c r="AV119" s="15" t="s">
        <v>386</v>
      </c>
      <c r="AW119" s="15" t="s">
        <v>33</v>
      </c>
      <c r="AX119" s="15" t="s">
        <v>79</v>
      </c>
      <c r="AY119" s="226" t="s">
        <v>380</v>
      </c>
    </row>
    <row r="120" spans="1:65" s="2" customFormat="1" ht="16.5" customHeight="1">
      <c r="A120" s="36"/>
      <c r="B120" s="37"/>
      <c r="C120" s="181" t="s">
        <v>125</v>
      </c>
      <c r="D120" s="181" t="s">
        <v>382</v>
      </c>
      <c r="E120" s="182" t="s">
        <v>3895</v>
      </c>
      <c r="F120" s="183" t="s">
        <v>5239</v>
      </c>
      <c r="G120" s="184" t="s">
        <v>452</v>
      </c>
      <c r="H120" s="185">
        <v>61</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5596</v>
      </c>
    </row>
    <row r="121" spans="1:65" s="14" customFormat="1" ht="11.25">
      <c r="B121" s="205"/>
      <c r="C121" s="206"/>
      <c r="D121" s="196" t="s">
        <v>388</v>
      </c>
      <c r="E121" s="207" t="s">
        <v>19</v>
      </c>
      <c r="F121" s="208" t="s">
        <v>771</v>
      </c>
      <c r="G121" s="206"/>
      <c r="H121" s="209">
        <v>61</v>
      </c>
      <c r="I121" s="210"/>
      <c r="J121" s="206"/>
      <c r="K121" s="206"/>
      <c r="L121" s="211"/>
      <c r="M121" s="212"/>
      <c r="N121" s="213"/>
      <c r="O121" s="213"/>
      <c r="P121" s="213"/>
      <c r="Q121" s="213"/>
      <c r="R121" s="213"/>
      <c r="S121" s="213"/>
      <c r="T121" s="214"/>
      <c r="AT121" s="215" t="s">
        <v>388</v>
      </c>
      <c r="AU121" s="215" t="s">
        <v>82</v>
      </c>
      <c r="AV121" s="14" t="s">
        <v>82</v>
      </c>
      <c r="AW121" s="14" t="s">
        <v>33</v>
      </c>
      <c r="AX121" s="14" t="s">
        <v>79</v>
      </c>
      <c r="AY121" s="215" t="s">
        <v>380</v>
      </c>
    </row>
    <row r="122" spans="1:65" s="12" customFormat="1" ht="22.9" customHeight="1">
      <c r="B122" s="165"/>
      <c r="C122" s="166"/>
      <c r="D122" s="167" t="s">
        <v>71</v>
      </c>
      <c r="E122" s="179" t="s">
        <v>5456</v>
      </c>
      <c r="F122" s="179" t="s">
        <v>5457</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380</v>
      </c>
      <c r="BK122" s="178">
        <f>SUM(BK123:BK124)</f>
        <v>0</v>
      </c>
    </row>
    <row r="123" spans="1:65" s="2" customFormat="1" ht="16.5" customHeight="1">
      <c r="A123" s="36"/>
      <c r="B123" s="37"/>
      <c r="C123" s="181" t="s">
        <v>128</v>
      </c>
      <c r="D123" s="181" t="s">
        <v>382</v>
      </c>
      <c r="E123" s="182" t="s">
        <v>5458</v>
      </c>
      <c r="F123" s="183" t="s">
        <v>5459</v>
      </c>
      <c r="G123" s="184" t="s">
        <v>3278</v>
      </c>
      <c r="H123" s="185">
        <v>3</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5597</v>
      </c>
    </row>
    <row r="124" spans="1:65" s="14" customFormat="1" ht="11.25">
      <c r="B124" s="205"/>
      <c r="C124" s="206"/>
      <c r="D124" s="196" t="s">
        <v>388</v>
      </c>
      <c r="E124" s="207" t="s">
        <v>19</v>
      </c>
      <c r="F124" s="208" t="s">
        <v>5598</v>
      </c>
      <c r="G124" s="206"/>
      <c r="H124" s="209">
        <v>3</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3450</v>
      </c>
      <c r="F125" s="179" t="s">
        <v>3451</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380</v>
      </c>
      <c r="BK125" s="178">
        <f>SUM(BK126:BK130)</f>
        <v>0</v>
      </c>
    </row>
    <row r="126" spans="1:65" s="2" customFormat="1" ht="16.5" customHeight="1">
      <c r="A126" s="36"/>
      <c r="B126" s="37"/>
      <c r="C126" s="181" t="s">
        <v>131</v>
      </c>
      <c r="D126" s="181" t="s">
        <v>382</v>
      </c>
      <c r="E126" s="182" t="s">
        <v>3452</v>
      </c>
      <c r="F126" s="183" t="s">
        <v>5241</v>
      </c>
      <c r="G126" s="184" t="s">
        <v>2389</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5599</v>
      </c>
    </row>
    <row r="127" spans="1:65" s="2" customFormat="1" ht="16.5" customHeight="1">
      <c r="A127" s="36"/>
      <c r="B127" s="37"/>
      <c r="C127" s="181" t="s">
        <v>134</v>
      </c>
      <c r="D127" s="181" t="s">
        <v>382</v>
      </c>
      <c r="E127" s="182" t="s">
        <v>3456</v>
      </c>
      <c r="F127" s="183" t="s">
        <v>5243</v>
      </c>
      <c r="G127" s="184" t="s">
        <v>2389</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5600</v>
      </c>
    </row>
    <row r="128" spans="1:65" s="2" customFormat="1" ht="29.25">
      <c r="A128" s="36"/>
      <c r="B128" s="37"/>
      <c r="C128" s="38"/>
      <c r="D128" s="196" t="s">
        <v>1226</v>
      </c>
      <c r="E128" s="38"/>
      <c r="F128" s="248" t="s">
        <v>5245</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2" customFormat="1" ht="16.5" customHeight="1">
      <c r="A129" s="36"/>
      <c r="B129" s="37"/>
      <c r="C129" s="181" t="s">
        <v>8</v>
      </c>
      <c r="D129" s="181" t="s">
        <v>382</v>
      </c>
      <c r="E129" s="182" t="s">
        <v>3458</v>
      </c>
      <c r="F129" s="183" t="s">
        <v>3462</v>
      </c>
      <c r="G129" s="184" t="s">
        <v>2389</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5601</v>
      </c>
    </row>
    <row r="130" spans="1:65" s="2" customFormat="1" ht="19.5">
      <c r="A130" s="36"/>
      <c r="B130" s="37"/>
      <c r="C130" s="38"/>
      <c r="D130" s="196" t="s">
        <v>1226</v>
      </c>
      <c r="E130" s="38"/>
      <c r="F130" s="248" t="s">
        <v>5247</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12" customFormat="1" ht="22.9" customHeight="1">
      <c r="B131" s="165"/>
      <c r="C131" s="166"/>
      <c r="D131" s="167" t="s">
        <v>71</v>
      </c>
      <c r="E131" s="179" t="s">
        <v>2076</v>
      </c>
      <c r="F131" s="179" t="s">
        <v>3534</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380</v>
      </c>
      <c r="BK131" s="178">
        <f>SUM(BK132:BK134)</f>
        <v>0</v>
      </c>
    </row>
    <row r="132" spans="1:65" s="2" customFormat="1" ht="16.5" customHeight="1">
      <c r="A132" s="36"/>
      <c r="B132" s="37"/>
      <c r="C132" s="181" t="s">
        <v>281</v>
      </c>
      <c r="D132" s="181" t="s">
        <v>382</v>
      </c>
      <c r="E132" s="182" t="s">
        <v>3535</v>
      </c>
      <c r="F132" s="183" t="s">
        <v>5248</v>
      </c>
      <c r="G132" s="184" t="s">
        <v>5249</v>
      </c>
      <c r="H132" s="185">
        <v>122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5602</v>
      </c>
    </row>
    <row r="133" spans="1:65" s="14" customFormat="1" ht="11.25">
      <c r="B133" s="205"/>
      <c r="C133" s="206"/>
      <c r="D133" s="196" t="s">
        <v>388</v>
      </c>
      <c r="E133" s="207" t="s">
        <v>19</v>
      </c>
      <c r="F133" s="208" t="s">
        <v>5603</v>
      </c>
      <c r="G133" s="206"/>
      <c r="H133" s="209">
        <v>122</v>
      </c>
      <c r="I133" s="210"/>
      <c r="J133" s="206"/>
      <c r="K133" s="206"/>
      <c r="L133" s="211"/>
      <c r="M133" s="212"/>
      <c r="N133" s="213"/>
      <c r="O133" s="213"/>
      <c r="P133" s="213"/>
      <c r="Q133" s="213"/>
      <c r="R133" s="213"/>
      <c r="S133" s="213"/>
      <c r="T133" s="214"/>
      <c r="AT133" s="215" t="s">
        <v>388</v>
      </c>
      <c r="AU133" s="215" t="s">
        <v>82</v>
      </c>
      <c r="AV133" s="14" t="s">
        <v>82</v>
      </c>
      <c r="AW133" s="14" t="s">
        <v>33</v>
      </c>
      <c r="AX133" s="14" t="s">
        <v>79</v>
      </c>
      <c r="AY133" s="215" t="s">
        <v>380</v>
      </c>
    </row>
    <row r="134" spans="1:65" s="2" customFormat="1" ht="16.5" customHeight="1">
      <c r="A134" s="36"/>
      <c r="B134" s="37"/>
      <c r="C134" s="181" t="s">
        <v>471</v>
      </c>
      <c r="D134" s="181" t="s">
        <v>382</v>
      </c>
      <c r="E134" s="182" t="s">
        <v>5252</v>
      </c>
      <c r="F134" s="183" t="s">
        <v>5253</v>
      </c>
      <c r="G134" s="184" t="s">
        <v>2678</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5604</v>
      </c>
    </row>
    <row r="135" spans="1:65" s="12" customFormat="1" ht="22.9" customHeight="1">
      <c r="B135" s="165"/>
      <c r="C135" s="166"/>
      <c r="D135" s="167" t="s">
        <v>71</v>
      </c>
      <c r="E135" s="179" t="s">
        <v>2287</v>
      </c>
      <c r="F135" s="179" t="s">
        <v>2288</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380</v>
      </c>
      <c r="BK135" s="178">
        <f>BK136</f>
        <v>0</v>
      </c>
    </row>
    <row r="136" spans="1:65" s="2" customFormat="1" ht="16.5" customHeight="1">
      <c r="A136" s="36"/>
      <c r="B136" s="37"/>
      <c r="C136" s="181" t="s">
        <v>477</v>
      </c>
      <c r="D136" s="181" t="s">
        <v>382</v>
      </c>
      <c r="E136" s="182" t="s">
        <v>5256</v>
      </c>
      <c r="F136" s="183" t="s">
        <v>5257</v>
      </c>
      <c r="G136" s="184" t="s">
        <v>3278</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5605</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vBUjHa/t2RoZdsMLCh52PfZ9B1e4B6qjax1JQuwy4qKUGHCVNY4b39FYg3A2E/Zqw48LYDKUI4ITlOar5qFECA==" saltValue="OZn94P+IMHpYIrM2rE43DxGgg+T7rquYVQ2uTmKIXqQbVD6W0aTa8tVv5604VMV+y0wv1uxIJB9BzN4xrakRrw==" spinCount="100000" sheet="1" objects="1" scenarios="1" formatColumns="0" formatRows="0" autoFilter="0"/>
  <autoFilter ref="C96:K136" xr:uid="{00000000-0009-0000-0000-00002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5606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ROUND((SUM(BE97:BE138)),  2)</f>
        <v>0</v>
      </c>
      <c r="G37" s="36"/>
      <c r="H37" s="36"/>
      <c r="I37" s="127">
        <v>0.21</v>
      </c>
      <c r="J37" s="126">
        <f>ROUND(((SUM(BE97:BE138))*I37),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ROUND((SUM(BF97:BF138)),  2)</f>
        <v>0</v>
      </c>
      <c r="G38" s="36"/>
      <c r="H38" s="36"/>
      <c r="I38" s="127">
        <v>0.15</v>
      </c>
      <c r="J38" s="126">
        <f>ROUND(((SUM(BF97:BF138))*I38),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411 - Okruh kanceláře - M1.10, 1.11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J124</f>
        <v>0</v>
      </c>
      <c r="K70" s="99"/>
      <c r="L70" s="153"/>
    </row>
    <row r="71" spans="1:47" s="10" customFormat="1" ht="19.899999999999999" customHeight="1">
      <c r="B71" s="149"/>
      <c r="C71" s="99"/>
      <c r="D71" s="150" t="s">
        <v>3236</v>
      </c>
      <c r="E71" s="151"/>
      <c r="F71" s="151"/>
      <c r="G71" s="151"/>
      <c r="H71" s="151"/>
      <c r="I71" s="151"/>
      <c r="J71" s="152">
        <f>J127</f>
        <v>0</v>
      </c>
      <c r="K71" s="99"/>
      <c r="L71" s="153"/>
    </row>
    <row r="72" spans="1:47" s="10" customFormat="1" ht="19.899999999999999" customHeight="1">
      <c r="B72" s="149"/>
      <c r="C72" s="99"/>
      <c r="D72" s="150" t="s">
        <v>3465</v>
      </c>
      <c r="E72" s="151"/>
      <c r="F72" s="151"/>
      <c r="G72" s="151"/>
      <c r="H72" s="151"/>
      <c r="I72" s="151"/>
      <c r="J72" s="152">
        <f>J133</f>
        <v>0</v>
      </c>
      <c r="K72" s="99"/>
      <c r="L72" s="153"/>
    </row>
    <row r="73" spans="1:47" s="10" customFormat="1" ht="19.899999999999999" customHeight="1">
      <c r="B73" s="149"/>
      <c r="C73" s="99"/>
      <c r="D73" s="150" t="s">
        <v>361</v>
      </c>
      <c r="E73" s="151"/>
      <c r="F73" s="151"/>
      <c r="G73" s="151"/>
      <c r="H73" s="151"/>
      <c r="I73" s="151"/>
      <c r="J73" s="152">
        <f>J137</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411 - Okruh kanceláře - M1.10, 1.11</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0.96140000000000003</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P99+P124+P127+P133+P137</f>
        <v>0</v>
      </c>
      <c r="Q98" s="173"/>
      <c r="R98" s="174">
        <f>R99+R124+R127+R133+R137</f>
        <v>0.96140000000000003</v>
      </c>
      <c r="S98" s="173"/>
      <c r="T98" s="175">
        <f>T99+T124+T127+T133+T137</f>
        <v>0</v>
      </c>
      <c r="AR98" s="176" t="s">
        <v>82</v>
      </c>
      <c r="AT98" s="177" t="s">
        <v>71</v>
      </c>
      <c r="AU98" s="177" t="s">
        <v>72</v>
      </c>
      <c r="AY98" s="176" t="s">
        <v>380</v>
      </c>
      <c r="BK98" s="178">
        <f>BK99+BK124+BK127+BK133+BK137</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SUM(P100:P123)</f>
        <v>0</v>
      </c>
      <c r="Q99" s="173"/>
      <c r="R99" s="174">
        <f>SUM(R100:R123)</f>
        <v>0.33639999999999998</v>
      </c>
      <c r="S99" s="173"/>
      <c r="T99" s="175">
        <f>SUM(T100:T123)</f>
        <v>0</v>
      </c>
      <c r="AR99" s="176" t="s">
        <v>82</v>
      </c>
      <c r="AT99" s="177" t="s">
        <v>71</v>
      </c>
      <c r="AU99" s="177" t="s">
        <v>79</v>
      </c>
      <c r="AY99" s="176" t="s">
        <v>380</v>
      </c>
      <c r="BK99" s="178">
        <f>SUM(BK100:BK123)</f>
        <v>0</v>
      </c>
    </row>
    <row r="100" spans="1:65" s="2" customFormat="1" ht="21.75" customHeight="1">
      <c r="A100" s="36"/>
      <c r="B100" s="37"/>
      <c r="C100" s="181" t="s">
        <v>79</v>
      </c>
      <c r="D100" s="181" t="s">
        <v>382</v>
      </c>
      <c r="E100" s="182" t="s">
        <v>5487</v>
      </c>
      <c r="F100" s="183" t="s">
        <v>5488</v>
      </c>
      <c r="G100" s="184" t="s">
        <v>641</v>
      </c>
      <c r="H100" s="185">
        <v>3</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5607</v>
      </c>
    </row>
    <row r="101" spans="1:65" s="2" customFormat="1" ht="16.5" customHeight="1">
      <c r="A101" s="36"/>
      <c r="B101" s="37"/>
      <c r="C101" s="227" t="s">
        <v>82</v>
      </c>
      <c r="D101" s="227" t="s">
        <v>465</v>
      </c>
      <c r="E101" s="228" t="s">
        <v>3438</v>
      </c>
      <c r="F101" s="229" t="s">
        <v>5608</v>
      </c>
      <c r="G101" s="230" t="s">
        <v>3278</v>
      </c>
      <c r="H101" s="231">
        <v>2</v>
      </c>
      <c r="I101" s="232"/>
      <c r="J101" s="233">
        <f>ROUND(I101*H101,2)</f>
        <v>0</v>
      </c>
      <c r="K101" s="229" t="s">
        <v>19</v>
      </c>
      <c r="L101" s="234"/>
      <c r="M101" s="235" t="s">
        <v>19</v>
      </c>
      <c r="N101" s="236" t="s">
        <v>43</v>
      </c>
      <c r="O101" s="66"/>
      <c r="P101" s="190">
        <f>O101*H101</f>
        <v>0</v>
      </c>
      <c r="Q101" s="190">
        <v>1.4E-2</v>
      </c>
      <c r="R101" s="190">
        <f>Q101*H101</f>
        <v>2.8000000000000001E-2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5609</v>
      </c>
    </row>
    <row r="102" spans="1:65" s="2" customFormat="1" ht="78">
      <c r="A102" s="36"/>
      <c r="B102" s="37"/>
      <c r="C102" s="38"/>
      <c r="D102" s="196" t="s">
        <v>1226</v>
      </c>
      <c r="E102" s="38"/>
      <c r="F102" s="248" t="s">
        <v>5610</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16.5" customHeight="1">
      <c r="A103" s="36"/>
      <c r="B103" s="37"/>
      <c r="C103" s="227" t="s">
        <v>99</v>
      </c>
      <c r="D103" s="227" t="s">
        <v>465</v>
      </c>
      <c r="E103" s="228" t="s">
        <v>3276</v>
      </c>
      <c r="F103" s="229" t="s">
        <v>5611</v>
      </c>
      <c r="G103" s="230" t="s">
        <v>3278</v>
      </c>
      <c r="H103" s="231">
        <v>1</v>
      </c>
      <c r="I103" s="232"/>
      <c r="J103" s="233">
        <f>ROUND(I103*H103,2)</f>
        <v>0</v>
      </c>
      <c r="K103" s="229" t="s">
        <v>19</v>
      </c>
      <c r="L103" s="234"/>
      <c r="M103" s="235" t="s">
        <v>19</v>
      </c>
      <c r="N103" s="236" t="s">
        <v>43</v>
      </c>
      <c r="O103" s="66"/>
      <c r="P103" s="190">
        <f>O103*H103</f>
        <v>0</v>
      </c>
      <c r="Q103" s="190">
        <v>1.4E-2</v>
      </c>
      <c r="R103" s="190">
        <f>Q103*H103</f>
        <v>1.4E-2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5612</v>
      </c>
    </row>
    <row r="104" spans="1:65" s="2" customFormat="1" ht="68.25">
      <c r="A104" s="36"/>
      <c r="B104" s="37"/>
      <c r="C104" s="38"/>
      <c r="D104" s="196" t="s">
        <v>1226</v>
      </c>
      <c r="E104" s="38"/>
      <c r="F104" s="248" t="s">
        <v>5613</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5614</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5615</v>
      </c>
    </row>
    <row r="107" spans="1:65" s="2" customFormat="1" ht="16.5" customHeight="1">
      <c r="A107" s="36"/>
      <c r="B107" s="37"/>
      <c r="C107" s="181" t="s">
        <v>411</v>
      </c>
      <c r="D107" s="181" t="s">
        <v>382</v>
      </c>
      <c r="E107" s="182" t="s">
        <v>3446</v>
      </c>
      <c r="F107" s="183" t="s">
        <v>5498</v>
      </c>
      <c r="G107" s="184" t="s">
        <v>5499</v>
      </c>
      <c r="H107" s="185">
        <v>3</v>
      </c>
      <c r="I107" s="186"/>
      <c r="J107" s="187">
        <f>ROUND(I107*H107,2)</f>
        <v>0</v>
      </c>
      <c r="K107" s="183" t="s">
        <v>19</v>
      </c>
      <c r="L107" s="41"/>
      <c r="M107" s="188" t="s">
        <v>19</v>
      </c>
      <c r="N107" s="189" t="s">
        <v>43</v>
      </c>
      <c r="O107" s="66"/>
      <c r="P107" s="190">
        <f>O107*H107</f>
        <v>0</v>
      </c>
      <c r="Q107" s="190">
        <v>3.0000000000000001E-3</v>
      </c>
      <c r="R107" s="190">
        <f>Q107*H107</f>
        <v>9.0000000000000011E-3</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5616</v>
      </c>
    </row>
    <row r="108" spans="1:65" s="2" customFormat="1" ht="19.5">
      <c r="A108" s="36"/>
      <c r="B108" s="37"/>
      <c r="C108" s="38"/>
      <c r="D108" s="196" t="s">
        <v>1226</v>
      </c>
      <c r="E108" s="38"/>
      <c r="F108" s="248" t="s">
        <v>5501</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99</v>
      </c>
      <c r="G109" s="206"/>
      <c r="H109" s="209">
        <v>3</v>
      </c>
      <c r="I109" s="210"/>
      <c r="J109" s="206"/>
      <c r="K109" s="206"/>
      <c r="L109" s="211"/>
      <c r="M109" s="212"/>
      <c r="N109" s="213"/>
      <c r="O109" s="213"/>
      <c r="P109" s="213"/>
      <c r="Q109" s="213"/>
      <c r="R109" s="213"/>
      <c r="S109" s="213"/>
      <c r="T109" s="214"/>
      <c r="AT109" s="215" t="s">
        <v>388</v>
      </c>
      <c r="AU109" s="215" t="s">
        <v>82</v>
      </c>
      <c r="AV109" s="14" t="s">
        <v>82</v>
      </c>
      <c r="AW109" s="14" t="s">
        <v>33</v>
      </c>
      <c r="AX109" s="14" t="s">
        <v>79</v>
      </c>
      <c r="AY109" s="215" t="s">
        <v>380</v>
      </c>
    </row>
    <row r="110" spans="1:65" s="2" customFormat="1" ht="16.5" customHeight="1">
      <c r="A110" s="36"/>
      <c r="B110" s="37"/>
      <c r="C110" s="181" t="s">
        <v>420</v>
      </c>
      <c r="D110" s="181" t="s">
        <v>382</v>
      </c>
      <c r="E110" s="182" t="s">
        <v>5584</v>
      </c>
      <c r="F110" s="183" t="s">
        <v>5585</v>
      </c>
      <c r="G110" s="184" t="s">
        <v>641</v>
      </c>
      <c r="H110" s="185">
        <v>1</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5617</v>
      </c>
    </row>
    <row r="111" spans="1:65" s="2" customFormat="1" ht="16.5" customHeight="1">
      <c r="A111" s="36"/>
      <c r="B111" s="37"/>
      <c r="C111" s="227" t="s">
        <v>424</v>
      </c>
      <c r="D111" s="227" t="s">
        <v>465</v>
      </c>
      <c r="E111" s="228" t="s">
        <v>3428</v>
      </c>
      <c r="F111" s="229" t="s">
        <v>5587</v>
      </c>
      <c r="G111" s="230" t="s">
        <v>19</v>
      </c>
      <c r="H111" s="231">
        <v>1</v>
      </c>
      <c r="I111" s="232"/>
      <c r="J111" s="233">
        <f>ROUND(I111*H111,2)</f>
        <v>0</v>
      </c>
      <c r="K111" s="229" t="s">
        <v>19</v>
      </c>
      <c r="L111" s="234"/>
      <c r="M111" s="235" t="s">
        <v>19</v>
      </c>
      <c r="N111" s="236" t="s">
        <v>43</v>
      </c>
      <c r="O111" s="66"/>
      <c r="P111" s="190">
        <f>O111*H111</f>
        <v>0</v>
      </c>
      <c r="Q111" s="190">
        <v>6.0999999999999999E-2</v>
      </c>
      <c r="R111" s="190">
        <f>Q111*H111</f>
        <v>6.0999999999999999E-2</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5618</v>
      </c>
    </row>
    <row r="112" spans="1:65" s="2" customFormat="1" ht="78">
      <c r="A112" s="36"/>
      <c r="B112" s="37"/>
      <c r="C112" s="38"/>
      <c r="D112" s="196" t="s">
        <v>1226</v>
      </c>
      <c r="E112" s="38"/>
      <c r="F112" s="248" t="s">
        <v>5619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3304</v>
      </c>
      <c r="F113" s="229" t="s">
        <v>5590</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5620</v>
      </c>
    </row>
    <row r="114" spans="1:65" s="2" customFormat="1" ht="19.5">
      <c r="A114" s="36"/>
      <c r="B114" s="37"/>
      <c r="C114" s="38"/>
      <c r="D114" s="196" t="s">
        <v>1226</v>
      </c>
      <c r="E114" s="38"/>
      <c r="F114" s="248" t="s">
        <v>5592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3</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5621</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74.8</v>
      </c>
      <c r="I117" s="186"/>
      <c r="J117" s="187">
        <f>ROUND(I117*H117,2)</f>
        <v>0</v>
      </c>
      <c r="K117" s="183" t="s">
        <v>19</v>
      </c>
      <c r="L117" s="41"/>
      <c r="M117" s="188" t="s">
        <v>19</v>
      </c>
      <c r="N117" s="189" t="s">
        <v>43</v>
      </c>
      <c r="O117" s="66"/>
      <c r="P117" s="190">
        <f>O117*H117</f>
        <v>0</v>
      </c>
      <c r="Q117" s="190">
        <v>3.0000000000000001E-3</v>
      </c>
      <c r="R117" s="190">
        <f>Q117*H117</f>
        <v>0.22439999999999999</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5622</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5623</v>
      </c>
      <c r="G119" s="206"/>
      <c r="H119" s="209">
        <v>74.8</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5238</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5" customFormat="1" ht="11.25">
      <c r="B121" s="216"/>
      <c r="C121" s="217"/>
      <c r="D121" s="196" t="s">
        <v>388</v>
      </c>
      <c r="E121" s="218" t="s">
        <v>19</v>
      </c>
      <c r="F121" s="219" t="s">
        <v>419</v>
      </c>
      <c r="G121" s="217"/>
      <c r="H121" s="220">
        <v>74.8</v>
      </c>
      <c r="I121" s="221"/>
      <c r="J121" s="217"/>
      <c r="K121" s="217"/>
      <c r="L121" s="222"/>
      <c r="M121" s="223"/>
      <c r="N121" s="224"/>
      <c r="O121" s="224"/>
      <c r="P121" s="224"/>
      <c r="Q121" s="224"/>
      <c r="R121" s="224"/>
      <c r="S121" s="224"/>
      <c r="T121" s="225"/>
      <c r="AT121" s="226" t="s">
        <v>388</v>
      </c>
      <c r="AU121" s="226" t="s">
        <v>82</v>
      </c>
      <c r="AV121" s="15" t="s">
        <v>386</v>
      </c>
      <c r="AW121" s="15" t="s">
        <v>33</v>
      </c>
      <c r="AX121" s="15" t="s">
        <v>79</v>
      </c>
      <c r="AY121" s="226" t="s">
        <v>380</v>
      </c>
    </row>
    <row r="122" spans="1:65" s="2" customFormat="1" ht="16.5" customHeight="1">
      <c r="A122" s="36"/>
      <c r="B122" s="37"/>
      <c r="C122" s="181" t="s">
        <v>128</v>
      </c>
      <c r="D122" s="181" t="s">
        <v>382</v>
      </c>
      <c r="E122" s="182" t="s">
        <v>3895</v>
      </c>
      <c r="F122" s="183" t="s">
        <v>5239</v>
      </c>
      <c r="G122" s="184" t="s">
        <v>452</v>
      </c>
      <c r="H122" s="185">
        <v>68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5624</v>
      </c>
    </row>
    <row r="123" spans="1:65" s="14" customFormat="1" ht="11.25">
      <c r="B123" s="205"/>
      <c r="C123" s="206"/>
      <c r="D123" s="196" t="s">
        <v>388</v>
      </c>
      <c r="E123" s="207" t="s">
        <v>19</v>
      </c>
      <c r="F123" s="208" t="s">
        <v>804</v>
      </c>
      <c r="G123" s="206"/>
      <c r="H123" s="209">
        <v>68</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12" customFormat="1" ht="22.9" customHeight="1">
      <c r="B124" s="165"/>
      <c r="C124" s="166"/>
      <c r="D124" s="167" t="s">
        <v>71</v>
      </c>
      <c r="E124" s="179" t="s">
        <v>5456</v>
      </c>
      <c r="F124" s="179" t="s">
        <v>5457</v>
      </c>
      <c r="G124" s="166"/>
      <c r="H124" s="166"/>
      <c r="I124" s="169"/>
      <c r="J124" s="180">
        <f>BK124</f>
        <v>0</v>
      </c>
      <c r="K124" s="166"/>
      <c r="L124" s="171"/>
      <c r="M124" s="172"/>
      <c r="N124" s="173"/>
      <c r="O124" s="173"/>
      <c r="P124" s="174">
        <f>SUM(P125:P126)</f>
        <v>0</v>
      </c>
      <c r="Q124" s="173"/>
      <c r="R124" s="174">
        <f>SUM(R125:R126)</f>
        <v>0</v>
      </c>
      <c r="S124" s="173"/>
      <c r="T124" s="175">
        <f>SUM(T125:T126)</f>
        <v>0</v>
      </c>
      <c r="AR124" s="176" t="s">
        <v>82</v>
      </c>
      <c r="AT124" s="177" t="s">
        <v>71</v>
      </c>
      <c r="AU124" s="177" t="s">
        <v>79</v>
      </c>
      <c r="AY124" s="176" t="s">
        <v>380</v>
      </c>
      <c r="BK124" s="178">
        <f>SUM(BK125:BK126)</f>
        <v>0</v>
      </c>
    </row>
    <row r="125" spans="1:65" s="2" customFormat="1" ht="16.5" customHeight="1">
      <c r="A125" s="36"/>
      <c r="B125" s="37"/>
      <c r="C125" s="181" t="s">
        <v>131</v>
      </c>
      <c r="D125" s="181" t="s">
        <v>382</v>
      </c>
      <c r="E125" s="182" t="s">
        <v>5458</v>
      </c>
      <c r="F125" s="183" t="s">
        <v>5459</v>
      </c>
      <c r="G125" s="184" t="s">
        <v>3278</v>
      </c>
      <c r="H125" s="185">
        <v>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5625</v>
      </c>
    </row>
    <row r="126" spans="1:65" s="14" customFormat="1" ht="11.25">
      <c r="B126" s="205"/>
      <c r="C126" s="206"/>
      <c r="D126" s="196" t="s">
        <v>388</v>
      </c>
      <c r="E126" s="207" t="s">
        <v>19</v>
      </c>
      <c r="F126" s="208" t="s">
        <v>5626</v>
      </c>
      <c r="G126" s="206"/>
      <c r="H126" s="209">
        <v>6</v>
      </c>
      <c r="I126" s="210"/>
      <c r="J126" s="206"/>
      <c r="K126" s="206"/>
      <c r="L126" s="211"/>
      <c r="M126" s="212"/>
      <c r="N126" s="213"/>
      <c r="O126" s="213"/>
      <c r="P126" s="213"/>
      <c r="Q126" s="213"/>
      <c r="R126" s="213"/>
      <c r="S126" s="213"/>
      <c r="T126" s="214"/>
      <c r="AT126" s="215" t="s">
        <v>388</v>
      </c>
      <c r="AU126" s="215" t="s">
        <v>82</v>
      </c>
      <c r="AV126" s="14" t="s">
        <v>82</v>
      </c>
      <c r="AW126" s="14" t="s">
        <v>33</v>
      </c>
      <c r="AX126" s="14" t="s">
        <v>79</v>
      </c>
      <c r="AY126" s="215" t="s">
        <v>380</v>
      </c>
    </row>
    <row r="127" spans="1:65" s="12" customFormat="1" ht="22.9" customHeight="1">
      <c r="B127" s="165"/>
      <c r="C127" s="166"/>
      <c r="D127" s="167" t="s">
        <v>71</v>
      </c>
      <c r="E127" s="179" t="s">
        <v>3450</v>
      </c>
      <c r="F127" s="179" t="s">
        <v>3451</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380</v>
      </c>
      <c r="BK127" s="178">
        <f>SUM(BK128:BK132)</f>
        <v>0</v>
      </c>
    </row>
    <row r="128" spans="1:65" s="2" customFormat="1" ht="16.5" customHeight="1">
      <c r="A128" s="36"/>
      <c r="B128" s="37"/>
      <c r="C128" s="181" t="s">
        <v>134</v>
      </c>
      <c r="D128" s="181" t="s">
        <v>382</v>
      </c>
      <c r="E128" s="182" t="s">
        <v>3452</v>
      </c>
      <c r="F128" s="183" t="s">
        <v>5241</v>
      </c>
      <c r="G128" s="184" t="s">
        <v>2389</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5627</v>
      </c>
    </row>
    <row r="129" spans="1:65" s="2" customFormat="1" ht="16.5" customHeight="1">
      <c r="A129" s="36"/>
      <c r="B129" s="37"/>
      <c r="C129" s="181" t="s">
        <v>8</v>
      </c>
      <c r="D129" s="181" t="s">
        <v>382</v>
      </c>
      <c r="E129" s="182" t="s">
        <v>3456</v>
      </c>
      <c r="F129" s="183" t="s">
        <v>5243</v>
      </c>
      <c r="G129" s="184" t="s">
        <v>2389</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5628</v>
      </c>
    </row>
    <row r="130" spans="1:65" s="2" customFormat="1" ht="29.25">
      <c r="A130" s="36"/>
      <c r="B130" s="37"/>
      <c r="C130" s="38"/>
      <c r="D130" s="196" t="s">
        <v>1226</v>
      </c>
      <c r="E130" s="38"/>
      <c r="F130" s="248" t="s">
        <v>5245</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2" customFormat="1" ht="16.5" customHeight="1">
      <c r="A131" s="36"/>
      <c r="B131" s="37"/>
      <c r="C131" s="181" t="s">
        <v>281</v>
      </c>
      <c r="D131" s="181" t="s">
        <v>382</v>
      </c>
      <c r="E131" s="182" t="s">
        <v>3458</v>
      </c>
      <c r="F131" s="183" t="s">
        <v>3462</v>
      </c>
      <c r="G131" s="184" t="s">
        <v>2389</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5629</v>
      </c>
    </row>
    <row r="132" spans="1:65" s="2" customFormat="1" ht="19.5">
      <c r="A132" s="36"/>
      <c r="B132" s="37"/>
      <c r="C132" s="38"/>
      <c r="D132" s="196" t="s">
        <v>1226</v>
      </c>
      <c r="E132" s="38"/>
      <c r="F132" s="248" t="s">
        <v>5247</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12" customFormat="1" ht="22.9" customHeight="1">
      <c r="B133" s="165"/>
      <c r="C133" s="166"/>
      <c r="D133" s="167" t="s">
        <v>71</v>
      </c>
      <c r="E133" s="179" t="s">
        <v>2076</v>
      </c>
      <c r="F133" s="179" t="s">
        <v>3534</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380</v>
      </c>
      <c r="BK133" s="178">
        <f>SUM(BK134:BK136)</f>
        <v>0</v>
      </c>
    </row>
    <row r="134" spans="1:65" s="2" customFormat="1" ht="16.5" customHeight="1">
      <c r="A134" s="36"/>
      <c r="B134" s="37"/>
      <c r="C134" s="181" t="s">
        <v>471</v>
      </c>
      <c r="D134" s="181" t="s">
        <v>382</v>
      </c>
      <c r="E134" s="182" t="s">
        <v>3535</v>
      </c>
      <c r="F134" s="183" t="s">
        <v>5248</v>
      </c>
      <c r="G134" s="184" t="s">
        <v>5249</v>
      </c>
      <c r="H134" s="185">
        <v>136</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5630</v>
      </c>
    </row>
    <row r="135" spans="1:65" s="14" customFormat="1" ht="11.25">
      <c r="B135" s="205"/>
      <c r="C135" s="206"/>
      <c r="D135" s="196" t="s">
        <v>388</v>
      </c>
      <c r="E135" s="207" t="s">
        <v>19</v>
      </c>
      <c r="F135" s="208" t="s">
        <v>5631</v>
      </c>
      <c r="G135" s="206"/>
      <c r="H135" s="209">
        <v>136</v>
      </c>
      <c r="I135" s="210"/>
      <c r="J135" s="206"/>
      <c r="K135" s="206"/>
      <c r="L135" s="211"/>
      <c r="M135" s="212"/>
      <c r="N135" s="213"/>
      <c r="O135" s="213"/>
      <c r="P135" s="213"/>
      <c r="Q135" s="213"/>
      <c r="R135" s="213"/>
      <c r="S135" s="213"/>
      <c r="T135" s="214"/>
      <c r="AT135" s="215" t="s">
        <v>388</v>
      </c>
      <c r="AU135" s="215" t="s">
        <v>82</v>
      </c>
      <c r="AV135" s="14" t="s">
        <v>82</v>
      </c>
      <c r="AW135" s="14" t="s">
        <v>33</v>
      </c>
      <c r="AX135" s="14" t="s">
        <v>79</v>
      </c>
      <c r="AY135" s="215" t="s">
        <v>380</v>
      </c>
    </row>
    <row r="136" spans="1:65" s="2" customFormat="1" ht="16.5" customHeight="1">
      <c r="A136" s="36"/>
      <c r="B136" s="37"/>
      <c r="C136" s="181" t="s">
        <v>477</v>
      </c>
      <c r="D136" s="181" t="s">
        <v>382</v>
      </c>
      <c r="E136" s="182" t="s">
        <v>5252</v>
      </c>
      <c r="F136" s="183" t="s">
        <v>5253</v>
      </c>
      <c r="G136" s="184" t="s">
        <v>2678</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5632</v>
      </c>
    </row>
    <row r="137" spans="1:65" s="12" customFormat="1" ht="22.9" customHeight="1">
      <c r="B137" s="165"/>
      <c r="C137" s="166"/>
      <c r="D137" s="167" t="s">
        <v>71</v>
      </c>
      <c r="E137" s="179" t="s">
        <v>2287</v>
      </c>
      <c r="F137" s="179" t="s">
        <v>2288</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380</v>
      </c>
      <c r="BK137" s="178">
        <f>BK138</f>
        <v>0</v>
      </c>
    </row>
    <row r="138" spans="1:65" s="2" customFormat="1" ht="16.5" customHeight="1">
      <c r="A138" s="36"/>
      <c r="B138" s="37"/>
      <c r="C138" s="181" t="s">
        <v>284</v>
      </c>
      <c r="D138" s="181" t="s">
        <v>382</v>
      </c>
      <c r="E138" s="182" t="s">
        <v>5256</v>
      </c>
      <c r="F138" s="183" t="s">
        <v>5257</v>
      </c>
      <c r="G138" s="184" t="s">
        <v>3278</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5633</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TzJxXKvj9SM9v4kPxW7YHl0mBCIiQGSnBBZzmYZfhN5u+fgUfdc7dLd/lSEAk1t8Yan3piAzLUEMyj8R5ChADg==" saltValue="CTPGiBqReK+jxdeGaiGxI1iQS5GRz+u6YTciQUWTIGk4II1v2rNfLMxuR/7MbAuTMeVhSnmq7h6f4f5e5iL44Q==" spinCount="100000" sheet="1" objects="1" scenarios="1" formatColumns="0" formatRows="0" autoFilter="0"/>
  <autoFilter ref="C96:K138" xr:uid="{00000000-0009-0000-0000-00002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412 - Okruh kanceláře - M2.10, 2.11, 3.11, 3.12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J122</f>
        <v>0</v>
      </c>
      <c r="K70" s="99"/>
      <c r="L70" s="153"/>
    </row>
    <row r="71" spans="1:47" s="10" customFormat="1" ht="19.899999999999999" customHeight="1">
      <c r="B71" s="149"/>
      <c r="C71" s="99"/>
      <c r="D71" s="150" t="s">
        <v>3236</v>
      </c>
      <c r="E71" s="151"/>
      <c r="F71" s="151"/>
      <c r="G71" s="151"/>
      <c r="H71" s="151"/>
      <c r="I71" s="151"/>
      <c r="J71" s="152">
        <f>J125</f>
        <v>0</v>
      </c>
      <c r="K71" s="99"/>
      <c r="L71" s="153"/>
    </row>
    <row r="72" spans="1:47" s="10" customFormat="1" ht="19.899999999999999" customHeight="1">
      <c r="B72" s="149"/>
      <c r="C72" s="99"/>
      <c r="D72" s="150" t="s">
        <v>3465</v>
      </c>
      <c r="E72" s="151"/>
      <c r="F72" s="151"/>
      <c r="G72" s="151"/>
      <c r="H72" s="151"/>
      <c r="I72" s="151"/>
      <c r="J72" s="152">
        <f>J131</f>
        <v>0</v>
      </c>
      <c r="K72" s="99"/>
      <c r="L72" s="153"/>
    </row>
    <row r="73" spans="1:47" s="10" customFormat="1" ht="19.899999999999999" customHeight="1">
      <c r="B73" s="149"/>
      <c r="C73" s="99"/>
      <c r="D73" s="150" t="s">
        <v>361</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412 - Okruh kanceláře - M2.10, 2.11, 3.11, 3.12</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0.9718</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P99+P122+P125+P131+P135</f>
        <v>0</v>
      </c>
      <c r="Q98" s="173"/>
      <c r="R98" s="174">
        <f>R99+R122+R125+R131+R135</f>
        <v>0.9718</v>
      </c>
      <c r="S98" s="173"/>
      <c r="T98" s="175">
        <f>T99+T122+T125+T131+T135</f>
        <v>0</v>
      </c>
      <c r="AR98" s="176" t="s">
        <v>82</v>
      </c>
      <c r="AT98" s="177" t="s">
        <v>71</v>
      </c>
      <c r="AU98" s="177" t="s">
        <v>72</v>
      </c>
      <c r="AY98" s="176" t="s">
        <v>380</v>
      </c>
      <c r="BK98" s="178">
        <f>BK99+BK122+BK125+BK131+BK135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SUM(P100:P121)</f>
        <v>0</v>
      </c>
      <c r="Q99" s="173"/>
      <c r="R99" s="174">
        <f>SUM(R100:R121)</f>
        <v>0.3468</v>
      </c>
      <c r="S99" s="173"/>
      <c r="T99" s="175">
        <f>SUM(T100:T121)</f>
        <v>0</v>
      </c>
      <c r="AR99" s="176" t="s">
        <v>82</v>
      </c>
      <c r="AT99" s="177" t="s">
        <v>71</v>
      </c>
      <c r="AU99" s="177" t="s">
        <v>79</v>
      </c>
      <c r="AY99" s="176" t="s">
        <v>380</v>
      </c>
      <c r="BK99" s="178">
        <f>SUM(BK100:BK121)</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5635</v>
      </c>
    </row>
    <row r="101" spans="1:65" s="2" customFormat="1" ht="16.5" customHeight="1">
      <c r="A101" s="36"/>
      <c r="B101" s="37"/>
      <c r="C101" s="227" t="s">
        <v>82</v>
      </c>
      <c r="D101" s="227" t="s">
        <v>465</v>
      </c>
      <c r="E101" s="228" t="s">
        <v>3438</v>
      </c>
      <c r="F101" s="229" t="s">
        <v>5578</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5636</v>
      </c>
    </row>
    <row r="102" spans="1:65" s="2" customFormat="1" ht="68.25">
      <c r="A102" s="36"/>
      <c r="B102" s="37"/>
      <c r="C102" s="38"/>
      <c r="D102" s="196" t="s">
        <v>1226</v>
      </c>
      <c r="E102" s="38"/>
      <c r="F102" s="248" t="s">
        <v>5637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5638</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5639</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5640</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5641</v>
      </c>
    </row>
    <row r="109" spans="1:65" s="2" customFormat="1" ht="16.5" customHeight="1">
      <c r="A109" s="36"/>
      <c r="B109" s="37"/>
      <c r="C109" s="227" t="s">
        <v>420</v>
      </c>
      <c r="D109" s="227" t="s">
        <v>465</v>
      </c>
      <c r="E109" s="228" t="s">
        <v>3428</v>
      </c>
      <c r="F109" s="229" t="s">
        <v>5587</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5642</v>
      </c>
    </row>
    <row r="110" spans="1:65" s="2" customFormat="1" ht="68.25">
      <c r="A110" s="36"/>
      <c r="B110" s="37"/>
      <c r="C110" s="38"/>
      <c r="D110" s="196" t="s">
        <v>1226</v>
      </c>
      <c r="E110" s="38"/>
      <c r="F110" s="248" t="s">
        <v>5643</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5644</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181" t="s">
        <v>430</v>
      </c>
      <c r="D113" s="181" t="s">
        <v>382</v>
      </c>
      <c r="E113" s="182" t="s">
        <v>3311</v>
      </c>
      <c r="F113" s="183" t="s">
        <v>5509</v>
      </c>
      <c r="G113" s="184" t="s">
        <v>3278</v>
      </c>
      <c r="H113" s="185">
        <v>4</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5645</v>
      </c>
    </row>
    <row r="114" spans="1:65" s="2" customFormat="1" ht="58.5">
      <c r="A114" s="36"/>
      <c r="B114" s="37"/>
      <c r="C114" s="38"/>
      <c r="D114" s="196" t="s">
        <v>1226</v>
      </c>
      <c r="E114" s="38"/>
      <c r="F114" s="248" t="s">
        <v>5511</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5233</v>
      </c>
      <c r="F115" s="183" t="s">
        <v>5234</v>
      </c>
      <c r="G115" s="184" t="s">
        <v>452</v>
      </c>
      <c r="H115" s="185">
        <v>72.599999999999994</v>
      </c>
      <c r="I115" s="186"/>
      <c r="J115" s="187">
        <f>ROUND(I115*H115,2)</f>
        <v>0</v>
      </c>
      <c r="K115" s="183" t="s">
        <v>19</v>
      </c>
      <c r="L115" s="41"/>
      <c r="M115" s="188" t="s">
        <v>19</v>
      </c>
      <c r="N115" s="189" t="s">
        <v>43</v>
      </c>
      <c r="O115" s="66"/>
      <c r="P115" s="190">
        <f>O115*H115</f>
        <v>0</v>
      </c>
      <c r="Q115" s="190">
        <v>3.0000000000000001E-3</v>
      </c>
      <c r="R115" s="190">
        <f>Q115*H115</f>
        <v>0.21779999999999999</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5646</v>
      </c>
    </row>
    <row r="116" spans="1:65" s="2" customFormat="1" ht="39">
      <c r="A116" s="36"/>
      <c r="B116" s="37"/>
      <c r="C116" s="38"/>
      <c r="D116" s="196" t="s">
        <v>1226</v>
      </c>
      <c r="E116" s="38"/>
      <c r="F116" s="248" t="s">
        <v>5236</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14" customFormat="1" ht="11.25">
      <c r="B117" s="205"/>
      <c r="C117" s="206"/>
      <c r="D117" s="196" t="s">
        <v>388</v>
      </c>
      <c r="E117" s="207" t="s">
        <v>19</v>
      </c>
      <c r="F117" s="208" t="s">
        <v>5647</v>
      </c>
      <c r="G117" s="206"/>
      <c r="H117" s="209">
        <v>72.599999999999994</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5238</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5" customFormat="1" ht="11.25">
      <c r="B119" s="216"/>
      <c r="C119" s="217"/>
      <c r="D119" s="196" t="s">
        <v>388</v>
      </c>
      <c r="E119" s="218" t="s">
        <v>19</v>
      </c>
      <c r="F119" s="219" t="s">
        <v>419</v>
      </c>
      <c r="G119" s="217"/>
      <c r="H119" s="220">
        <v>72.599999999999994</v>
      </c>
      <c r="I119" s="221"/>
      <c r="J119" s="217"/>
      <c r="K119" s="217"/>
      <c r="L119" s="222"/>
      <c r="M119" s="223"/>
      <c r="N119" s="224"/>
      <c r="O119" s="224"/>
      <c r="P119" s="224"/>
      <c r="Q119" s="224"/>
      <c r="R119" s="224"/>
      <c r="S119" s="224"/>
      <c r="T119" s="225"/>
      <c r="AT119" s="226" t="s">
        <v>388</v>
      </c>
      <c r="AU119" s="226" t="s">
        <v>82</v>
      </c>
      <c r="AV119" s="15" t="s">
        <v>386</v>
      </c>
      <c r="AW119" s="15" t="s">
        <v>33</v>
      </c>
      <c r="AX119" s="15" t="s">
        <v>79</v>
      </c>
      <c r="AY119" s="226" t="s">
        <v>380</v>
      </c>
    </row>
    <row r="120" spans="1:65" s="2" customFormat="1" ht="16.5" customHeight="1">
      <c r="A120" s="36"/>
      <c r="B120" s="37"/>
      <c r="C120" s="181" t="s">
        <v>125</v>
      </c>
      <c r="D120" s="181" t="s">
        <v>382</v>
      </c>
      <c r="E120" s="182" t="s">
        <v>3895</v>
      </c>
      <c r="F120" s="183" t="s">
        <v>5239</v>
      </c>
      <c r="G120" s="184" t="s">
        <v>452</v>
      </c>
      <c r="H120" s="185">
        <v>66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5648</v>
      </c>
    </row>
    <row r="121" spans="1:65" s="14" customFormat="1" ht="11.25">
      <c r="B121" s="205"/>
      <c r="C121" s="206"/>
      <c r="D121" s="196" t="s">
        <v>388</v>
      </c>
      <c r="E121" s="207" t="s">
        <v>19</v>
      </c>
      <c r="F121" s="208" t="s">
        <v>795</v>
      </c>
      <c r="G121" s="206"/>
      <c r="H121" s="209">
        <v>66</v>
      </c>
      <c r="I121" s="210"/>
      <c r="J121" s="206"/>
      <c r="K121" s="206"/>
      <c r="L121" s="211"/>
      <c r="M121" s="212"/>
      <c r="N121" s="213"/>
      <c r="O121" s="213"/>
      <c r="P121" s="213"/>
      <c r="Q121" s="213"/>
      <c r="R121" s="213"/>
      <c r="S121" s="213"/>
      <c r="T121" s="214"/>
      <c r="AT121" s="215" t="s">
        <v>388</v>
      </c>
      <c r="AU121" s="215" t="s">
        <v>82</v>
      </c>
      <c r="AV121" s="14" t="s">
        <v>82</v>
      </c>
      <c r="AW121" s="14" t="s">
        <v>33</v>
      </c>
      <c r="AX121" s="14" t="s">
        <v>79</v>
      </c>
      <c r="AY121" s="215" t="s">
        <v>380</v>
      </c>
    </row>
    <row r="122" spans="1:65" s="12" customFormat="1" ht="22.9" customHeight="1">
      <c r="B122" s="165"/>
      <c r="C122" s="166"/>
      <c r="D122" s="167" t="s">
        <v>71</v>
      </c>
      <c r="E122" s="179" t="s">
        <v>5456</v>
      </c>
      <c r="F122" s="179" t="s">
        <v>5457</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380</v>
      </c>
      <c r="BK122" s="178">
        <f>SUM(BK123:BK124)</f>
        <v>0</v>
      </c>
    </row>
    <row r="123" spans="1:65" s="2" customFormat="1" ht="16.5" customHeight="1">
      <c r="A123" s="36"/>
      <c r="B123" s="37"/>
      <c r="C123" s="181" t="s">
        <v>128</v>
      </c>
      <c r="D123" s="181" t="s">
        <v>382</v>
      </c>
      <c r="E123" s="182" t="s">
        <v>5458</v>
      </c>
      <c r="F123" s="183" t="s">
        <v>5459</v>
      </c>
      <c r="G123" s="184" t="s">
        <v>3278</v>
      </c>
      <c r="H123" s="185">
        <v>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5649</v>
      </c>
    </row>
    <row r="124" spans="1:65" s="14" customFormat="1" ht="11.25">
      <c r="B124" s="205"/>
      <c r="C124" s="206"/>
      <c r="D124" s="196" t="s">
        <v>388</v>
      </c>
      <c r="E124" s="207" t="s">
        <v>19</v>
      </c>
      <c r="F124" s="208" t="s">
        <v>3739</v>
      </c>
      <c r="G124" s="206"/>
      <c r="H124" s="209">
        <v>8</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3450</v>
      </c>
      <c r="F125" s="179" t="s">
        <v>3451</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380</v>
      </c>
      <c r="BK125" s="178">
        <f>SUM(BK126:BK130)</f>
        <v>0</v>
      </c>
    </row>
    <row r="126" spans="1:65" s="2" customFormat="1" ht="16.5" customHeight="1">
      <c r="A126" s="36"/>
      <c r="B126" s="37"/>
      <c r="C126" s="181" t="s">
        <v>131</v>
      </c>
      <c r="D126" s="181" t="s">
        <v>382</v>
      </c>
      <c r="E126" s="182" t="s">
        <v>3452</v>
      </c>
      <c r="F126" s="183" t="s">
        <v>5241</v>
      </c>
      <c r="G126" s="184" t="s">
        <v>2389</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5650</v>
      </c>
    </row>
    <row r="127" spans="1:65" s="2" customFormat="1" ht="16.5" customHeight="1">
      <c r="A127" s="36"/>
      <c r="B127" s="37"/>
      <c r="C127" s="181" t="s">
        <v>134</v>
      </c>
      <c r="D127" s="181" t="s">
        <v>382</v>
      </c>
      <c r="E127" s="182" t="s">
        <v>3456</v>
      </c>
      <c r="F127" s="183" t="s">
        <v>5243</v>
      </c>
      <c r="G127" s="184" t="s">
        <v>2389</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5651</v>
      </c>
    </row>
    <row r="128" spans="1:65" s="2" customFormat="1" ht="29.25">
      <c r="A128" s="36"/>
      <c r="B128" s="37"/>
      <c r="C128" s="38"/>
      <c r="D128" s="196" t="s">
        <v>1226</v>
      </c>
      <c r="E128" s="38"/>
      <c r="F128" s="248" t="s">
        <v>5245</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2" customFormat="1" ht="16.5" customHeight="1">
      <c r="A129" s="36"/>
      <c r="B129" s="37"/>
      <c r="C129" s="181" t="s">
        <v>8</v>
      </c>
      <c r="D129" s="181" t="s">
        <v>382</v>
      </c>
      <c r="E129" s="182" t="s">
        <v>3458</v>
      </c>
      <c r="F129" s="183" t="s">
        <v>3462</v>
      </c>
      <c r="G129" s="184" t="s">
        <v>2389</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5652</v>
      </c>
    </row>
    <row r="130" spans="1:65" s="2" customFormat="1" ht="19.5">
      <c r="A130" s="36"/>
      <c r="B130" s="37"/>
      <c r="C130" s="38"/>
      <c r="D130" s="196" t="s">
        <v>1226</v>
      </c>
      <c r="E130" s="38"/>
      <c r="F130" s="248" t="s">
        <v>5247</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12" customFormat="1" ht="22.9" customHeight="1">
      <c r="B131" s="165"/>
      <c r="C131" s="166"/>
      <c r="D131" s="167" t="s">
        <v>71</v>
      </c>
      <c r="E131" s="179" t="s">
        <v>2076</v>
      </c>
      <c r="F131" s="179" t="s">
        <v>3534</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380</v>
      </c>
      <c r="BK131" s="178">
        <f>SUM(BK132:BK134)</f>
        <v>0</v>
      </c>
    </row>
    <row r="132" spans="1:65" s="2" customFormat="1" ht="16.5" customHeight="1">
      <c r="A132" s="36"/>
      <c r="B132" s="37"/>
      <c r="C132" s="181" t="s">
        <v>281</v>
      </c>
      <c r="D132" s="181" t="s">
        <v>382</v>
      </c>
      <c r="E132" s="182" t="s">
        <v>3535</v>
      </c>
      <c r="F132" s="183" t="s">
        <v>5248</v>
      </c>
      <c r="G132" s="184" t="s">
        <v>5249</v>
      </c>
      <c r="H132" s="185">
        <v>132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5653</v>
      </c>
    </row>
    <row r="133" spans="1:65" s="14" customFormat="1" ht="11.25">
      <c r="B133" s="205"/>
      <c r="C133" s="206"/>
      <c r="D133" s="196" t="s">
        <v>388</v>
      </c>
      <c r="E133" s="207" t="s">
        <v>19</v>
      </c>
      <c r="F133" s="208" t="s">
        <v>5654</v>
      </c>
      <c r="G133" s="206"/>
      <c r="H133" s="209">
        <v>132</v>
      </c>
      <c r="I133" s="210"/>
      <c r="J133" s="206"/>
      <c r="K133" s="206"/>
      <c r="L133" s="211"/>
      <c r="M133" s="212"/>
      <c r="N133" s="213"/>
      <c r="O133" s="213"/>
      <c r="P133" s="213"/>
      <c r="Q133" s="213"/>
      <c r="R133" s="213"/>
      <c r="S133" s="213"/>
      <c r="T133" s="214"/>
      <c r="AT133" s="215" t="s">
        <v>388</v>
      </c>
      <c r="AU133" s="215" t="s">
        <v>82</v>
      </c>
      <c r="AV133" s="14" t="s">
        <v>82</v>
      </c>
      <c r="AW133" s="14" t="s">
        <v>33</v>
      </c>
      <c r="AX133" s="14" t="s">
        <v>79</v>
      </c>
      <c r="AY133" s="215" t="s">
        <v>380</v>
      </c>
    </row>
    <row r="134" spans="1:65" s="2" customFormat="1" ht="16.5" customHeight="1">
      <c r="A134" s="36"/>
      <c r="B134" s="37"/>
      <c r="C134" s="181" t="s">
        <v>471</v>
      </c>
      <c r="D134" s="181" t="s">
        <v>382</v>
      </c>
      <c r="E134" s="182" t="s">
        <v>5252</v>
      </c>
      <c r="F134" s="183" t="s">
        <v>5253</v>
      </c>
      <c r="G134" s="184" t="s">
        <v>2678</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5655</v>
      </c>
    </row>
    <row r="135" spans="1:65" s="12" customFormat="1" ht="22.9" customHeight="1">
      <c r="B135" s="165"/>
      <c r="C135" s="166"/>
      <c r="D135" s="167" t="s">
        <v>71</v>
      </c>
      <c r="E135" s="179" t="s">
        <v>2287</v>
      </c>
      <c r="F135" s="179" t="s">
        <v>2288</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380</v>
      </c>
      <c r="BK135" s="178">
        <f>BK136</f>
        <v>0</v>
      </c>
    </row>
    <row r="136" spans="1:65" s="2" customFormat="1" ht="16.5" customHeight="1">
      <c r="A136" s="36"/>
      <c r="B136" s="37"/>
      <c r="C136" s="181" t="s">
        <v>477</v>
      </c>
      <c r="D136" s="181" t="s">
        <v>382</v>
      </c>
      <c r="E136" s="182" t="s">
        <v>5256</v>
      </c>
      <c r="F136" s="183" t="s">
        <v>5257</v>
      </c>
      <c r="G136" s="184" t="s">
        <v>3278</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5656</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HClvK5LspKPirZXSXqbEmtPpRMQBQy4OgUwm0BRf34t6WOLT3cJWWsmHhURHT97uSXSct/Rmyk6Bc+FuVL3boQ==" saltValue="wZWl/w0ewaEQ6Op5I4ORJPD3EO8S3TOafN0ePmoJgQwFgleP3e5GRdnimUT8e2+PLBC1PPNzb2h/Jxk2D4Fc7w==" spinCount="100000" sheet="1" objects="1" scenarios="1" formatColumns="0" formatRows="0" autoFilter="0"/>
  <autoFilter ref="C96:K136" xr:uid="{00000000-0009-0000-0000-00002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5657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ROUND((SUM(BE96:BE132)),  2)</f>
        <v>0</v>
      </c>
      <c r="G37" s="36"/>
      <c r="H37" s="36"/>
      <c r="I37" s="127">
        <v>0.21</v>
      </c>
      <c r="J37" s="126">
        <f>ROUND(((SUM(BE96:BE132))*I37),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ROUND((SUM(BF96:BF132)),  2)</f>
        <v>0</v>
      </c>
      <c r="G38" s="36"/>
      <c r="H38" s="36"/>
      <c r="I38" s="127">
        <v>0.15</v>
      </c>
      <c r="J38" s="126">
        <f>ROUND(((SUM(BF96:BF132))*I38),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ROUND((SUM(BG96:BG132)),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ROUND((SUM(BH96:BH132)),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ROUND((SUM(BI96:BI132)),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415 - Okruh depozitáře - M3.06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J121</f>
        <v>0</v>
      </c>
      <c r="K70" s="99"/>
      <c r="L70" s="153"/>
    </row>
    <row r="71" spans="1:47" s="10" customFormat="1" ht="19.899999999999999" customHeight="1">
      <c r="B71" s="149"/>
      <c r="C71" s="99"/>
      <c r="D71" s="150" t="s">
        <v>3465</v>
      </c>
      <c r="E71" s="151"/>
      <c r="F71" s="151"/>
      <c r="G71" s="151"/>
      <c r="H71" s="151"/>
      <c r="I71" s="151"/>
      <c r="J71" s="152">
        <f>J127</f>
        <v>0</v>
      </c>
      <c r="K71" s="99"/>
      <c r="L71" s="153"/>
    </row>
    <row r="72" spans="1:47" s="10" customFormat="1" ht="19.899999999999999" customHeight="1">
      <c r="B72" s="149"/>
      <c r="C72" s="99"/>
      <c r="D72" s="150" t="s">
        <v>361</v>
      </c>
      <c r="E72" s="151"/>
      <c r="F72" s="151"/>
      <c r="G72" s="151"/>
      <c r="H72" s="151"/>
      <c r="I72" s="151"/>
      <c r="J72" s="152">
        <f>J131</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5220</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415 - Okruh depozitáře - M3.06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4. 8. 2021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0.94540000000000002</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P98+P121+P127+P131</f>
        <v>0</v>
      </c>
      <c r="Q97" s="173"/>
      <c r="R97" s="174">
        <f>R98+R121+R127+R131</f>
        <v>0.94540000000000002</v>
      </c>
      <c r="S97" s="173"/>
      <c r="T97" s="175">
        <f>T98+T121+T127+T131</f>
        <v>0</v>
      </c>
      <c r="AR97" s="176" t="s">
        <v>82</v>
      </c>
      <c r="AT97" s="177" t="s">
        <v>71</v>
      </c>
      <c r="AU97" s="177" t="s">
        <v>72</v>
      </c>
      <c r="AY97" s="176" t="s">
        <v>380</v>
      </c>
      <c r="BK97" s="178">
        <f>BK98+BK121+BK127+BK131</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SUM(P99:P120)</f>
        <v>0</v>
      </c>
      <c r="Q98" s="173"/>
      <c r="R98" s="174">
        <f>SUM(R99:R120)</f>
        <v>0.32040000000000002</v>
      </c>
      <c r="S98" s="173"/>
      <c r="T98" s="175">
        <f>SUM(T99:T120)</f>
        <v>0</v>
      </c>
      <c r="AR98" s="176" t="s">
        <v>82</v>
      </c>
      <c r="AT98" s="177" t="s">
        <v>71</v>
      </c>
      <c r="AU98" s="177" t="s">
        <v>79</v>
      </c>
      <c r="AY98" s="176" t="s">
        <v>380</v>
      </c>
      <c r="BK98" s="178">
        <f>SUM(BK99:BK120)</f>
        <v>0</v>
      </c>
    </row>
    <row r="99" spans="1:65" s="2" customFormat="1" ht="21.75" customHeight="1">
      <c r="A99" s="36"/>
      <c r="B99" s="37"/>
      <c r="C99" s="181" t="s">
        <v>79</v>
      </c>
      <c r="D99" s="181" t="s">
        <v>382</v>
      </c>
      <c r="E99" s="182" t="s">
        <v>5487</v>
      </c>
      <c r="F99" s="183" t="s">
        <v>5488</v>
      </c>
      <c r="G99" s="184" t="s">
        <v>641</v>
      </c>
      <c r="H99" s="185">
        <v>4</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5658</v>
      </c>
    </row>
    <row r="100" spans="1:65" s="2" customFormat="1" ht="16.5" customHeight="1">
      <c r="A100" s="36"/>
      <c r="B100" s="37"/>
      <c r="C100" s="227" t="s">
        <v>82</v>
      </c>
      <c r="D100" s="227" t="s">
        <v>465</v>
      </c>
      <c r="E100" s="228" t="s">
        <v>3438</v>
      </c>
      <c r="F100" s="229" t="s">
        <v>5578</v>
      </c>
      <c r="G100" s="230" t="s">
        <v>3278</v>
      </c>
      <c r="H100" s="231">
        <v>4</v>
      </c>
      <c r="I100" s="232"/>
      <c r="J100" s="233">
        <f>ROUND(I100*H100,2)</f>
        <v>0</v>
      </c>
      <c r="K100" s="229" t="s">
        <v>19</v>
      </c>
      <c r="L100" s="234"/>
      <c r="M100" s="235" t="s">
        <v>19</v>
      </c>
      <c r="N100" s="236" t="s">
        <v>43</v>
      </c>
      <c r="O100" s="66"/>
      <c r="P100" s="190">
        <f>O100*H100</f>
        <v>0</v>
      </c>
      <c r="Q100" s="190">
        <v>1.4E-2</v>
      </c>
      <c r="R100" s="190">
        <f>Q100*H100</f>
        <v>5.6000000000000001E-2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5659</v>
      </c>
    </row>
    <row r="101" spans="1:65" s="2" customFormat="1" ht="68.25">
      <c r="A101" s="36"/>
      <c r="B101" s="37"/>
      <c r="C101" s="38"/>
      <c r="D101" s="196" t="s">
        <v>1226</v>
      </c>
      <c r="E101" s="38"/>
      <c r="F101" s="248" t="s">
        <v>5660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24.2" customHeight="1">
      <c r="A102" s="36"/>
      <c r="B102" s="37"/>
      <c r="C102" s="181" t="s">
        <v>99</v>
      </c>
      <c r="D102" s="181" t="s">
        <v>382</v>
      </c>
      <c r="E102" s="182" t="s">
        <v>3432</v>
      </c>
      <c r="F102" s="183" t="s">
        <v>3433</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5661</v>
      </c>
    </row>
    <row r="103" spans="1:65" s="2" customFormat="1" ht="24.2" customHeight="1">
      <c r="A103" s="36"/>
      <c r="B103" s="37"/>
      <c r="C103" s="181" t="s">
        <v>386</v>
      </c>
      <c r="D103" s="181" t="s">
        <v>382</v>
      </c>
      <c r="E103" s="182" t="s">
        <v>3435</v>
      </c>
      <c r="F103" s="183" t="s">
        <v>3436</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5662</v>
      </c>
    </row>
    <row r="104" spans="1:65" s="2" customFormat="1" ht="16.5" customHeight="1">
      <c r="A104" s="36"/>
      <c r="B104" s="37"/>
      <c r="C104" s="181" t="s">
        <v>405</v>
      </c>
      <c r="D104" s="181" t="s">
        <v>382</v>
      </c>
      <c r="E104" s="182" t="s">
        <v>3446</v>
      </c>
      <c r="F104" s="183" t="s">
        <v>5498</v>
      </c>
      <c r="G104" s="184" t="s">
        <v>5499</v>
      </c>
      <c r="H104" s="185">
        <v>4</v>
      </c>
      <c r="I104" s="186"/>
      <c r="J104" s="187">
        <f>ROUND(I104*H104,2)</f>
        <v>0</v>
      </c>
      <c r="K104" s="183" t="s">
        <v>19</v>
      </c>
      <c r="L104" s="41"/>
      <c r="M104" s="188" t="s">
        <v>19</v>
      </c>
      <c r="N104" s="189" t="s">
        <v>43</v>
      </c>
      <c r="O104" s="66"/>
      <c r="P104" s="190">
        <f>O104*H104</f>
        <v>0</v>
      </c>
      <c r="Q104" s="190">
        <v>3.0000000000000001E-3</v>
      </c>
      <c r="R104" s="190">
        <f>Q104*H104</f>
        <v>1.2E-2</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5663</v>
      </c>
    </row>
    <row r="105" spans="1:65" s="2" customFormat="1" ht="19.5">
      <c r="A105" s="36"/>
      <c r="B105" s="37"/>
      <c r="C105" s="38"/>
      <c r="D105" s="196" t="s">
        <v>1226</v>
      </c>
      <c r="E105" s="38"/>
      <c r="F105" s="248" t="s">
        <v>5501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386</v>
      </c>
      <c r="G106" s="206"/>
      <c r="H106" s="209">
        <v>4</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16.5" customHeight="1">
      <c r="A107" s="36"/>
      <c r="B107" s="37"/>
      <c r="C107" s="181" t="s">
        <v>411</v>
      </c>
      <c r="D107" s="181" t="s">
        <v>382</v>
      </c>
      <c r="E107" s="182" t="s">
        <v>5584</v>
      </c>
      <c r="F107" s="183" t="s">
        <v>5585</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5664</v>
      </c>
    </row>
    <row r="108" spans="1:65" s="2" customFormat="1" ht="16.5" customHeight="1">
      <c r="A108" s="36"/>
      <c r="B108" s="37"/>
      <c r="C108" s="227" t="s">
        <v>420</v>
      </c>
      <c r="D108" s="227" t="s">
        <v>465</v>
      </c>
      <c r="E108" s="228" t="s">
        <v>3428</v>
      </c>
      <c r="F108" s="229" t="s">
        <v>5665</v>
      </c>
      <c r="G108" s="230" t="s">
        <v>19</v>
      </c>
      <c r="H108" s="231">
        <v>1</v>
      </c>
      <c r="I108" s="232"/>
      <c r="J108" s="233">
        <f>ROUND(I108*H108,2)</f>
        <v>0</v>
      </c>
      <c r="K108" s="229" t="s">
        <v>19</v>
      </c>
      <c r="L108" s="234"/>
      <c r="M108" s="235" t="s">
        <v>19</v>
      </c>
      <c r="N108" s="236" t="s">
        <v>43</v>
      </c>
      <c r="O108" s="66"/>
      <c r="P108" s="190">
        <f>O108*H108</f>
        <v>0</v>
      </c>
      <c r="Q108" s="190">
        <v>6.0999999999999999E-2</v>
      </c>
      <c r="R108" s="190">
        <f>Q108*H108</f>
        <v>6.0999999999999999E-2</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5666</v>
      </c>
    </row>
    <row r="109" spans="1:65" s="2" customFormat="1" ht="87.75">
      <c r="A109" s="36"/>
      <c r="B109" s="37"/>
      <c r="C109" s="38"/>
      <c r="D109" s="196" t="s">
        <v>1226</v>
      </c>
      <c r="E109" s="38"/>
      <c r="F109" s="248" t="s">
        <v>5667</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227" t="s">
        <v>424</v>
      </c>
      <c r="D110" s="227" t="s">
        <v>465</v>
      </c>
      <c r="E110" s="228" t="s">
        <v>3304</v>
      </c>
      <c r="F110" s="229" t="s">
        <v>5590</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5668</v>
      </c>
    </row>
    <row r="111" spans="1:65" s="2" customFormat="1" ht="19.5">
      <c r="A111" s="36"/>
      <c r="B111" s="37"/>
      <c r="C111" s="38"/>
      <c r="D111" s="196" t="s">
        <v>1226</v>
      </c>
      <c r="E111" s="38"/>
      <c r="F111" s="248" t="s">
        <v>5592</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3311</v>
      </c>
      <c r="F112" s="183" t="s">
        <v>5509</v>
      </c>
      <c r="G112" s="184" t="s">
        <v>3278</v>
      </c>
      <c r="H112" s="185">
        <v>4</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5669</v>
      </c>
    </row>
    <row r="113" spans="1:65" s="2" customFormat="1" ht="58.5">
      <c r="A113" s="36"/>
      <c r="B113" s="37"/>
      <c r="C113" s="38"/>
      <c r="D113" s="196" t="s">
        <v>1226</v>
      </c>
      <c r="E113" s="38"/>
      <c r="F113" s="248" t="s">
        <v>5511</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5233</v>
      </c>
      <c r="F114" s="183" t="s">
        <v>5234</v>
      </c>
      <c r="G114" s="184" t="s">
        <v>452</v>
      </c>
      <c r="H114" s="185">
        <v>63.8</v>
      </c>
      <c r="I114" s="186"/>
      <c r="J114" s="187">
        <f>ROUND(I114*H114,2)</f>
        <v>0</v>
      </c>
      <c r="K114" s="183" t="s">
        <v>19</v>
      </c>
      <c r="L114" s="41"/>
      <c r="M114" s="188" t="s">
        <v>19</v>
      </c>
      <c r="N114" s="189" t="s">
        <v>43</v>
      </c>
      <c r="O114" s="66"/>
      <c r="P114" s="190">
        <f>O114*H114</f>
        <v>0</v>
      </c>
      <c r="Q114" s="190">
        <v>3.0000000000000001E-3</v>
      </c>
      <c r="R114" s="190">
        <f>Q114*H114</f>
        <v>0.19139999999999999</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5670</v>
      </c>
    </row>
    <row r="115" spans="1:65" s="2" customFormat="1" ht="39">
      <c r="A115" s="36"/>
      <c r="B115" s="37"/>
      <c r="C115" s="38"/>
      <c r="D115" s="196" t="s">
        <v>1226</v>
      </c>
      <c r="E115" s="38"/>
      <c r="F115" s="248" t="s">
        <v>5236</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14" customFormat="1" ht="11.25">
      <c r="B116" s="205"/>
      <c r="C116" s="206"/>
      <c r="D116" s="196" t="s">
        <v>388</v>
      </c>
      <c r="E116" s="207" t="s">
        <v>19</v>
      </c>
      <c r="F116" s="208" t="s">
        <v>5671</v>
      </c>
      <c r="G116" s="206"/>
      <c r="H116" s="209">
        <v>63.8</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3" customFormat="1" ht="11.25">
      <c r="B117" s="194"/>
      <c r="C117" s="195"/>
      <c r="D117" s="196" t="s">
        <v>388</v>
      </c>
      <c r="E117" s="197" t="s">
        <v>19</v>
      </c>
      <c r="F117" s="198" t="s">
        <v>5238</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5" customFormat="1" ht="11.25">
      <c r="B118" s="216"/>
      <c r="C118" s="217"/>
      <c r="D118" s="196" t="s">
        <v>388</v>
      </c>
      <c r="E118" s="218" t="s">
        <v>19</v>
      </c>
      <c r="F118" s="219" t="s">
        <v>419</v>
      </c>
      <c r="G118" s="217"/>
      <c r="H118" s="220">
        <v>63.8</v>
      </c>
      <c r="I118" s="221"/>
      <c r="J118" s="217"/>
      <c r="K118" s="217"/>
      <c r="L118" s="222"/>
      <c r="M118" s="223"/>
      <c r="N118" s="224"/>
      <c r="O118" s="224"/>
      <c r="P118" s="224"/>
      <c r="Q118" s="224"/>
      <c r="R118" s="224"/>
      <c r="S118" s="224"/>
      <c r="T118" s="225"/>
      <c r="AT118" s="226" t="s">
        <v>388</v>
      </c>
      <c r="AU118" s="226" t="s">
        <v>82</v>
      </c>
      <c r="AV118" s="15" t="s">
        <v>386</v>
      </c>
      <c r="AW118" s="15" t="s">
        <v>33</v>
      </c>
      <c r="AX118" s="15" t="s">
        <v>79</v>
      </c>
      <c r="AY118" s="226" t="s">
        <v>380</v>
      </c>
    </row>
    <row r="119" spans="1:65" s="2" customFormat="1" ht="16.5" customHeight="1">
      <c r="A119" s="36"/>
      <c r="B119" s="37"/>
      <c r="C119" s="181" t="s">
        <v>125</v>
      </c>
      <c r="D119" s="181" t="s">
        <v>382</v>
      </c>
      <c r="E119" s="182" t="s">
        <v>3895</v>
      </c>
      <c r="F119" s="183" t="s">
        <v>5239</v>
      </c>
      <c r="G119" s="184" t="s">
        <v>452</v>
      </c>
      <c r="H119" s="185">
        <v>58</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281</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5672</v>
      </c>
    </row>
    <row r="120" spans="1:65" s="14" customFormat="1" ht="11.25">
      <c r="B120" s="205"/>
      <c r="C120" s="206"/>
      <c r="D120" s="196" t="s">
        <v>388</v>
      </c>
      <c r="E120" s="207" t="s">
        <v>19</v>
      </c>
      <c r="F120" s="208" t="s">
        <v>753</v>
      </c>
      <c r="G120" s="206"/>
      <c r="H120" s="209">
        <v>58</v>
      </c>
      <c r="I120" s="210"/>
      <c r="J120" s="206"/>
      <c r="K120" s="206"/>
      <c r="L120" s="211"/>
      <c r="M120" s="212"/>
      <c r="N120" s="213"/>
      <c r="O120" s="213"/>
      <c r="P120" s="213"/>
      <c r="Q120" s="213"/>
      <c r="R120" s="213"/>
      <c r="S120" s="213"/>
      <c r="T120" s="214"/>
      <c r="AT120" s="215" t="s">
        <v>388</v>
      </c>
      <c r="AU120" s="215" t="s">
        <v>82</v>
      </c>
      <c r="AV120" s="14" t="s">
        <v>82</v>
      </c>
      <c r="AW120" s="14" t="s">
        <v>33</v>
      </c>
      <c r="AX120" s="14" t="s">
        <v>79</v>
      </c>
      <c r="AY120" s="215" t="s">
        <v>380</v>
      </c>
    </row>
    <row r="121" spans="1:65" s="12" customFormat="1" ht="22.9" customHeight="1">
      <c r="B121" s="165"/>
      <c r="C121" s="166"/>
      <c r="D121" s="167" t="s">
        <v>71</v>
      </c>
      <c r="E121" s="179" t="s">
        <v>3450</v>
      </c>
      <c r="F121" s="179" t="s">
        <v>3451</v>
      </c>
      <c r="G121" s="166"/>
      <c r="H121" s="166"/>
      <c r="I121" s="169"/>
      <c r="J121" s="180">
        <f>BK121</f>
        <v>0</v>
      </c>
      <c r="K121" s="166"/>
      <c r="L121" s="171"/>
      <c r="M121" s="172"/>
      <c r="N121" s="173"/>
      <c r="O121" s="173"/>
      <c r="P121" s="174">
        <f>SUM(P122:P126)</f>
        <v>0</v>
      </c>
      <c r="Q121" s="173"/>
      <c r="R121" s="174">
        <f>SUM(R122:R126)</f>
        <v>0</v>
      </c>
      <c r="S121" s="173"/>
      <c r="T121" s="175">
        <f>SUM(T122:T126)</f>
        <v>0</v>
      </c>
      <c r="AR121" s="176" t="s">
        <v>82</v>
      </c>
      <c r="AT121" s="177" t="s">
        <v>71</v>
      </c>
      <c r="AU121" s="177" t="s">
        <v>79</v>
      </c>
      <c r="AY121" s="176" t="s">
        <v>380</v>
      </c>
      <c r="BK121" s="178">
        <f>SUM(BK122:BK126)</f>
        <v>0</v>
      </c>
    </row>
    <row r="122" spans="1:65" s="2" customFormat="1" ht="16.5" customHeight="1">
      <c r="A122" s="36"/>
      <c r="B122" s="37"/>
      <c r="C122" s="181" t="s">
        <v>128</v>
      </c>
      <c r="D122" s="181" t="s">
        <v>382</v>
      </c>
      <c r="E122" s="182" t="s">
        <v>3452</v>
      </c>
      <c r="F122" s="183" t="s">
        <v>5241</v>
      </c>
      <c r="G122" s="184" t="s">
        <v>2389</v>
      </c>
      <c r="H122" s="185">
        <v>48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5673</v>
      </c>
    </row>
    <row r="123" spans="1:65" s="2" customFormat="1" ht="16.5" customHeight="1">
      <c r="A123" s="36"/>
      <c r="B123" s="37"/>
      <c r="C123" s="181" t="s">
        <v>131</v>
      </c>
      <c r="D123" s="181" t="s">
        <v>382</v>
      </c>
      <c r="E123" s="182" t="s">
        <v>3456</v>
      </c>
      <c r="F123" s="183" t="s">
        <v>5243</v>
      </c>
      <c r="G123" s="184" t="s">
        <v>2389</v>
      </c>
      <c r="H123" s="185">
        <v>48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5674</v>
      </c>
    </row>
    <row r="124" spans="1:65" s="2" customFormat="1" ht="29.25">
      <c r="A124" s="36"/>
      <c r="B124" s="37"/>
      <c r="C124" s="38"/>
      <c r="D124" s="196" t="s">
        <v>1226</v>
      </c>
      <c r="E124" s="38"/>
      <c r="F124" s="248" t="s">
        <v>5245</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2" customFormat="1" ht="16.5" customHeight="1">
      <c r="A125" s="36"/>
      <c r="B125" s="37"/>
      <c r="C125" s="181" t="s">
        <v>134</v>
      </c>
      <c r="D125" s="181" t="s">
        <v>382</v>
      </c>
      <c r="E125" s="182" t="s">
        <v>3458</v>
      </c>
      <c r="F125" s="183" t="s">
        <v>3462</v>
      </c>
      <c r="G125" s="184" t="s">
        <v>2389</v>
      </c>
      <c r="H125" s="185">
        <v>16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5675</v>
      </c>
    </row>
    <row r="126" spans="1:65" s="2" customFormat="1" ht="19.5">
      <c r="A126" s="36"/>
      <c r="B126" s="37"/>
      <c r="C126" s="38"/>
      <c r="D126" s="196" t="s">
        <v>1226</v>
      </c>
      <c r="E126" s="38"/>
      <c r="F126" s="248" t="s">
        <v>5247</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12" customFormat="1" ht="22.9" customHeight="1">
      <c r="B127" s="165"/>
      <c r="C127" s="166"/>
      <c r="D127" s="167" t="s">
        <v>71</v>
      </c>
      <c r="E127" s="179" t="s">
        <v>2076</v>
      </c>
      <c r="F127" s="179" t="s">
        <v>3534</v>
      </c>
      <c r="G127" s="166"/>
      <c r="H127" s="166"/>
      <c r="I127" s="169"/>
      <c r="J127" s="180">
        <f>BK127</f>
        <v>0</v>
      </c>
      <c r="K127" s="166"/>
      <c r="L127" s="171"/>
      <c r="M127" s="172"/>
      <c r="N127" s="173"/>
      <c r="O127" s="173"/>
      <c r="P127" s="174">
        <f>SUM(P128:P130)</f>
        <v>0</v>
      </c>
      <c r="Q127" s="173"/>
      <c r="R127" s="174">
        <f>SUM(R128:R130)</f>
        <v>0.625</v>
      </c>
      <c r="S127" s="173"/>
      <c r="T127" s="175">
        <f>SUM(T128:T130)</f>
        <v>0</v>
      </c>
      <c r="AR127" s="176" t="s">
        <v>82</v>
      </c>
      <c r="AT127" s="177" t="s">
        <v>71</v>
      </c>
      <c r="AU127" s="177" t="s">
        <v>79</v>
      </c>
      <c r="AY127" s="176" t="s">
        <v>380</v>
      </c>
      <c r="BK127" s="178">
        <f>SUM(BK128:BK130)</f>
        <v>0</v>
      </c>
    </row>
    <row r="128" spans="1:65" s="2" customFormat="1" ht="16.5" customHeight="1">
      <c r="A128" s="36"/>
      <c r="B128" s="37"/>
      <c r="C128" s="181" t="s">
        <v>8</v>
      </c>
      <c r="D128" s="181" t="s">
        <v>382</v>
      </c>
      <c r="E128" s="182" t="s">
        <v>3535</v>
      </c>
      <c r="F128" s="183" t="s">
        <v>5248</v>
      </c>
      <c r="G128" s="184" t="s">
        <v>5249</v>
      </c>
      <c r="H128" s="185">
        <v>116</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5676</v>
      </c>
    </row>
    <row r="129" spans="1:65" s="14" customFormat="1" ht="11.25">
      <c r="B129" s="205"/>
      <c r="C129" s="206"/>
      <c r="D129" s="196" t="s">
        <v>388</v>
      </c>
      <c r="E129" s="207" t="s">
        <v>19</v>
      </c>
      <c r="F129" s="208" t="s">
        <v>5677</v>
      </c>
      <c r="G129" s="206"/>
      <c r="H129" s="209">
        <v>116</v>
      </c>
      <c r="I129" s="210"/>
      <c r="J129" s="206"/>
      <c r="K129" s="206"/>
      <c r="L129" s="211"/>
      <c r="M129" s="212"/>
      <c r="N129" s="213"/>
      <c r="O129" s="213"/>
      <c r="P129" s="213"/>
      <c r="Q129" s="213"/>
      <c r="R129" s="213"/>
      <c r="S129" s="213"/>
      <c r="T129" s="214"/>
      <c r="AT129" s="215" t="s">
        <v>388</v>
      </c>
      <c r="AU129" s="215" t="s">
        <v>82</v>
      </c>
      <c r="AV129" s="14" t="s">
        <v>82</v>
      </c>
      <c r="AW129" s="14" t="s">
        <v>33</v>
      </c>
      <c r="AX129" s="14" t="s">
        <v>79</v>
      </c>
      <c r="AY129" s="215" t="s">
        <v>380</v>
      </c>
    </row>
    <row r="130" spans="1:65" s="2" customFormat="1" ht="16.5" customHeight="1">
      <c r="A130" s="36"/>
      <c r="B130" s="37"/>
      <c r="C130" s="181" t="s">
        <v>281</v>
      </c>
      <c r="D130" s="181" t="s">
        <v>382</v>
      </c>
      <c r="E130" s="182" t="s">
        <v>5252</v>
      </c>
      <c r="F130" s="183" t="s">
        <v>5253</v>
      </c>
      <c r="G130" s="184" t="s">
        <v>2678</v>
      </c>
      <c r="H130" s="185">
        <v>25</v>
      </c>
      <c r="I130" s="186"/>
      <c r="J130" s="187">
        <f>ROUND(I130*H130,2)</f>
        <v>0</v>
      </c>
      <c r="K130" s="183" t="s">
        <v>19</v>
      </c>
      <c r="L130" s="41"/>
      <c r="M130" s="188" t="s">
        <v>19</v>
      </c>
      <c r="N130" s="189" t="s">
        <v>43</v>
      </c>
      <c r="O130" s="66"/>
      <c r="P130" s="190">
        <f>O130*H130</f>
        <v>0</v>
      </c>
      <c r="Q130" s="190">
        <v>2.5000000000000001E-2</v>
      </c>
      <c r="R130" s="190">
        <f>Q130*H130</f>
        <v>0.625</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5678</v>
      </c>
    </row>
    <row r="131" spans="1:65" s="12" customFormat="1" ht="22.9" customHeight="1">
      <c r="B131" s="165"/>
      <c r="C131" s="166"/>
      <c r="D131" s="167" t="s">
        <v>71</v>
      </c>
      <c r="E131" s="179" t="s">
        <v>2287</v>
      </c>
      <c r="F131" s="179" t="s">
        <v>2288</v>
      </c>
      <c r="G131" s="166"/>
      <c r="H131" s="166"/>
      <c r="I131" s="169"/>
      <c r="J131" s="180">
        <f>BK131</f>
        <v>0</v>
      </c>
      <c r="K131" s="166"/>
      <c r="L131" s="171"/>
      <c r="M131" s="172"/>
      <c r="N131" s="173"/>
      <c r="O131" s="173"/>
      <c r="P131" s="174">
        <f>P132</f>
        <v>0</v>
      </c>
      <c r="Q131" s="173"/>
      <c r="R131" s="174">
        <f>R132</f>
        <v>0</v>
      </c>
      <c r="S131" s="173"/>
      <c r="T131" s="175">
        <f>T132</f>
        <v>0</v>
      </c>
      <c r="AR131" s="176" t="s">
        <v>82</v>
      </c>
      <c r="AT131" s="177" t="s">
        <v>71</v>
      </c>
      <c r="AU131" s="177" t="s">
        <v>79</v>
      </c>
      <c r="AY131" s="176" t="s">
        <v>380</v>
      </c>
      <c r="BK131" s="178">
        <f>BK132</f>
        <v>0</v>
      </c>
    </row>
    <row r="132" spans="1:65" s="2" customFormat="1" ht="16.5" customHeight="1">
      <c r="A132" s="36"/>
      <c r="B132" s="37"/>
      <c r="C132" s="181" t="s">
        <v>471</v>
      </c>
      <c r="D132" s="181" t="s">
        <v>382</v>
      </c>
      <c r="E132" s="182" t="s">
        <v>5256</v>
      </c>
      <c r="F132" s="183" t="s">
        <v>5257</v>
      </c>
      <c r="G132" s="184" t="s">
        <v>3278</v>
      </c>
      <c r="H132" s="185">
        <v>1</v>
      </c>
      <c r="I132" s="186"/>
      <c r="J132" s="187">
        <f>ROUND(I132*H132,2)</f>
        <v>0</v>
      </c>
      <c r="K132" s="183" t="s">
        <v>19</v>
      </c>
      <c r="L132" s="41"/>
      <c r="M132" s="252" t="s">
        <v>19</v>
      </c>
      <c r="N132" s="253" t="s">
        <v>43</v>
      </c>
      <c r="O132" s="254"/>
      <c r="P132" s="255">
        <f>O132*H132</f>
        <v>0</v>
      </c>
      <c r="Q132" s="255">
        <v>0</v>
      </c>
      <c r="R132" s="255">
        <f>Q132*H132</f>
        <v>0</v>
      </c>
      <c r="S132" s="255">
        <v>0</v>
      </c>
      <c r="T132" s="256">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5679</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1m5oQmgfbm4ltftrtr1pVhGxIodFxCO753sb+HANrX4Hna4L4ft3ktu2gBYBO1XfSYHKyWd1UaK5X8xk8EIv5Q==" saltValue="DgGbWf0PnzPcwb2XHU5DfMIQX3YKJSjg1WBguZcijbaa2+viutv5dzxhtQ6a1LGP0DwuUXS4Hs9wtWp/1U+c2A==" spinCount="100000" sheet="1" objects="1" scenarios="1" formatColumns="0" formatRows="0" autoFilter="0"/>
  <autoFilter ref="C95:K132" xr:uid="{00000000-0009-0000-0000-00002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5680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417 - Okruh depozitáře - M1.04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417 - Okruh depozitáře - M1.04</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0.91735</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0.91735</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0.29235</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5681</v>
      </c>
    </row>
    <row r="101" spans="1:65" s="2" customFormat="1" ht="16.5" customHeight="1">
      <c r="A101" s="36"/>
      <c r="B101" s="37"/>
      <c r="C101" s="227" t="s">
        <v>82</v>
      </c>
      <c r="D101" s="227" t="s">
        <v>465</v>
      </c>
      <c r="E101" s="228" t="s">
        <v>3438</v>
      </c>
      <c r="F101" s="229" t="s">
        <v>5682</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5683</v>
      </c>
    </row>
    <row r="102" spans="1:65" s="2" customFormat="1" ht="78">
      <c r="A102" s="36"/>
      <c r="B102" s="37"/>
      <c r="C102" s="38"/>
      <c r="D102" s="196" t="s">
        <v>1226</v>
      </c>
      <c r="E102" s="38"/>
      <c r="F102" s="248" t="s">
        <v>5684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5685</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5686</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5687</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5688</v>
      </c>
    </row>
    <row r="109" spans="1:65" s="2" customFormat="1" ht="16.5" customHeight="1">
      <c r="A109" s="36"/>
      <c r="B109" s="37"/>
      <c r="C109" s="227" t="s">
        <v>420</v>
      </c>
      <c r="D109" s="227" t="s">
        <v>465</v>
      </c>
      <c r="E109" s="228" t="s">
        <v>3428</v>
      </c>
      <c r="F109" s="229" t="s">
        <v>5689</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5690</v>
      </c>
    </row>
    <row r="110" spans="1:65" s="2" customFormat="1" ht="68.25">
      <c r="A110" s="36"/>
      <c r="B110" s="37"/>
      <c r="C110" s="38"/>
      <c r="D110" s="196" t="s">
        <v>1226</v>
      </c>
      <c r="E110" s="38"/>
      <c r="F110" s="248" t="s">
        <v>5691</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5692</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5693</v>
      </c>
      <c r="F113" s="229" t="s">
        <v>5694</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5695</v>
      </c>
    </row>
    <row r="114" spans="1:65" s="2" customFormat="1" ht="39">
      <c r="A114" s="36"/>
      <c r="B114" s="37"/>
      <c r="C114" s="38"/>
      <c r="D114" s="196" t="s">
        <v>1226</v>
      </c>
      <c r="E114" s="38"/>
      <c r="F114" s="248" t="s">
        <v>5696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5697</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54.45</v>
      </c>
      <c r="I117" s="186"/>
      <c r="J117" s="187">
        <f>ROUND(I117*H117,2)</f>
        <v>0</v>
      </c>
      <c r="K117" s="183" t="s">
        <v>19</v>
      </c>
      <c r="L117" s="41"/>
      <c r="M117" s="188" t="s">
        <v>19</v>
      </c>
      <c r="N117" s="189" t="s">
        <v>43</v>
      </c>
      <c r="O117" s="66"/>
      <c r="P117" s="190">
        <f>O117*H117</f>
        <v>0</v>
      </c>
      <c r="Q117" s="190">
        <v>3.0000000000000001E-3</v>
      </c>
      <c r="R117" s="190">
        <f>Q117*H117</f>
        <v>0.16335000000000002</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5698</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5699</v>
      </c>
      <c r="G119" s="206"/>
      <c r="H119" s="209">
        <v>20.9</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5700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5701</v>
      </c>
      <c r="G121" s="206"/>
      <c r="H121" s="209">
        <v>33.549999999999997</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5238</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54.449999999999996</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5239</v>
      </c>
      <c r="G124" s="184" t="s">
        <v>452</v>
      </c>
      <c r="H124" s="185">
        <v>54.45</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5702</v>
      </c>
    </row>
    <row r="125" spans="1:65" s="14" customFormat="1" ht="11.25">
      <c r="B125" s="205"/>
      <c r="C125" s="206"/>
      <c r="D125" s="196" t="s">
        <v>388</v>
      </c>
      <c r="E125" s="207" t="s">
        <v>19</v>
      </c>
      <c r="F125" s="208" t="s">
        <v>5703</v>
      </c>
      <c r="G125" s="206"/>
      <c r="H125" s="209">
        <v>54.45</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5456</v>
      </c>
      <c r="F126" s="179" t="s">
        <v>5457</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5458</v>
      </c>
      <c r="F127" s="183" t="s">
        <v>5459</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5704</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5241</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5705</v>
      </c>
    </row>
    <row r="131" spans="1:65" s="2" customFormat="1" ht="16.5" customHeight="1">
      <c r="A131" s="36"/>
      <c r="B131" s="37"/>
      <c r="C131" s="181" t="s">
        <v>8</v>
      </c>
      <c r="D131" s="181" t="s">
        <v>382</v>
      </c>
      <c r="E131" s="182" t="s">
        <v>3456</v>
      </c>
      <c r="F131" s="183" t="s">
        <v>5243</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5706</v>
      </c>
    </row>
    <row r="132" spans="1:65" s="2" customFormat="1" ht="29.25">
      <c r="A132" s="36"/>
      <c r="B132" s="37"/>
      <c r="C132" s="38"/>
      <c r="D132" s="196" t="s">
        <v>1226</v>
      </c>
      <c r="E132" s="38"/>
      <c r="F132" s="248" t="s">
        <v>5245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5707</v>
      </c>
    </row>
    <row r="134" spans="1:65" s="2" customFormat="1" ht="19.5">
      <c r="A134" s="36"/>
      <c r="B134" s="37"/>
      <c r="C134" s="38"/>
      <c r="D134" s="196" t="s">
        <v>1226</v>
      </c>
      <c r="E134" s="38"/>
      <c r="F134" s="248" t="s">
        <v>5247</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5248</v>
      </c>
      <c r="G136" s="184" t="s">
        <v>5249</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5708</v>
      </c>
    </row>
    <row r="137" spans="1:65" s="14" customFormat="1" ht="11.25">
      <c r="B137" s="205"/>
      <c r="C137" s="206"/>
      <c r="D137" s="196" t="s">
        <v>388</v>
      </c>
      <c r="E137" s="207" t="s">
        <v>19</v>
      </c>
      <c r="F137" s="208" t="s">
        <v>5677</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5252</v>
      </c>
      <c r="F138" s="183" t="s">
        <v>5253</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5709</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5256</v>
      </c>
      <c r="F140" s="183" t="s">
        <v>5257</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5710</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pQi+IkhqsuIRDgrvNbGwEspCxEUdP2YS5b1FGGz99QIWwN8iOLG6sxAAXFR2mvirF+c9JdM2MPD0Ag2WwS/fmA==" saltValue="tkfVRAkO/wottIH2Gq9ZkDcBUFyRf8pkXFC20E2332aNq4aV+9aLCUMXMRWRodSKmHxGIG5WfAyTi1EHgIUbFQ==" spinCount="100000" sheet="1" objects="1" scenarios="1" formatColumns="0" formatRows="0" autoFilter="0"/>
  <autoFilter ref="C96:K140" xr:uid="{00000000-0009-0000-0000-00002B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5711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418 - Okruh depozitáře - M1.05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418 - Okruh depozitáře - M1.05</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0.95530000000000004</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0.95530000000000004</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0.33029999999999998</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5712</v>
      </c>
    </row>
    <row r="101" spans="1:65" s="2" customFormat="1" ht="16.5" customHeight="1">
      <c r="A101" s="36"/>
      <c r="B101" s="37"/>
      <c r="C101" s="227" t="s">
        <v>82</v>
      </c>
      <c r="D101" s="227" t="s">
        <v>465</v>
      </c>
      <c r="E101" s="228" t="s">
        <v>3438</v>
      </c>
      <c r="F101" s="229" t="s">
        <v>5682</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5713</v>
      </c>
    </row>
    <row r="102" spans="1:65" s="2" customFormat="1" ht="78">
      <c r="A102" s="36"/>
      <c r="B102" s="37"/>
      <c r="C102" s="38"/>
      <c r="D102" s="196" t="s">
        <v>1226</v>
      </c>
      <c r="E102" s="38"/>
      <c r="F102" s="248" t="s">
        <v>5714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5715</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5716</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5717</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5718</v>
      </c>
    </row>
    <row r="109" spans="1:65" s="2" customFormat="1" ht="16.5" customHeight="1">
      <c r="A109" s="36"/>
      <c r="B109" s="37"/>
      <c r="C109" s="227" t="s">
        <v>420</v>
      </c>
      <c r="D109" s="227" t="s">
        <v>465</v>
      </c>
      <c r="E109" s="228" t="s">
        <v>3428</v>
      </c>
      <c r="F109" s="229" t="s">
        <v>5689</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5719</v>
      </c>
    </row>
    <row r="110" spans="1:65" s="2" customFormat="1" ht="68.25">
      <c r="A110" s="36"/>
      <c r="B110" s="37"/>
      <c r="C110" s="38"/>
      <c r="D110" s="196" t="s">
        <v>1226</v>
      </c>
      <c r="E110" s="38"/>
      <c r="F110" s="248" t="s">
        <v>5720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5721</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5693</v>
      </c>
      <c r="F113" s="229" t="s">
        <v>5694</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5722</v>
      </c>
    </row>
    <row r="114" spans="1:65" s="2" customFormat="1" ht="39">
      <c r="A114" s="36"/>
      <c r="B114" s="37"/>
      <c r="C114" s="38"/>
      <c r="D114" s="196" t="s">
        <v>1226</v>
      </c>
      <c r="E114" s="38"/>
      <c r="F114" s="248" t="s">
        <v>5723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5724</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67.099999999999994</v>
      </c>
      <c r="I117" s="186"/>
      <c r="J117" s="187">
        <f>ROUND(I117*H117,2)</f>
        <v>0</v>
      </c>
      <c r="K117" s="183" t="s">
        <v>19</v>
      </c>
      <c r="L117" s="41"/>
      <c r="M117" s="188" t="s">
        <v>19</v>
      </c>
      <c r="N117" s="189" t="s">
        <v>43</v>
      </c>
      <c r="O117" s="66"/>
      <c r="P117" s="190">
        <f>O117*H117</f>
        <v>0</v>
      </c>
      <c r="Q117" s="190">
        <v>3.0000000000000001E-3</v>
      </c>
      <c r="R117" s="190">
        <f>Q117*H117</f>
        <v>0.20129999999999998</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5725</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5726</v>
      </c>
      <c r="G119" s="206"/>
      <c r="H119" s="209">
        <v>31.9</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5700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5546</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5238</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67.099999999999994</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5239</v>
      </c>
      <c r="G124" s="184" t="s">
        <v>452</v>
      </c>
      <c r="H124" s="185">
        <v>67.099999999999994</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5727</v>
      </c>
    </row>
    <row r="125" spans="1:65" s="14" customFormat="1" ht="11.25">
      <c r="B125" s="205"/>
      <c r="C125" s="206"/>
      <c r="D125" s="196" t="s">
        <v>388</v>
      </c>
      <c r="E125" s="207" t="s">
        <v>19</v>
      </c>
      <c r="F125" s="208" t="s">
        <v>5728</v>
      </c>
      <c r="G125" s="206"/>
      <c r="H125" s="209">
        <v>67.099999999999994</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5456</v>
      </c>
      <c r="F126" s="179" t="s">
        <v>5457</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5458</v>
      </c>
      <c r="F127" s="183" t="s">
        <v>5459</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5729</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5241</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5730</v>
      </c>
    </row>
    <row r="131" spans="1:65" s="2" customFormat="1" ht="16.5" customHeight="1">
      <c r="A131" s="36"/>
      <c r="B131" s="37"/>
      <c r="C131" s="181" t="s">
        <v>8</v>
      </c>
      <c r="D131" s="181" t="s">
        <v>382</v>
      </c>
      <c r="E131" s="182" t="s">
        <v>3456</v>
      </c>
      <c r="F131" s="183" t="s">
        <v>5243</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5731</v>
      </c>
    </row>
    <row r="132" spans="1:65" s="2" customFormat="1" ht="29.25">
      <c r="A132" s="36"/>
      <c r="B132" s="37"/>
      <c r="C132" s="38"/>
      <c r="D132" s="196" t="s">
        <v>1226</v>
      </c>
      <c r="E132" s="38"/>
      <c r="F132" s="248" t="s">
        <v>5245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5732</v>
      </c>
    </row>
    <row r="134" spans="1:65" s="2" customFormat="1" ht="19.5">
      <c r="A134" s="36"/>
      <c r="B134" s="37"/>
      <c r="C134" s="38"/>
      <c r="D134" s="196" t="s">
        <v>1226</v>
      </c>
      <c r="E134" s="38"/>
      <c r="F134" s="248" t="s">
        <v>5247</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5248</v>
      </c>
      <c r="G136" s="184" t="s">
        <v>5249</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5733</v>
      </c>
    </row>
    <row r="137" spans="1:65" s="14" customFormat="1" ht="11.25">
      <c r="B137" s="205"/>
      <c r="C137" s="206"/>
      <c r="D137" s="196" t="s">
        <v>388</v>
      </c>
      <c r="E137" s="207" t="s">
        <v>19</v>
      </c>
      <c r="F137" s="208" t="s">
        <v>5677</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5252</v>
      </c>
      <c r="F138" s="183" t="s">
        <v>5253</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5734</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5256</v>
      </c>
      <c r="F140" s="183" t="s">
        <v>5257</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5735</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4Td7NfHDeBRva9IBDLXOL9CVd4yRTuhqffzkfQ+DzkeiDuMtBPVkbd8qrH4IXPMpVEGVdO/uqrb/FVAHEuPqQA==" saltValue="Bpl4LvtelnIg8aY6cYbk/jAy3wNthOLPvRzUuR9EtB4N1Qs//eiTL64lNLZ3VPv0Nr4Od5HoAysLhFGwW7w+vg==" spinCount="100000" sheet="1" objects="1" scenarios="1" formatColumns="0" formatRows="0" autoFilter="0"/>
  <autoFilter ref="C96:K140" xr:uid="{00000000-0009-0000-0000-00002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5736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419 - Okruh depozitáře - M1.07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419 - Okruh depozitáře - M1.07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0.92559999999999998</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0.92559999999999998</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0.30059999999999998</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5737</v>
      </c>
    </row>
    <row r="101" spans="1:65" s="2" customFormat="1" ht="16.5" customHeight="1">
      <c r="A101" s="36"/>
      <c r="B101" s="37"/>
      <c r="C101" s="227" t="s">
        <v>82</v>
      </c>
      <c r="D101" s="227" t="s">
        <v>465</v>
      </c>
      <c r="E101" s="228" t="s">
        <v>3438</v>
      </c>
      <c r="F101" s="229" t="s">
        <v>5682</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5738</v>
      </c>
    </row>
    <row r="102" spans="1:65" s="2" customFormat="1" ht="78">
      <c r="A102" s="36"/>
      <c r="B102" s="37"/>
      <c r="C102" s="38"/>
      <c r="D102" s="196" t="s">
        <v>1226</v>
      </c>
      <c r="E102" s="38"/>
      <c r="F102" s="248" t="s">
        <v>5739</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5740</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5741</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5742</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5743</v>
      </c>
    </row>
    <row r="109" spans="1:65" s="2" customFormat="1" ht="16.5" customHeight="1">
      <c r="A109" s="36"/>
      <c r="B109" s="37"/>
      <c r="C109" s="227" t="s">
        <v>420</v>
      </c>
      <c r="D109" s="227" t="s">
        <v>465</v>
      </c>
      <c r="E109" s="228" t="s">
        <v>3428</v>
      </c>
      <c r="F109" s="229" t="s">
        <v>5689</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5744</v>
      </c>
    </row>
    <row r="110" spans="1:65" s="2" customFormat="1" ht="68.25">
      <c r="A110" s="36"/>
      <c r="B110" s="37"/>
      <c r="C110" s="38"/>
      <c r="D110" s="196" t="s">
        <v>1226</v>
      </c>
      <c r="E110" s="38"/>
      <c r="F110" s="248" t="s">
        <v>5745</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5746</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5693</v>
      </c>
      <c r="F113" s="229" t="s">
        <v>5694</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5747</v>
      </c>
    </row>
    <row r="114" spans="1:65" s="2" customFormat="1" ht="39">
      <c r="A114" s="36"/>
      <c r="B114" s="37"/>
      <c r="C114" s="38"/>
      <c r="D114" s="196" t="s">
        <v>1226</v>
      </c>
      <c r="E114" s="38"/>
      <c r="F114" s="248" t="s">
        <v>5748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5749</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57.2</v>
      </c>
      <c r="I117" s="186"/>
      <c r="J117" s="187">
        <f>ROUND(I117*H117,2)</f>
        <v>0</v>
      </c>
      <c r="K117" s="183" t="s">
        <v>19</v>
      </c>
      <c r="L117" s="41"/>
      <c r="M117" s="188" t="s">
        <v>19</v>
      </c>
      <c r="N117" s="189" t="s">
        <v>43</v>
      </c>
      <c r="O117" s="66"/>
      <c r="P117" s="190">
        <f>O117*H117</f>
        <v>0</v>
      </c>
      <c r="Q117" s="190">
        <v>3.0000000000000001E-3</v>
      </c>
      <c r="R117" s="190">
        <f>Q117*H117</f>
        <v>0.1716</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5750</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5751</v>
      </c>
      <c r="G119" s="206"/>
      <c r="H119" s="209">
        <v>22</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5700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5546</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5238</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57.2</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5239</v>
      </c>
      <c r="G124" s="184" t="s">
        <v>452</v>
      </c>
      <c r="H124" s="185">
        <v>57.2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5752</v>
      </c>
    </row>
    <row r="125" spans="1:65" s="14" customFormat="1" ht="11.25">
      <c r="B125" s="205"/>
      <c r="C125" s="206"/>
      <c r="D125" s="196" t="s">
        <v>388</v>
      </c>
      <c r="E125" s="207" t="s">
        <v>19</v>
      </c>
      <c r="F125" s="208" t="s">
        <v>5753</v>
      </c>
      <c r="G125" s="206"/>
      <c r="H125" s="209">
        <v>57.2</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5456</v>
      </c>
      <c r="F126" s="179" t="s">
        <v>5457</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5458</v>
      </c>
      <c r="F127" s="183" t="s">
        <v>5459</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5754</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5241</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5755</v>
      </c>
    </row>
    <row r="131" spans="1:65" s="2" customFormat="1" ht="16.5" customHeight="1">
      <c r="A131" s="36"/>
      <c r="B131" s="37"/>
      <c r="C131" s="181" t="s">
        <v>8</v>
      </c>
      <c r="D131" s="181" t="s">
        <v>382</v>
      </c>
      <c r="E131" s="182" t="s">
        <v>3456</v>
      </c>
      <c r="F131" s="183" t="s">
        <v>5243</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5756</v>
      </c>
    </row>
    <row r="132" spans="1:65" s="2" customFormat="1" ht="29.25">
      <c r="A132" s="36"/>
      <c r="B132" s="37"/>
      <c r="C132" s="38"/>
      <c r="D132" s="196" t="s">
        <v>1226</v>
      </c>
      <c r="E132" s="38"/>
      <c r="F132" s="248" t="s">
        <v>5245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5757</v>
      </c>
    </row>
    <row r="134" spans="1:65" s="2" customFormat="1" ht="19.5">
      <c r="A134" s="36"/>
      <c r="B134" s="37"/>
      <c r="C134" s="38"/>
      <c r="D134" s="196" t="s">
        <v>1226</v>
      </c>
      <c r="E134" s="38"/>
      <c r="F134" s="248" t="s">
        <v>5247</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5248</v>
      </c>
      <c r="G136" s="184" t="s">
        <v>5249</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5758</v>
      </c>
    </row>
    <row r="137" spans="1:65" s="14" customFormat="1" ht="11.25">
      <c r="B137" s="205"/>
      <c r="C137" s="206"/>
      <c r="D137" s="196" t="s">
        <v>388</v>
      </c>
      <c r="E137" s="207" t="s">
        <v>19</v>
      </c>
      <c r="F137" s="208" t="s">
        <v>5677</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5252</v>
      </c>
      <c r="F138" s="183" t="s">
        <v>5253</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5759</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5256</v>
      </c>
      <c r="F140" s="183" t="s">
        <v>5257</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5760</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cP6nNArmo2iM9leJyeavW9H2Vxxsvvivz+rm6FX6pfWzBducM39GK5nB7rPdaX8XIRRCWDuuwCXO79poiZ7EOQ==" saltValue="CR1kcQ8s+O0r2ZjTGU5IlfeMditiIu+SDgn646wqzR+HBHG4SZWjOhRn/hsSN47i51/kf1FmcJbn/VhyRz9oDA==" spinCount="100000" sheet="1" objects="1" scenarios="1" formatColumns="0" formatRows="0" autoFilter="0"/>
  <autoFilter ref="C96:K140" xr:uid="{00000000-0009-0000-0000-00002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5761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420 - Okruh depozitáře - M1.06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420 - Okruh depozitáře - M1.06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0.95860000000000001</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0.95860000000000001</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0.33360000000000001</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5762</v>
      </c>
    </row>
    <row r="101" spans="1:65" s="2" customFormat="1" ht="16.5" customHeight="1">
      <c r="A101" s="36"/>
      <c r="B101" s="37"/>
      <c r="C101" s="227" t="s">
        <v>82</v>
      </c>
      <c r="D101" s="227" t="s">
        <v>465</v>
      </c>
      <c r="E101" s="228" t="s">
        <v>3438</v>
      </c>
      <c r="F101" s="229" t="s">
        <v>5682</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5763</v>
      </c>
    </row>
    <row r="102" spans="1:65" s="2" customFormat="1" ht="78">
      <c r="A102" s="36"/>
      <c r="B102" s="37"/>
      <c r="C102" s="38"/>
      <c r="D102" s="196" t="s">
        <v>1226</v>
      </c>
      <c r="E102" s="38"/>
      <c r="F102" s="248" t="s">
        <v>5764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5765</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5766</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5767</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5768</v>
      </c>
    </row>
    <row r="109" spans="1:65" s="2" customFormat="1" ht="16.5" customHeight="1">
      <c r="A109" s="36"/>
      <c r="B109" s="37"/>
      <c r="C109" s="227" t="s">
        <v>420</v>
      </c>
      <c r="D109" s="227" t="s">
        <v>465</v>
      </c>
      <c r="E109" s="228" t="s">
        <v>3428</v>
      </c>
      <c r="F109" s="229" t="s">
        <v>5689</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5769</v>
      </c>
    </row>
    <row r="110" spans="1:65" s="2" customFormat="1" ht="68.25">
      <c r="A110" s="36"/>
      <c r="B110" s="37"/>
      <c r="C110" s="38"/>
      <c r="D110" s="196" t="s">
        <v>1226</v>
      </c>
      <c r="E110" s="38"/>
      <c r="F110" s="248" t="s">
        <v>5770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5771</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5693</v>
      </c>
      <c r="F113" s="229" t="s">
        <v>5694</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5772</v>
      </c>
    </row>
    <row r="114" spans="1:65" s="2" customFormat="1" ht="39">
      <c r="A114" s="36"/>
      <c r="B114" s="37"/>
      <c r="C114" s="38"/>
      <c r="D114" s="196" t="s">
        <v>1226</v>
      </c>
      <c r="E114" s="38"/>
      <c r="F114" s="248" t="s">
        <v>5773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5774</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68.2</v>
      </c>
      <c r="I117" s="186"/>
      <c r="J117" s="187">
        <f>ROUND(I117*H117,2)</f>
        <v>0</v>
      </c>
      <c r="K117" s="183" t="s">
        <v>19</v>
      </c>
      <c r="L117" s="41"/>
      <c r="M117" s="188" t="s">
        <v>19</v>
      </c>
      <c r="N117" s="189" t="s">
        <v>43</v>
      </c>
      <c r="O117" s="66"/>
      <c r="P117" s="190">
        <f>O117*H117</f>
        <v>0</v>
      </c>
      <c r="Q117" s="190">
        <v>3.0000000000000001E-3</v>
      </c>
      <c r="R117" s="190">
        <f>Q117*H117</f>
        <v>0.2046</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5775</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5726</v>
      </c>
      <c r="G119" s="206"/>
      <c r="H119" s="209">
        <v>31.9</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5700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5776</v>
      </c>
      <c r="G121" s="206"/>
      <c r="H121" s="209">
        <v>36.299999999999997</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5238</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68.199999999999989</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5239</v>
      </c>
      <c r="G124" s="184" t="s">
        <v>452</v>
      </c>
      <c r="H124" s="185">
        <v>68.2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5777</v>
      </c>
    </row>
    <row r="125" spans="1:65" s="14" customFormat="1" ht="11.25">
      <c r="B125" s="205"/>
      <c r="C125" s="206"/>
      <c r="D125" s="196" t="s">
        <v>388</v>
      </c>
      <c r="E125" s="207" t="s">
        <v>19</v>
      </c>
      <c r="F125" s="208" t="s">
        <v>5778</v>
      </c>
      <c r="G125" s="206"/>
      <c r="H125" s="209">
        <v>68.2</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5456</v>
      </c>
      <c r="F126" s="179" t="s">
        <v>5457</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5458</v>
      </c>
      <c r="F127" s="183" t="s">
        <v>5459</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5779</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5241</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5780</v>
      </c>
    </row>
    <row r="131" spans="1:65" s="2" customFormat="1" ht="16.5" customHeight="1">
      <c r="A131" s="36"/>
      <c r="B131" s="37"/>
      <c r="C131" s="181" t="s">
        <v>8</v>
      </c>
      <c r="D131" s="181" t="s">
        <v>382</v>
      </c>
      <c r="E131" s="182" t="s">
        <v>3456</v>
      </c>
      <c r="F131" s="183" t="s">
        <v>5243</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5781</v>
      </c>
    </row>
    <row r="132" spans="1:65" s="2" customFormat="1" ht="29.25">
      <c r="A132" s="36"/>
      <c r="B132" s="37"/>
      <c r="C132" s="38"/>
      <c r="D132" s="196" t="s">
        <v>1226</v>
      </c>
      <c r="E132" s="38"/>
      <c r="F132" s="248" t="s">
        <v>5245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5782</v>
      </c>
    </row>
    <row r="134" spans="1:65" s="2" customFormat="1" ht="19.5">
      <c r="A134" s="36"/>
      <c r="B134" s="37"/>
      <c r="C134" s="38"/>
      <c r="D134" s="196" t="s">
        <v>1226</v>
      </c>
      <c r="E134" s="38"/>
      <c r="F134" s="248" t="s">
        <v>5247</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5248</v>
      </c>
      <c r="G136" s="184" t="s">
        <v>5249</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5783</v>
      </c>
    </row>
    <row r="137" spans="1:65" s="14" customFormat="1" ht="11.25">
      <c r="B137" s="205"/>
      <c r="C137" s="206"/>
      <c r="D137" s="196" t="s">
        <v>388</v>
      </c>
      <c r="E137" s="207" t="s">
        <v>19</v>
      </c>
      <c r="F137" s="208" t="s">
        <v>5677</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5252</v>
      </c>
      <c r="F138" s="183" t="s">
        <v>5253</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5784</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5256</v>
      </c>
      <c r="F140" s="183" t="s">
        <v>5257</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5785</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aD30qUypdrDhvF9Z5TQvN6yVNwegexVD4fsMQRDNhx23b6C4uXAwuM3F6RDybCpDmqpmLmQNamcDLP7/88Mwgg==" saltValue="J48yHU3A+BpJtQqRtGeacyhnF2MzkMIPxOcEQ/HnuQQuwdDZC0gL71e9Xjpqg6bN9N7j4Hcs4cRYUcx9Lz893Q==" spinCount="100000" sheet="1" objects="1" scenarios="1" formatColumns="0" formatRows="0" autoFilter="0"/>
  <autoFilter ref="C96:K140" xr:uid="{00000000-0009-0000-0000-00002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5786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421 - Okruh depozitáře - M2.07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421 - Okruh depozitáře - M2.07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0.91569999999999996</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0.91569999999999996</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0.29070000000000001</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5787</v>
      </c>
    </row>
    <row r="101" spans="1:65" s="2" customFormat="1" ht="16.5" customHeight="1">
      <c r="A101" s="36"/>
      <c r="B101" s="37"/>
      <c r="C101" s="227" t="s">
        <v>82</v>
      </c>
      <c r="D101" s="227" t="s">
        <v>465</v>
      </c>
      <c r="E101" s="228" t="s">
        <v>3438</v>
      </c>
      <c r="F101" s="229" t="s">
        <v>5682</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5788</v>
      </c>
    </row>
    <row r="102" spans="1:65" s="2" customFormat="1" ht="78">
      <c r="A102" s="36"/>
      <c r="B102" s="37"/>
      <c r="C102" s="38"/>
      <c r="D102" s="196" t="s">
        <v>1226</v>
      </c>
      <c r="E102" s="38"/>
      <c r="F102" s="248" t="s">
        <v>5789</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5790</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5791</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5792</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5793</v>
      </c>
    </row>
    <row r="109" spans="1:65" s="2" customFormat="1" ht="16.5" customHeight="1">
      <c r="A109" s="36"/>
      <c r="B109" s="37"/>
      <c r="C109" s="227" t="s">
        <v>420</v>
      </c>
      <c r="D109" s="227" t="s">
        <v>465</v>
      </c>
      <c r="E109" s="228" t="s">
        <v>3428</v>
      </c>
      <c r="F109" s="229" t="s">
        <v>5689</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5794</v>
      </c>
    </row>
    <row r="110" spans="1:65" s="2" customFormat="1" ht="68.25">
      <c r="A110" s="36"/>
      <c r="B110" s="37"/>
      <c r="C110" s="38"/>
      <c r="D110" s="196" t="s">
        <v>1226</v>
      </c>
      <c r="E110" s="38"/>
      <c r="F110" s="248" t="s">
        <v>5795</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5796</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5693</v>
      </c>
      <c r="F113" s="229" t="s">
        <v>5694</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5797</v>
      </c>
    </row>
    <row r="114" spans="1:65" s="2" customFormat="1" ht="39">
      <c r="A114" s="36"/>
      <c r="B114" s="37"/>
      <c r="C114" s="38"/>
      <c r="D114" s="196" t="s">
        <v>1226</v>
      </c>
      <c r="E114" s="38"/>
      <c r="F114" s="248" t="s">
        <v>5798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5799</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53.9</v>
      </c>
      <c r="I117" s="186"/>
      <c r="J117" s="187">
        <f>ROUND(I117*H117,2)</f>
        <v>0</v>
      </c>
      <c r="K117" s="183" t="s">
        <v>19</v>
      </c>
      <c r="L117" s="41"/>
      <c r="M117" s="188" t="s">
        <v>19</v>
      </c>
      <c r="N117" s="189" t="s">
        <v>43</v>
      </c>
      <c r="O117" s="66"/>
      <c r="P117" s="190">
        <f>O117*H117</f>
        <v>0</v>
      </c>
      <c r="Q117" s="190">
        <v>3.0000000000000001E-3</v>
      </c>
      <c r="R117" s="190">
        <f>Q117*H117</f>
        <v>0.16170000000000001</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5800</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5801</v>
      </c>
      <c r="G119" s="206"/>
      <c r="H119" s="209">
        <v>18.7</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5700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5546</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5238</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53.900000000000006</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5239</v>
      </c>
      <c r="G124" s="184" t="s">
        <v>452</v>
      </c>
      <c r="H124" s="185">
        <v>53.9</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5802</v>
      </c>
    </row>
    <row r="125" spans="1:65" s="14" customFormat="1" ht="11.25">
      <c r="B125" s="205"/>
      <c r="C125" s="206"/>
      <c r="D125" s="196" t="s">
        <v>388</v>
      </c>
      <c r="E125" s="207" t="s">
        <v>19</v>
      </c>
      <c r="F125" s="208" t="s">
        <v>5803</v>
      </c>
      <c r="G125" s="206"/>
      <c r="H125" s="209">
        <v>53.9</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5456</v>
      </c>
      <c r="F126" s="179" t="s">
        <v>5457</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5458</v>
      </c>
      <c r="F127" s="183" t="s">
        <v>5459</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5804</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5241</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5805</v>
      </c>
    </row>
    <row r="131" spans="1:65" s="2" customFormat="1" ht="16.5" customHeight="1">
      <c r="A131" s="36"/>
      <c r="B131" s="37"/>
      <c r="C131" s="181" t="s">
        <v>8</v>
      </c>
      <c r="D131" s="181" t="s">
        <v>382</v>
      </c>
      <c r="E131" s="182" t="s">
        <v>3456</v>
      </c>
      <c r="F131" s="183" t="s">
        <v>5243</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5806</v>
      </c>
    </row>
    <row r="132" spans="1:65" s="2" customFormat="1" ht="29.25">
      <c r="A132" s="36"/>
      <c r="B132" s="37"/>
      <c r="C132" s="38"/>
      <c r="D132" s="196" t="s">
        <v>1226</v>
      </c>
      <c r="E132" s="38"/>
      <c r="F132" s="248" t="s">
        <v>5245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5807</v>
      </c>
    </row>
    <row r="134" spans="1:65" s="2" customFormat="1" ht="19.5">
      <c r="A134" s="36"/>
      <c r="B134" s="37"/>
      <c r="C134" s="38"/>
      <c r="D134" s="196" t="s">
        <v>1226</v>
      </c>
      <c r="E134" s="38"/>
      <c r="F134" s="248" t="s">
        <v>5247</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5248</v>
      </c>
      <c r="G136" s="184" t="s">
        <v>5249</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5808</v>
      </c>
    </row>
    <row r="137" spans="1:65" s="14" customFormat="1" ht="11.25">
      <c r="B137" s="205"/>
      <c r="C137" s="206"/>
      <c r="D137" s="196" t="s">
        <v>388</v>
      </c>
      <c r="E137" s="207" t="s">
        <v>19</v>
      </c>
      <c r="F137" s="208" t="s">
        <v>5677</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5252</v>
      </c>
      <c r="F138" s="183" t="s">
        <v>5253</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5809</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5256</v>
      </c>
      <c r="F140" s="183" t="s">
        <v>5257</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5810</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G8KBOr0JWBDAlrosSK/ZY6ehkT3WLy7ry99aHe9qEwhMMFY09eZVmM3UH0W/m+CKeK+i2aBeTafpyZfNxaK75Q==" saltValue="jWkpb3MZuGLJc19LVEINZ9qnxTRuK8HWlNMb/FD8yY1qdL2p0YrrPpUTqpEyJ3UgvIkqdGfmiyEH81J7wcv+4w==" spinCount="100000" sheet="1" objects="1" scenarios="1" formatColumns="0" formatRows="0" autoFilter="0"/>
  <autoFilter ref="C96:K140" xr:uid="{00000000-0009-0000-0000-00002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5220</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5811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4. 8. 2021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5220</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422 - Okruh depozitáře - M2.06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4. 8. 2021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5443</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5220</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422 - Okruh depozitáře - M2.06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4. 8. 2021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0.94210000000000005</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0.94210000000000005</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0.31710000000000005</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5487</v>
      </c>
      <c r="F100" s="183" t="s">
        <v>5488</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5812</v>
      </c>
    </row>
    <row r="101" spans="1:65" s="2" customFormat="1" ht="16.5" customHeight="1">
      <c r="A101" s="36"/>
      <c r="B101" s="37"/>
      <c r="C101" s="227" t="s">
        <v>82</v>
      </c>
      <c r="D101" s="227" t="s">
        <v>465</v>
      </c>
      <c r="E101" s="228" t="s">
        <v>3438</v>
      </c>
      <c r="F101" s="229" t="s">
        <v>5682</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5813</v>
      </c>
    </row>
    <row r="102" spans="1:65" s="2" customFormat="1" ht="78">
      <c r="A102" s="36"/>
      <c r="B102" s="37"/>
      <c r="C102" s="38"/>
      <c r="D102" s="196" t="s">
        <v>1226</v>
      </c>
      <c r="E102" s="38"/>
      <c r="F102" s="248" t="s">
        <v>5814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5815</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5816</v>
      </c>
    </row>
    <row r="105" spans="1:65" s="2" customFormat="1" ht="16.5" customHeight="1">
      <c r="A105" s="36"/>
      <c r="B105" s="37"/>
      <c r="C105" s="181" t="s">
        <v>405</v>
      </c>
      <c r="D105" s="181" t="s">
        <v>382</v>
      </c>
      <c r="E105" s="182" t="s">
        <v>3446</v>
      </c>
      <c r="F105" s="183" t="s">
        <v>5498</v>
      </c>
      <c r="G105" s="184" t="s">
        <v>5499</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5817</v>
      </c>
    </row>
    <row r="106" spans="1:65" s="2" customFormat="1" ht="19.5">
      <c r="A106" s="36"/>
      <c r="B106" s="37"/>
      <c r="C106" s="38"/>
      <c r="D106" s="196" t="s">
        <v>1226</v>
      </c>
      <c r="E106" s="38"/>
      <c r="F106" s="248" t="s">
        <v>5501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5584</v>
      </c>
      <c r="F108" s="183" t="s">
        <v>5585</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5818</v>
      </c>
    </row>
    <row r="109" spans="1:65" s="2" customFormat="1" ht="16.5" customHeight="1">
      <c r="A109" s="36"/>
      <c r="B109" s="37"/>
      <c r="C109" s="227" t="s">
        <v>420</v>
      </c>
      <c r="D109" s="227" t="s">
        <v>465</v>
      </c>
      <c r="E109" s="228" t="s">
        <v>3428</v>
      </c>
      <c r="F109" s="229" t="s">
        <v>5689</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5819</v>
      </c>
    </row>
    <row r="110" spans="1:65" s="2" customFormat="1" ht="68.25">
      <c r="A110" s="36"/>
      <c r="B110" s="37"/>
      <c r="C110" s="38"/>
      <c r="D110" s="196" t="s">
        <v>1226</v>
      </c>
      <c r="E110" s="38"/>
      <c r="F110" s="248" t="s">
        <v>5820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5590</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5821</v>
      </c>
    </row>
    <row r="112" spans="1:65" s="2" customFormat="1" ht="19.5">
      <c r="A112" s="36"/>
      <c r="B112" s="37"/>
      <c r="C112" s="38"/>
      <c r="D112" s="196" t="s">
        <v>1226</v>
      </c>
      <c r="E112" s="38"/>
      <c r="F112" s="248" t="s">
        <v>5592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5693</v>
      </c>
      <c r="F113" s="229" t="s">
        <v>5694</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5822</v>
      </c>
    </row>
    <row r="114" spans="1:65" s="2" customFormat="1" ht="39">
      <c r="A114" s="36"/>
      <c r="B114" s="37"/>
      <c r="C114" s="38"/>
      <c r="D114" s="196" t="s">
        <v>1226</v>
      </c>
      <c r="E114" s="38"/>
      <c r="F114" s="248" t="s">
        <v>5823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5509</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5824</v>
      </c>
    </row>
    <row r="116" spans="1:65" s="2" customFormat="1" ht="58.5">
      <c r="A116" s="36"/>
      <c r="B116" s="37"/>
      <c r="C116" s="38"/>
      <c r="D116" s="196" t="s">
        <v>1226</v>
      </c>
      <c r="E116" s="38"/>
      <c r="F116" s="248" t="s">
        <v>5511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5233</v>
      </c>
      <c r="F117" s="183" t="s">
        <v>5234</v>
      </c>
      <c r="G117" s="184" t="s">
        <v>452</v>
      </c>
      <c r="H117" s="185">
        <v>62.7</v>
      </c>
      <c r="I117" s="186"/>
      <c r="J117" s="187">
        <f>ROUND(I117*H117,2)</f>
        <v>0</v>
      </c>
      <c r="K117" s="183" t="s">
        <v>19</v>
      </c>
      <c r="L117" s="41"/>
      <c r="M117" s="188" t="s">
        <v>19</v>
      </c>
      <c r="N117" s="189" t="s">
        <v>43</v>
      </c>
      <c r="O117" s="66"/>
      <c r="P117" s="190">
        <f>O117*H117</f>
        <v>0</v>
      </c>
      <c r="Q117" s="190">
        <v>3.0000000000000001E-3</v>
      </c>
      <c r="R117" s="190">
        <f>Q117*H117</f>
        <v>0.18810000000000002</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5825</v>
      </c>
    </row>
    <row r="118" spans="1:65" s="2" customFormat="1" ht="39">
      <c r="A118" s="36"/>
      <c r="B118" s="37"/>
      <c r="C118" s="38"/>
      <c r="D118" s="196" t="s">
        <v>1226</v>
      </c>
      <c r="E118" s="38"/>
      <c r="F118" s="248" t="s">
        <v>5236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5826</v>
      </c>
      <c r="G119" s="206"/>
      <c r="H119" s="209">
        <v>27.5</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5700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5546</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5238</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62.7</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5239</v>
      </c>
      <c r="G124" s="184" t="s">
        <v>452</v>
      </c>
      <c r="H124" s="185">
        <v>62.7</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5827</v>
      </c>
    </row>
    <row r="125" spans="1:65" s="14" customFormat="1" ht="11.25">
      <c r="B125" s="205"/>
      <c r="C125" s="206"/>
      <c r="D125" s="196" t="s">
        <v>388</v>
      </c>
      <c r="E125" s="207" t="s">
        <v>19</v>
      </c>
      <c r="F125" s="208" t="s">
        <v>5828</v>
      </c>
      <c r="G125" s="206"/>
      <c r="H125" s="209">
        <v>62.7</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5456</v>
      </c>
      <c r="F126" s="179" t="s">
        <v>5457</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5458</v>
      </c>
      <c r="F127" s="183" t="s">
        <v>5459</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5829</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5241</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5830</v>
      </c>
    </row>
    <row r="131" spans="1:65" s="2" customFormat="1" ht="16.5" customHeight="1">
      <c r="A131" s="36"/>
      <c r="B131" s="37"/>
      <c r="C131" s="181" t="s">
        <v>8</v>
      </c>
      <c r="D131" s="181" t="s">
        <v>382</v>
      </c>
      <c r="E131" s="182" t="s">
        <v>3456</v>
      </c>
      <c r="F131" s="183" t="s">
        <v>5243</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5831</v>
      </c>
    </row>
    <row r="132" spans="1:65" s="2" customFormat="1" ht="29.25">
      <c r="A132" s="36"/>
      <c r="B132" s="37"/>
      <c r="C132" s="38"/>
      <c r="D132" s="196" t="s">
        <v>1226</v>
      </c>
      <c r="E132" s="38"/>
      <c r="F132" s="248" t="s">
        <v>5245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5832</v>
      </c>
    </row>
    <row r="134" spans="1:65" s="2" customFormat="1" ht="19.5">
      <c r="A134" s="36"/>
      <c r="B134" s="37"/>
      <c r="C134" s="38"/>
      <c r="D134" s="196" t="s">
        <v>1226</v>
      </c>
      <c r="E134" s="38"/>
      <c r="F134" s="248" t="s">
        <v>5247</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5248</v>
      </c>
      <c r="G136" s="184" t="s">
        <v>5249</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5833</v>
      </c>
    </row>
    <row r="137" spans="1:65" s="14" customFormat="1" ht="11.25">
      <c r="B137" s="205"/>
      <c r="C137" s="206"/>
      <c r="D137" s="196" t="s">
        <v>388</v>
      </c>
      <c r="E137" s="207" t="s">
        <v>19</v>
      </c>
      <c r="F137" s="208" t="s">
        <v>5677</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5252</v>
      </c>
      <c r="F138" s="183" t="s">
        <v>5253</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5834</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5256</v>
      </c>
      <c r="F140" s="183" t="s">
        <v>5257</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5835</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TwUFGgxuNN9awn25By0KVcv8IZ4OBPJ7XNSxscmbBMwAKjIH40uL/Kgh/BT0Xui5G1EJ+9xGIkVmxs3BGk0hoQ==" saltValue="e5Acz3pviO8PPOYr5u0PoZbbXTwtBbi+ZV8VQtqKOFfBLFRsLlykw/ZD8/3/xuVEQOJdnwUXuGuzwo+CRNKmhA==" spinCount="100000" sheet="1" objects="1" scenarios="1" formatColumns="0" formatRows="0" autoFilter="0"/>
  <autoFilter ref="C96:K140" xr:uid="{00000000-0009-0000-0000-00003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5836</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4. 8. 2021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ROUND((SUM(BE87:BE142)),  2)</f>
        <v>0</v>
      </c>
      <c r="G35" s="36"/>
      <c r="H35" s="36"/>
      <c r="I35" s="127">
        <v>0.21</v>
      </c>
      <c r="J35" s="126">
        <f>ROUND(((SUM(BE87:BE142))*I35),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ROUND((SUM(BF87:BF142)),  2)</f>
        <v>0</v>
      </c>
      <c r="G36" s="36"/>
      <c r="H36" s="36"/>
      <c r="I36" s="127">
        <v>0.15</v>
      </c>
      <c r="J36" s="126">
        <f>ROUND(((SUM(BF87:BF142))*I36),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ROUND((SUM(BG87:BG142)),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ROUND((SUM(BH87:BH142)),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ROUND((SUM(BI87:BI142)),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EPS - ELEKTRONICKÁ POŽÁRNÍ SIGNALIZACE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4. 8. 2021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J87</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5837</v>
      </c>
      <c r="E64" s="146"/>
      <c r="F64" s="146"/>
      <c r="G64" s="146"/>
      <c r="H64" s="146"/>
      <c r="I64" s="146"/>
      <c r="J64" s="147">
        <f>J88</f>
        <v>0</v>
      </c>
      <c r="K64" s="144"/>
      <c r="L64" s="148"/>
    </row>
    <row r="65" spans="1:31" s="9" customFormat="1" ht="24.95" customHeight="1">
      <c r="B65" s="143"/>
      <c r="C65" s="144"/>
      <c r="D65" s="145" t="s">
        <v>5838</v>
      </c>
      <c r="E65" s="146"/>
      <c r="F65" s="146"/>
      <c r="G65" s="146"/>
      <c r="H65" s="146"/>
      <c r="I65" s="146"/>
      <c r="J65" s="147">
        <f>J123</f>
        <v>0</v>
      </c>
      <c r="K65" s="144"/>
      <c r="L65" s="148"/>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365</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6" t="str">
        <f>E7</f>
        <v>ARCHIV UP V OLOMOUCI - BEZ VYBAVENÍ INTERIÉRU</v>
      </c>
      <c r="F75" s="417"/>
      <c r="G75" s="417"/>
      <c r="H75" s="417"/>
      <c r="I75" s="38"/>
      <c r="J75" s="38"/>
      <c r="K75" s="38"/>
      <c r="L75" s="116"/>
      <c r="S75" s="36"/>
      <c r="T75" s="36"/>
      <c r="U75" s="36"/>
      <c r="V75" s="36"/>
      <c r="W75" s="36"/>
      <c r="X75" s="36"/>
      <c r="Y75" s="36"/>
      <c r="Z75" s="36"/>
      <c r="AA75" s="36"/>
      <c r="AB75" s="36"/>
      <c r="AC75" s="36"/>
      <c r="AD75" s="36"/>
      <c r="AE75" s="36"/>
    </row>
    <row r="76" spans="1:31" s="1" customFormat="1" ht="12" customHeight="1">
      <c r="B76" s="23"/>
      <c r="C76" s="31" t="s">
        <v>282</v>
      </c>
      <c r="D76" s="24"/>
      <c r="E76" s="24"/>
      <c r="F76" s="24"/>
      <c r="G76" s="24"/>
      <c r="H76" s="24"/>
      <c r="I76" s="24"/>
      <c r="J76" s="24"/>
      <c r="K76" s="24"/>
      <c r="L76" s="22"/>
    </row>
    <row r="77" spans="1:31" s="2" customFormat="1" ht="16.5" customHeight="1">
      <c r="A77" s="36"/>
      <c r="B77" s="37"/>
      <c r="C77" s="38"/>
      <c r="D77" s="38"/>
      <c r="E77" s="416" t="s">
        <v>285</v>
      </c>
      <c r="F77" s="418"/>
      <c r="G77" s="418"/>
      <c r="H77" s="41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288</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E11</f>
        <v>EPS - ELEKTRONICKÁ POŽÁRNÍ SIGNALIZACE</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4. 8. 2021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UP V OLOMOUCI, KŘÍŽOVSKÉHO 511/8, 779 00</v>
      </c>
      <c r="G83" s="38"/>
      <c r="H83" s="38"/>
      <c r="I83" s="31" t="s">
        <v>31</v>
      </c>
      <c r="J83" s="34" t="str">
        <f>E23</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34</v>
      </c>
      <c r="J84" s="34" t="str">
        <f>E26</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366</v>
      </c>
      <c r="D86" s="157" t="s">
        <v>57</v>
      </c>
      <c r="E86" s="157" t="s">
        <v>53</v>
      </c>
      <c r="F86" s="157" t="s">
        <v>54</v>
      </c>
      <c r="G86" s="157" t="s">
        <v>367</v>
      </c>
      <c r="H86" s="157" t="s">
        <v>368</v>
      </c>
      <c r="I86" s="157" t="s">
        <v>369</v>
      </c>
      <c r="J86" s="157" t="s">
        <v>334</v>
      </c>
      <c r="K86" s="158" t="s">
        <v>370</v>
      </c>
      <c r="L86" s="159"/>
      <c r="M86" s="70" t="s">
        <v>19</v>
      </c>
      <c r="N86" s="71" t="s">
        <v>42</v>
      </c>
      <c r="O86" s="71" t="s">
        <v>371</v>
      </c>
      <c r="P86" s="71" t="s">
        <v>372</v>
      </c>
      <c r="Q86" s="71" t="s">
        <v>373</v>
      </c>
      <c r="R86" s="71" t="s">
        <v>374</v>
      </c>
      <c r="S86" s="71" t="s">
        <v>375</v>
      </c>
      <c r="T86" s="72" t="s">
        <v>376</v>
      </c>
      <c r="U86" s="154"/>
      <c r="V86" s="154"/>
      <c r="W86" s="154"/>
      <c r="X86" s="154"/>
      <c r="Y86" s="154"/>
      <c r="Z86" s="154"/>
      <c r="AA86" s="154"/>
      <c r="AB86" s="154"/>
      <c r="AC86" s="154"/>
      <c r="AD86" s="154"/>
      <c r="AE86" s="154"/>
    </row>
    <row r="87" spans="1:65" s="2" customFormat="1" ht="22.9" customHeight="1">
      <c r="A87" s="36"/>
      <c r="B87" s="37"/>
      <c r="C87" s="77" t="s">
        <v>377</v>
      </c>
      <c r="D87" s="38"/>
      <c r="E87" s="38"/>
      <c r="F87" s="38"/>
      <c r="G87" s="38"/>
      <c r="H87" s="38"/>
      <c r="I87" s="38"/>
      <c r="J87" s="160">
        <f>BK87</f>
        <v>0</v>
      </c>
      <c r="K87" s="38"/>
      <c r="L87" s="41"/>
      <c r="M87" s="73"/>
      <c r="N87" s="161"/>
      <c r="O87" s="74"/>
      <c r="P87" s="162">
        <f>P88+P123</f>
        <v>0</v>
      </c>
      <c r="Q87" s="74"/>
      <c r="R87" s="162">
        <f>R88+R123</f>
        <v>0</v>
      </c>
      <c r="S87" s="74"/>
      <c r="T87" s="163">
        <f>T88+T123</f>
        <v>0</v>
      </c>
      <c r="U87" s="36"/>
      <c r="V87" s="36"/>
      <c r="W87" s="36"/>
      <c r="X87" s="36"/>
      <c r="Y87" s="36"/>
      <c r="Z87" s="36"/>
      <c r="AA87" s="36"/>
      <c r="AB87" s="36"/>
      <c r="AC87" s="36"/>
      <c r="AD87" s="36"/>
      <c r="AE87" s="36"/>
      <c r="AT87" s="19" t="s">
        <v>71</v>
      </c>
      <c r="AU87" s="19" t="s">
        <v>335</v>
      </c>
      <c r="BK87" s="164">
        <f>BK88+BK123</f>
        <v>0</v>
      </c>
    </row>
    <row r="88" spans="1:65" s="12" customFormat="1" ht="25.9" customHeight="1">
      <c r="B88" s="165"/>
      <c r="C88" s="166"/>
      <c r="D88" s="167" t="s">
        <v>71</v>
      </c>
      <c r="E88" s="168" t="s">
        <v>5839</v>
      </c>
      <c r="F88" s="168" t="s">
        <v>5840</v>
      </c>
      <c r="G88" s="166"/>
      <c r="H88" s="166"/>
      <c r="I88" s="169"/>
      <c r="J88" s="170">
        <f>BK88</f>
        <v>0</v>
      </c>
      <c r="K88" s="166"/>
      <c r="L88" s="171"/>
      <c r="M88" s="172"/>
      <c r="N88" s="173"/>
      <c r="O88" s="173"/>
      <c r="P88" s="174">
        <f>SUM(P89:P122)</f>
        <v>0</v>
      </c>
      <c r="Q88" s="173"/>
      <c r="R88" s="174">
        <f>SUM(R89:R122)</f>
        <v>0</v>
      </c>
      <c r="S88" s="173"/>
      <c r="T88" s="175">
        <f>SUM(T89:T122)</f>
        <v>0</v>
      </c>
      <c r="AR88" s="176" t="s">
        <v>79</v>
      </c>
      <c r="AT88" s="177" t="s">
        <v>71</v>
      </c>
      <c r="AU88" s="177" t="s">
        <v>72</v>
      </c>
      <c r="AY88" s="176" t="s">
        <v>380</v>
      </c>
      <c r="BK88" s="178">
        <f>SUM(BK89:BK122)</f>
        <v>0</v>
      </c>
    </row>
    <row r="89" spans="1:65" s="2" customFormat="1" ht="16.5" customHeight="1">
      <c r="A89" s="36"/>
      <c r="B89" s="37"/>
      <c r="C89" s="181" t="s">
        <v>79</v>
      </c>
      <c r="D89" s="181" t="s">
        <v>382</v>
      </c>
      <c r="E89" s="182" t="s">
        <v>5841</v>
      </c>
      <c r="F89" s="183" t="s">
        <v>5842</v>
      </c>
      <c r="G89" s="184" t="s">
        <v>2393</v>
      </c>
      <c r="H89" s="185">
        <v>1</v>
      </c>
      <c r="I89" s="186"/>
      <c r="J89" s="187">
        <f t="shared" ref="J89:J122" si="0">ROUND(I89*H89,2)</f>
        <v>0</v>
      </c>
      <c r="K89" s="183" t="s">
        <v>19</v>
      </c>
      <c r="L89" s="41"/>
      <c r="M89" s="188" t="s">
        <v>19</v>
      </c>
      <c r="N89" s="189" t="s">
        <v>43</v>
      </c>
      <c r="O89" s="66"/>
      <c r="P89" s="190">
        <f t="shared" ref="P89:P122" si="1">O89*H89</f>
        <v>0</v>
      </c>
      <c r="Q89" s="190">
        <v>0</v>
      </c>
      <c r="R89" s="190">
        <f t="shared" ref="R89:R122" si="2">Q89*H89</f>
        <v>0</v>
      </c>
      <c r="S89" s="190">
        <v>0</v>
      </c>
      <c r="T89" s="191">
        <f t="shared" ref="T89:T122" si="3">S89*H89</f>
        <v>0</v>
      </c>
      <c r="U89" s="36"/>
      <c r="V89" s="36"/>
      <c r="W89" s="36"/>
      <c r="X89" s="36"/>
      <c r="Y89" s="36"/>
      <c r="Z89" s="36"/>
      <c r="AA89" s="36"/>
      <c r="AB89" s="36"/>
      <c r="AC89" s="36"/>
      <c r="AD89" s="36"/>
      <c r="AE89" s="36"/>
      <c r="AR89" s="192" t="s">
        <v>281</v>
      </c>
      <c r="AT89" s="192" t="s">
        <v>382</v>
      </c>
      <c r="AU89" s="192" t="s">
        <v>79</v>
      </c>
      <c r="AY89" s="19" t="s">
        <v>380</v>
      </c>
      <c r="BE89" s="193">
        <f t="shared" ref="BE89:BE122" si="4">IF(N89="základní",J89,0)</f>
        <v>0</v>
      </c>
      <c r="BF89" s="193">
        <f t="shared" ref="BF89:BF122" si="5">IF(N89="snížená",J89,0)</f>
        <v>0</v>
      </c>
      <c r="BG89" s="193">
        <f t="shared" ref="BG89:BG122" si="6">IF(N89="zákl. přenesená",J89,0)</f>
        <v>0</v>
      </c>
      <c r="BH89" s="193">
        <f t="shared" ref="BH89:BH122" si="7">IF(N89="sníž. přenesená",J89,0)</f>
        <v>0</v>
      </c>
      <c r="BI89" s="193">
        <f t="shared" ref="BI89:BI122" si="8">IF(N89="nulová",J89,0)</f>
        <v>0</v>
      </c>
      <c r="BJ89" s="19" t="s">
        <v>79</v>
      </c>
      <c r="BK89" s="193">
        <f t="shared" ref="BK89:BK122" si="9">ROUND(I89*H89,2)</f>
        <v>0</v>
      </c>
      <c r="BL89" s="19" t="s">
        <v>281</v>
      </c>
      <c r="BM89" s="192" t="s">
        <v>82</v>
      </c>
    </row>
    <row r="90" spans="1:65" s="2" customFormat="1" ht="24.2" customHeight="1">
      <c r="A90" s="36"/>
      <c r="B90" s="37"/>
      <c r="C90" s="181" t="s">
        <v>82</v>
      </c>
      <c r="D90" s="181" t="s">
        <v>382</v>
      </c>
      <c r="E90" s="182" t="s">
        <v>5843</v>
      </c>
      <c r="F90" s="183" t="s">
        <v>5844</v>
      </c>
      <c r="G90" s="184" t="s">
        <v>2393</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281</v>
      </c>
      <c r="AT90" s="192" t="s">
        <v>382</v>
      </c>
      <c r="AU90" s="192" t="s">
        <v>79</v>
      </c>
      <c r="AY90" s="19" t="s">
        <v>380</v>
      </c>
      <c r="BE90" s="193">
        <f t="shared" si="4"/>
        <v>0</v>
      </c>
      <c r="BF90" s="193">
        <f t="shared" si="5"/>
        <v>0</v>
      </c>
      <c r="BG90" s="193">
        <f t="shared" si="6"/>
        <v>0</v>
      </c>
      <c r="BH90" s="193">
        <f t="shared" si="7"/>
        <v>0</v>
      </c>
      <c r="BI90" s="193">
        <f t="shared" si="8"/>
        <v>0</v>
      </c>
      <c r="BJ90" s="19" t="s">
        <v>79</v>
      </c>
      <c r="BK90" s="193">
        <f t="shared" si="9"/>
        <v>0</v>
      </c>
      <c r="BL90" s="19" t="s">
        <v>281</v>
      </c>
      <c r="BM90" s="192" t="s">
        <v>386</v>
      </c>
    </row>
    <row r="91" spans="1:65" s="2" customFormat="1" ht="16.5" customHeight="1">
      <c r="A91" s="36"/>
      <c r="B91" s="37"/>
      <c r="C91" s="181" t="s">
        <v>99</v>
      </c>
      <c r="D91" s="181" t="s">
        <v>382</v>
      </c>
      <c r="E91" s="182" t="s">
        <v>5845</v>
      </c>
      <c r="F91" s="183" t="s">
        <v>5846</v>
      </c>
      <c r="G91" s="184" t="s">
        <v>2393</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281</v>
      </c>
      <c r="AT91" s="192" t="s">
        <v>382</v>
      </c>
      <c r="AU91" s="192" t="s">
        <v>79</v>
      </c>
      <c r="AY91" s="19" t="s">
        <v>380</v>
      </c>
      <c r="BE91" s="193">
        <f t="shared" si="4"/>
        <v>0</v>
      </c>
      <c r="BF91" s="193">
        <f t="shared" si="5"/>
        <v>0</v>
      </c>
      <c r="BG91" s="193">
        <f t="shared" si="6"/>
        <v>0</v>
      </c>
      <c r="BH91" s="193">
        <f t="shared" si="7"/>
        <v>0</v>
      </c>
      <c r="BI91" s="193">
        <f t="shared" si="8"/>
        <v>0</v>
      </c>
      <c r="BJ91" s="19" t="s">
        <v>79</v>
      </c>
      <c r="BK91" s="193">
        <f t="shared" si="9"/>
        <v>0</v>
      </c>
      <c r="BL91" s="19" t="s">
        <v>281</v>
      </c>
      <c r="BM91" s="192" t="s">
        <v>411</v>
      </c>
    </row>
    <row r="92" spans="1:65" s="2" customFormat="1" ht="16.5" customHeight="1">
      <c r="A92" s="36"/>
      <c r="B92" s="37"/>
      <c r="C92" s="181" t="s">
        <v>386</v>
      </c>
      <c r="D92" s="181" t="s">
        <v>382</v>
      </c>
      <c r="E92" s="182" t="s">
        <v>5847</v>
      </c>
      <c r="F92" s="183" t="s">
        <v>5848</v>
      </c>
      <c r="G92" s="184" t="s">
        <v>2393</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281</v>
      </c>
      <c r="AT92" s="192" t="s">
        <v>382</v>
      </c>
      <c r="AU92" s="192" t="s">
        <v>79</v>
      </c>
      <c r="AY92" s="19" t="s">
        <v>380</v>
      </c>
      <c r="BE92" s="193">
        <f t="shared" si="4"/>
        <v>0</v>
      </c>
      <c r="BF92" s="193">
        <f t="shared" si="5"/>
        <v>0</v>
      </c>
      <c r="BG92" s="193">
        <f t="shared" si="6"/>
        <v>0</v>
      </c>
      <c r="BH92" s="193">
        <f t="shared" si="7"/>
        <v>0</v>
      </c>
      <c r="BI92" s="193">
        <f t="shared" si="8"/>
        <v>0</v>
      </c>
      <c r="BJ92" s="19" t="s">
        <v>79</v>
      </c>
      <c r="BK92" s="193">
        <f t="shared" si="9"/>
        <v>0</v>
      </c>
      <c r="BL92" s="19" t="s">
        <v>281</v>
      </c>
      <c r="BM92" s="192" t="s">
        <v>424</v>
      </c>
    </row>
    <row r="93" spans="1:65" s="2" customFormat="1" ht="16.5" customHeight="1">
      <c r="A93" s="36"/>
      <c r="B93" s="37"/>
      <c r="C93" s="181" t="s">
        <v>405</v>
      </c>
      <c r="D93" s="181" t="s">
        <v>382</v>
      </c>
      <c r="E93" s="182" t="s">
        <v>5849</v>
      </c>
      <c r="F93" s="183" t="s">
        <v>5850</v>
      </c>
      <c r="G93" s="184" t="s">
        <v>2393</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281</v>
      </c>
      <c r="AT93" s="192" t="s">
        <v>382</v>
      </c>
      <c r="AU93" s="192" t="s">
        <v>79</v>
      </c>
      <c r="AY93" s="19" t="s">
        <v>380</v>
      </c>
      <c r="BE93" s="193">
        <f t="shared" si="4"/>
        <v>0</v>
      </c>
      <c r="BF93" s="193">
        <f t="shared" si="5"/>
        <v>0</v>
      </c>
      <c r="BG93" s="193">
        <f t="shared" si="6"/>
        <v>0</v>
      </c>
      <c r="BH93" s="193">
        <f t="shared" si="7"/>
        <v>0</v>
      </c>
      <c r="BI93" s="193">
        <f t="shared" si="8"/>
        <v>0</v>
      </c>
      <c r="BJ93" s="19" t="s">
        <v>79</v>
      </c>
      <c r="BK93" s="193">
        <f t="shared" si="9"/>
        <v>0</v>
      </c>
      <c r="BL93" s="19" t="s">
        <v>281</v>
      </c>
      <c r="BM93" s="192" t="s">
        <v>122</v>
      </c>
    </row>
    <row r="94" spans="1:65" s="2" customFormat="1" ht="16.5" customHeight="1">
      <c r="A94" s="36"/>
      <c r="B94" s="37"/>
      <c r="C94" s="181" t="s">
        <v>411</v>
      </c>
      <c r="D94" s="181" t="s">
        <v>382</v>
      </c>
      <c r="E94" s="182" t="s">
        <v>5851</v>
      </c>
      <c r="F94" s="183" t="s">
        <v>5852</v>
      </c>
      <c r="G94" s="184" t="s">
        <v>2393</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281</v>
      </c>
      <c r="AT94" s="192" t="s">
        <v>382</v>
      </c>
      <c r="AU94" s="192" t="s">
        <v>79</v>
      </c>
      <c r="AY94" s="19" t="s">
        <v>380</v>
      </c>
      <c r="BE94" s="193">
        <f t="shared" si="4"/>
        <v>0</v>
      </c>
      <c r="BF94" s="193">
        <f t="shared" si="5"/>
        <v>0</v>
      </c>
      <c r="BG94" s="193">
        <f t="shared" si="6"/>
        <v>0</v>
      </c>
      <c r="BH94" s="193">
        <f t="shared" si="7"/>
        <v>0</v>
      </c>
      <c r="BI94" s="193">
        <f t="shared" si="8"/>
        <v>0</v>
      </c>
      <c r="BJ94" s="19" t="s">
        <v>79</v>
      </c>
      <c r="BK94" s="193">
        <f t="shared" si="9"/>
        <v>0</v>
      </c>
      <c r="BL94" s="19" t="s">
        <v>281</v>
      </c>
      <c r="BM94" s="192" t="s">
        <v>128</v>
      </c>
    </row>
    <row r="95" spans="1:65" s="2" customFormat="1" ht="16.5" customHeight="1">
      <c r="A95" s="36"/>
      <c r="B95" s="37"/>
      <c r="C95" s="181" t="s">
        <v>420</v>
      </c>
      <c r="D95" s="181" t="s">
        <v>382</v>
      </c>
      <c r="E95" s="182" t="s">
        <v>5853</v>
      </c>
      <c r="F95" s="183" t="s">
        <v>5854</v>
      </c>
      <c r="G95" s="184" t="s">
        <v>2393</v>
      </c>
      <c r="H95" s="185">
        <v>1</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281</v>
      </c>
      <c r="AT95" s="192" t="s">
        <v>382</v>
      </c>
      <c r="AU95" s="192" t="s">
        <v>79</v>
      </c>
      <c r="AY95" s="19" t="s">
        <v>380</v>
      </c>
      <c r="BE95" s="193">
        <f t="shared" si="4"/>
        <v>0</v>
      </c>
      <c r="BF95" s="193">
        <f t="shared" si="5"/>
        <v>0</v>
      </c>
      <c r="BG95" s="193">
        <f t="shared" si="6"/>
        <v>0</v>
      </c>
      <c r="BH95" s="193">
        <f t="shared" si="7"/>
        <v>0</v>
      </c>
      <c r="BI95" s="193">
        <f t="shared" si="8"/>
        <v>0</v>
      </c>
      <c r="BJ95" s="19" t="s">
        <v>79</v>
      </c>
      <c r="BK95" s="193">
        <f t="shared" si="9"/>
        <v>0</v>
      </c>
      <c r="BL95" s="19" t="s">
        <v>281</v>
      </c>
      <c r="BM95" s="192" t="s">
        <v>134</v>
      </c>
    </row>
    <row r="96" spans="1:65" s="2" customFormat="1" ht="16.5" customHeight="1">
      <c r="A96" s="36"/>
      <c r="B96" s="37"/>
      <c r="C96" s="181" t="s">
        <v>424</v>
      </c>
      <c r="D96" s="181" t="s">
        <v>382</v>
      </c>
      <c r="E96" s="182" t="s">
        <v>5855</v>
      </c>
      <c r="F96" s="183" t="s">
        <v>5856</v>
      </c>
      <c r="G96" s="184" t="s">
        <v>2393</v>
      </c>
      <c r="H96" s="185">
        <v>2</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281</v>
      </c>
      <c r="AT96" s="192" t="s">
        <v>382</v>
      </c>
      <c r="AU96" s="192" t="s">
        <v>79</v>
      </c>
      <c r="AY96" s="19" t="s">
        <v>380</v>
      </c>
      <c r="BE96" s="193">
        <f t="shared" si="4"/>
        <v>0</v>
      </c>
      <c r="BF96" s="193">
        <f t="shared" si="5"/>
        <v>0</v>
      </c>
      <c r="BG96" s="193">
        <f t="shared" si="6"/>
        <v>0</v>
      </c>
      <c r="BH96" s="193">
        <f t="shared" si="7"/>
        <v>0</v>
      </c>
      <c r="BI96" s="193">
        <f t="shared" si="8"/>
        <v>0</v>
      </c>
      <c r="BJ96" s="19" t="s">
        <v>79</v>
      </c>
      <c r="BK96" s="193">
        <f t="shared" si="9"/>
        <v>0</v>
      </c>
      <c r="BL96" s="19" t="s">
        <v>281</v>
      </c>
      <c r="BM96" s="192" t="s">
        <v>281</v>
      </c>
    </row>
    <row r="97" spans="1:65" s="2" customFormat="1" ht="16.5" customHeight="1">
      <c r="A97" s="36"/>
      <c r="B97" s="37"/>
      <c r="C97" s="181" t="s">
        <v>430</v>
      </c>
      <c r="D97" s="181" t="s">
        <v>382</v>
      </c>
      <c r="E97" s="182" t="s">
        <v>5857</v>
      </c>
      <c r="F97" s="183" t="s">
        <v>5858</v>
      </c>
      <c r="G97" s="184" t="s">
        <v>2393</v>
      </c>
      <c r="H97" s="185">
        <v>102</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281</v>
      </c>
      <c r="AT97" s="192" t="s">
        <v>382</v>
      </c>
      <c r="AU97" s="192" t="s">
        <v>79</v>
      </c>
      <c r="AY97" s="19" t="s">
        <v>380</v>
      </c>
      <c r="BE97" s="193">
        <f t="shared" si="4"/>
        <v>0</v>
      </c>
      <c r="BF97" s="193">
        <f t="shared" si="5"/>
        <v>0</v>
      </c>
      <c r="BG97" s="193">
        <f t="shared" si="6"/>
        <v>0</v>
      </c>
      <c r="BH97" s="193">
        <f t="shared" si="7"/>
        <v>0</v>
      </c>
      <c r="BI97" s="193">
        <f t="shared" si="8"/>
        <v>0</v>
      </c>
      <c r="BJ97" s="19" t="s">
        <v>79</v>
      </c>
      <c r="BK97" s="193">
        <f t="shared" si="9"/>
        <v>0</v>
      </c>
      <c r="BL97" s="19" t="s">
        <v>281</v>
      </c>
      <c r="BM97" s="192" t="s">
        <v>477</v>
      </c>
    </row>
    <row r="98" spans="1:65" s="2" customFormat="1" ht="16.5" customHeight="1">
      <c r="A98" s="36"/>
      <c r="B98" s="37"/>
      <c r="C98" s="181" t="s">
        <v>122</v>
      </c>
      <c r="D98" s="181" t="s">
        <v>382</v>
      </c>
      <c r="E98" s="182" t="s">
        <v>5859</v>
      </c>
      <c r="F98" s="183" t="s">
        <v>5860</v>
      </c>
      <c r="G98" s="184" t="s">
        <v>2393</v>
      </c>
      <c r="H98" s="185">
        <v>102</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281</v>
      </c>
      <c r="AT98" s="192" t="s">
        <v>382</v>
      </c>
      <c r="AU98" s="192" t="s">
        <v>79</v>
      </c>
      <c r="AY98" s="19" t="s">
        <v>380</v>
      </c>
      <c r="BE98" s="193">
        <f t="shared" si="4"/>
        <v>0</v>
      </c>
      <c r="BF98" s="193">
        <f t="shared" si="5"/>
        <v>0</v>
      </c>
      <c r="BG98" s="193">
        <f t="shared" si="6"/>
        <v>0</v>
      </c>
      <c r="BH98" s="193">
        <f t="shared" si="7"/>
        <v>0</v>
      </c>
      <c r="BI98" s="193">
        <f t="shared" si="8"/>
        <v>0</v>
      </c>
      <c r="BJ98" s="19" t="s">
        <v>79</v>
      </c>
      <c r="BK98" s="193">
        <f t="shared" si="9"/>
        <v>0</v>
      </c>
      <c r="BL98" s="19" t="s">
        <v>281</v>
      </c>
      <c r="BM98" s="192" t="s">
        <v>486</v>
      </c>
    </row>
    <row r="99" spans="1:65" s="2" customFormat="1" ht="16.5" customHeight="1">
      <c r="A99" s="36"/>
      <c r="B99" s="37"/>
      <c r="C99" s="181" t="s">
        <v>125</v>
      </c>
      <c r="D99" s="181" t="s">
        <v>382</v>
      </c>
      <c r="E99" s="182" t="s">
        <v>5861</v>
      </c>
      <c r="F99" s="183" t="s">
        <v>5862</v>
      </c>
      <c r="G99" s="184" t="s">
        <v>2393</v>
      </c>
      <c r="H99" s="185">
        <v>102</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281</v>
      </c>
      <c r="AT99" s="192" t="s">
        <v>382</v>
      </c>
      <c r="AU99" s="192" t="s">
        <v>79</v>
      </c>
      <c r="AY99" s="19" t="s">
        <v>380</v>
      </c>
      <c r="BE99" s="193">
        <f t="shared" si="4"/>
        <v>0</v>
      </c>
      <c r="BF99" s="193">
        <f t="shared" si="5"/>
        <v>0</v>
      </c>
      <c r="BG99" s="193">
        <f t="shared" si="6"/>
        <v>0</v>
      </c>
      <c r="BH99" s="193">
        <f t="shared" si="7"/>
        <v>0</v>
      </c>
      <c r="BI99" s="193">
        <f t="shared" si="8"/>
        <v>0</v>
      </c>
      <c r="BJ99" s="19" t="s">
        <v>79</v>
      </c>
      <c r="BK99" s="193">
        <f t="shared" si="9"/>
        <v>0</v>
      </c>
      <c r="BL99" s="19" t="s">
        <v>281</v>
      </c>
      <c r="BM99" s="192" t="s">
        <v>495</v>
      </c>
    </row>
    <row r="100" spans="1:65" s="2" customFormat="1" ht="16.5" customHeight="1">
      <c r="A100" s="36"/>
      <c r="B100" s="37"/>
      <c r="C100" s="181" t="s">
        <v>128</v>
      </c>
      <c r="D100" s="181" t="s">
        <v>382</v>
      </c>
      <c r="E100" s="182" t="s">
        <v>5863</v>
      </c>
      <c r="F100" s="183" t="s">
        <v>5864</v>
      </c>
      <c r="G100" s="184" t="s">
        <v>2393</v>
      </c>
      <c r="H100" s="185">
        <v>36</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281</v>
      </c>
      <c r="AT100" s="192" t="s">
        <v>382</v>
      </c>
      <c r="AU100" s="192" t="s">
        <v>79</v>
      </c>
      <c r="AY100" s="19" t="s">
        <v>380</v>
      </c>
      <c r="BE100" s="193">
        <f t="shared" si="4"/>
        <v>0</v>
      </c>
      <c r="BF100" s="193">
        <f t="shared" si="5"/>
        <v>0</v>
      </c>
      <c r="BG100" s="193">
        <f t="shared" si="6"/>
        <v>0</v>
      </c>
      <c r="BH100" s="193">
        <f t="shared" si="7"/>
        <v>0</v>
      </c>
      <c r="BI100" s="193">
        <f t="shared" si="8"/>
        <v>0</v>
      </c>
      <c r="BJ100" s="19" t="s">
        <v>79</v>
      </c>
      <c r="BK100" s="193">
        <f t="shared" si="9"/>
        <v>0</v>
      </c>
      <c r="BL100" s="19" t="s">
        <v>281</v>
      </c>
      <c r="BM100" s="192" t="s">
        <v>505</v>
      </c>
    </row>
    <row r="101" spans="1:65" s="2" customFormat="1" ht="16.5" customHeight="1">
      <c r="A101" s="36"/>
      <c r="B101" s="37"/>
      <c r="C101" s="181" t="s">
        <v>131</v>
      </c>
      <c r="D101" s="181" t="s">
        <v>382</v>
      </c>
      <c r="E101" s="182" t="s">
        <v>5865</v>
      </c>
      <c r="F101" s="183" t="s">
        <v>5866</v>
      </c>
      <c r="G101" s="184" t="s">
        <v>2393</v>
      </c>
      <c r="H101" s="185">
        <v>36</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281</v>
      </c>
      <c r="AT101" s="192" t="s">
        <v>382</v>
      </c>
      <c r="AU101" s="192" t="s">
        <v>79</v>
      </c>
      <c r="AY101" s="19" t="s">
        <v>380</v>
      </c>
      <c r="BE101" s="193">
        <f t="shared" si="4"/>
        <v>0</v>
      </c>
      <c r="BF101" s="193">
        <f t="shared" si="5"/>
        <v>0</v>
      </c>
      <c r="BG101" s="193">
        <f t="shared" si="6"/>
        <v>0</v>
      </c>
      <c r="BH101" s="193">
        <f t="shared" si="7"/>
        <v>0</v>
      </c>
      <c r="BI101" s="193">
        <f t="shared" si="8"/>
        <v>0</v>
      </c>
      <c r="BJ101" s="19" t="s">
        <v>79</v>
      </c>
      <c r="BK101" s="193">
        <f t="shared" si="9"/>
        <v>0</v>
      </c>
      <c r="BL101" s="19" t="s">
        <v>281</v>
      </c>
      <c r="BM101" s="192" t="s">
        <v>514</v>
      </c>
    </row>
    <row r="102" spans="1:65" s="2" customFormat="1" ht="16.5" customHeight="1">
      <c r="A102" s="36"/>
      <c r="B102" s="37"/>
      <c r="C102" s="181" t="s">
        <v>134</v>
      </c>
      <c r="D102" s="181" t="s">
        <v>382</v>
      </c>
      <c r="E102" s="182" t="s">
        <v>5867</v>
      </c>
      <c r="F102" s="183" t="s">
        <v>5868</v>
      </c>
      <c r="G102" s="184" t="s">
        <v>2393</v>
      </c>
      <c r="H102" s="185">
        <v>9</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281</v>
      </c>
      <c r="AT102" s="192" t="s">
        <v>382</v>
      </c>
      <c r="AU102" s="192" t="s">
        <v>79</v>
      </c>
      <c r="AY102" s="19" t="s">
        <v>380</v>
      </c>
      <c r="BE102" s="193">
        <f t="shared" si="4"/>
        <v>0</v>
      </c>
      <c r="BF102" s="193">
        <f t="shared" si="5"/>
        <v>0</v>
      </c>
      <c r="BG102" s="193">
        <f t="shared" si="6"/>
        <v>0</v>
      </c>
      <c r="BH102" s="193">
        <f t="shared" si="7"/>
        <v>0</v>
      </c>
      <c r="BI102" s="193">
        <f t="shared" si="8"/>
        <v>0</v>
      </c>
      <c r="BJ102" s="19" t="s">
        <v>79</v>
      </c>
      <c r="BK102" s="193">
        <f t="shared" si="9"/>
        <v>0</v>
      </c>
      <c r="BL102" s="19" t="s">
        <v>281</v>
      </c>
      <c r="BM102" s="192" t="s">
        <v>525</v>
      </c>
    </row>
    <row r="103" spans="1:65" s="2" customFormat="1" ht="16.5" customHeight="1">
      <c r="A103" s="36"/>
      <c r="B103" s="37"/>
      <c r="C103" s="181" t="s">
        <v>8</v>
      </c>
      <c r="D103" s="181" t="s">
        <v>382</v>
      </c>
      <c r="E103" s="182" t="s">
        <v>5869</v>
      </c>
      <c r="F103" s="183" t="s">
        <v>5870</v>
      </c>
      <c r="G103" s="184" t="s">
        <v>2393</v>
      </c>
      <c r="H103" s="185">
        <v>12</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281</v>
      </c>
      <c r="AT103" s="192" t="s">
        <v>382</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281</v>
      </c>
      <c r="BM103" s="192" t="s">
        <v>534</v>
      </c>
    </row>
    <row r="104" spans="1:65" s="2" customFormat="1" ht="16.5" customHeight="1">
      <c r="A104" s="36"/>
      <c r="B104" s="37"/>
      <c r="C104" s="181" t="s">
        <v>281</v>
      </c>
      <c r="D104" s="181" t="s">
        <v>382</v>
      </c>
      <c r="E104" s="182" t="s">
        <v>5871</v>
      </c>
      <c r="F104" s="183" t="s">
        <v>5872</v>
      </c>
      <c r="G104" s="184" t="s">
        <v>2393</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281</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281</v>
      </c>
      <c r="BM104" s="192" t="s">
        <v>546</v>
      </c>
    </row>
    <row r="105" spans="1:65" s="2" customFormat="1" ht="16.5" customHeight="1">
      <c r="A105" s="36"/>
      <c r="B105" s="37"/>
      <c r="C105" s="181" t="s">
        <v>471</v>
      </c>
      <c r="D105" s="181" t="s">
        <v>382</v>
      </c>
      <c r="E105" s="182" t="s">
        <v>5873</v>
      </c>
      <c r="F105" s="183" t="s">
        <v>5874</v>
      </c>
      <c r="G105" s="184" t="s">
        <v>2393</v>
      </c>
      <c r="H105" s="185">
        <v>9</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281</v>
      </c>
      <c r="AT105" s="192" t="s">
        <v>382</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281</v>
      </c>
      <c r="BM105" s="192" t="s">
        <v>556</v>
      </c>
    </row>
    <row r="106" spans="1:65" s="2" customFormat="1" ht="16.5" customHeight="1">
      <c r="A106" s="36"/>
      <c r="B106" s="37"/>
      <c r="C106" s="181" t="s">
        <v>477</v>
      </c>
      <c r="D106" s="181" t="s">
        <v>382</v>
      </c>
      <c r="E106" s="182" t="s">
        <v>5875</v>
      </c>
      <c r="F106" s="183" t="s">
        <v>5876</v>
      </c>
      <c r="G106" s="184" t="s">
        <v>2393</v>
      </c>
      <c r="H106" s="185">
        <v>8</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281</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579</v>
      </c>
    </row>
    <row r="107" spans="1:65" s="2" customFormat="1" ht="16.5" customHeight="1">
      <c r="A107" s="36"/>
      <c r="B107" s="37"/>
      <c r="C107" s="181" t="s">
        <v>284</v>
      </c>
      <c r="D107" s="181" t="s">
        <v>382</v>
      </c>
      <c r="E107" s="182" t="s">
        <v>5877</v>
      </c>
      <c r="F107" s="183" t="s">
        <v>5878</v>
      </c>
      <c r="G107" s="184" t="s">
        <v>2393</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281</v>
      </c>
      <c r="AT107" s="192" t="s">
        <v>382</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281</v>
      </c>
      <c r="BM107" s="192" t="s">
        <v>619</v>
      </c>
    </row>
    <row r="108" spans="1:65" s="2" customFormat="1" ht="16.5" customHeight="1">
      <c r="A108" s="36"/>
      <c r="B108" s="37"/>
      <c r="C108" s="181" t="s">
        <v>486</v>
      </c>
      <c r="D108" s="181" t="s">
        <v>382</v>
      </c>
      <c r="E108" s="182" t="s">
        <v>5879</v>
      </c>
      <c r="F108" s="183" t="s">
        <v>5880</v>
      </c>
      <c r="G108" s="184" t="s">
        <v>2393</v>
      </c>
      <c r="H108" s="185">
        <v>1</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281</v>
      </c>
      <c r="AT108" s="192" t="s">
        <v>382</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281</v>
      </c>
      <c r="BM108" s="192" t="s">
        <v>631</v>
      </c>
    </row>
    <row r="109" spans="1:65" s="2" customFormat="1" ht="16.5" customHeight="1">
      <c r="A109" s="36"/>
      <c r="B109" s="37"/>
      <c r="C109" s="181" t="s">
        <v>7</v>
      </c>
      <c r="D109" s="181" t="s">
        <v>382</v>
      </c>
      <c r="E109" s="182" t="s">
        <v>5881</v>
      </c>
      <c r="F109" s="183" t="s">
        <v>5882</v>
      </c>
      <c r="G109" s="184" t="s">
        <v>2393</v>
      </c>
      <c r="H109" s="185">
        <v>10</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281</v>
      </c>
      <c r="AT109" s="192" t="s">
        <v>382</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281</v>
      </c>
      <c r="BM109" s="192" t="s">
        <v>644</v>
      </c>
    </row>
    <row r="110" spans="1:65" s="2" customFormat="1" ht="16.5" customHeight="1">
      <c r="A110" s="36"/>
      <c r="B110" s="37"/>
      <c r="C110" s="181" t="s">
        <v>495</v>
      </c>
      <c r="D110" s="181" t="s">
        <v>382</v>
      </c>
      <c r="E110" s="182" t="s">
        <v>5883</v>
      </c>
      <c r="F110" s="183" t="s">
        <v>5884</v>
      </c>
      <c r="G110" s="184" t="s">
        <v>2393</v>
      </c>
      <c r="H110" s="185">
        <v>4</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281</v>
      </c>
      <c r="AT110" s="192" t="s">
        <v>382</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281</v>
      </c>
      <c r="BM110" s="192" t="s">
        <v>652</v>
      </c>
    </row>
    <row r="111" spans="1:65" s="2" customFormat="1" ht="16.5" customHeight="1">
      <c r="A111" s="36"/>
      <c r="B111" s="37"/>
      <c r="C111" s="181" t="s">
        <v>500</v>
      </c>
      <c r="D111" s="181" t="s">
        <v>382</v>
      </c>
      <c r="E111" s="182" t="s">
        <v>5885</v>
      </c>
      <c r="F111" s="183" t="s">
        <v>5886</v>
      </c>
      <c r="G111" s="184" t="s">
        <v>452</v>
      </c>
      <c r="H111" s="185">
        <v>825</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281</v>
      </c>
      <c r="AT111" s="192" t="s">
        <v>382</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281</v>
      </c>
      <c r="BM111" s="192" t="s">
        <v>660</v>
      </c>
    </row>
    <row r="112" spans="1:65" s="2" customFormat="1" ht="16.5" customHeight="1">
      <c r="A112" s="36"/>
      <c r="B112" s="37"/>
      <c r="C112" s="181" t="s">
        <v>505</v>
      </c>
      <c r="D112" s="181" t="s">
        <v>382</v>
      </c>
      <c r="E112" s="182" t="s">
        <v>5887</v>
      </c>
      <c r="F112" s="183" t="s">
        <v>5888</v>
      </c>
      <c r="G112" s="184" t="s">
        <v>452</v>
      </c>
      <c r="H112" s="185">
        <v>600</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281</v>
      </c>
      <c r="AT112" s="192" t="s">
        <v>382</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281</v>
      </c>
      <c r="BM112" s="192" t="s">
        <v>668</v>
      </c>
    </row>
    <row r="113" spans="1:65" s="2" customFormat="1" ht="16.5" customHeight="1">
      <c r="A113" s="36"/>
      <c r="B113" s="37"/>
      <c r="C113" s="181" t="s">
        <v>509</v>
      </c>
      <c r="D113" s="181" t="s">
        <v>382</v>
      </c>
      <c r="E113" s="182" t="s">
        <v>5889</v>
      </c>
      <c r="F113" s="183" t="s">
        <v>5890</v>
      </c>
      <c r="G113" s="184" t="s">
        <v>452</v>
      </c>
      <c r="H113" s="185">
        <v>150</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281</v>
      </c>
      <c r="AT113" s="192" t="s">
        <v>382</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281</v>
      </c>
      <c r="BM113" s="192" t="s">
        <v>677</v>
      </c>
    </row>
    <row r="114" spans="1:65" s="2" customFormat="1" ht="16.5" customHeight="1">
      <c r="A114" s="36"/>
      <c r="B114" s="37"/>
      <c r="C114" s="181" t="s">
        <v>514</v>
      </c>
      <c r="D114" s="181" t="s">
        <v>382</v>
      </c>
      <c r="E114" s="182" t="s">
        <v>5891</v>
      </c>
      <c r="F114" s="183" t="s">
        <v>5892</v>
      </c>
      <c r="G114" s="184" t="s">
        <v>452</v>
      </c>
      <c r="H114" s="185">
        <v>30</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281</v>
      </c>
      <c r="AT114" s="192" t="s">
        <v>382</v>
      </c>
      <c r="AU114" s="192" t="s">
        <v>79</v>
      </c>
      <c r="AY114" s="19" t="s">
        <v>380</v>
      </c>
      <c r="BE114" s="193">
        <f t="shared" si="4"/>
        <v>0</v>
      </c>
      <c r="BF114" s="193">
        <f t="shared" si="5"/>
        <v>0</v>
      </c>
      <c r="BG114" s="193">
        <f t="shared" si="6"/>
        <v>0</v>
      </c>
      <c r="BH114" s="193">
        <f t="shared" si="7"/>
        <v>0</v>
      </c>
      <c r="BI114" s="193">
        <f t="shared" si="8"/>
        <v>0</v>
      </c>
      <c r="BJ114" s="19" t="s">
        <v>79</v>
      </c>
      <c r="BK114" s="193">
        <f t="shared" si="9"/>
        <v>0</v>
      </c>
      <c r="BL114" s="19" t="s">
        <v>281</v>
      </c>
      <c r="BM114" s="192" t="s">
        <v>699</v>
      </c>
    </row>
    <row r="115" spans="1:65" s="2" customFormat="1" ht="16.5" customHeight="1">
      <c r="A115" s="36"/>
      <c r="B115" s="37"/>
      <c r="C115" s="181" t="s">
        <v>520</v>
      </c>
      <c r="D115" s="181" t="s">
        <v>382</v>
      </c>
      <c r="E115" s="182" t="s">
        <v>5893</v>
      </c>
      <c r="F115" s="183" t="s">
        <v>5894</v>
      </c>
      <c r="G115" s="184" t="s">
        <v>2393</v>
      </c>
      <c r="H115" s="185">
        <v>1000</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281</v>
      </c>
      <c r="AT115" s="192" t="s">
        <v>382</v>
      </c>
      <c r="AU115" s="192" t="s">
        <v>79</v>
      </c>
      <c r="AY115" s="19" t="s">
        <v>380</v>
      </c>
      <c r="BE115" s="193">
        <f t="shared" si="4"/>
        <v>0</v>
      </c>
      <c r="BF115" s="193">
        <f t="shared" si="5"/>
        <v>0</v>
      </c>
      <c r="BG115" s="193">
        <f t="shared" si="6"/>
        <v>0</v>
      </c>
      <c r="BH115" s="193">
        <f t="shared" si="7"/>
        <v>0</v>
      </c>
      <c r="BI115" s="193">
        <f t="shared" si="8"/>
        <v>0</v>
      </c>
      <c r="BJ115" s="19" t="s">
        <v>79</v>
      </c>
      <c r="BK115" s="193">
        <f t="shared" si="9"/>
        <v>0</v>
      </c>
      <c r="BL115" s="19" t="s">
        <v>281</v>
      </c>
      <c r="BM115" s="192" t="s">
        <v>709</v>
      </c>
    </row>
    <row r="116" spans="1:65" s="2" customFormat="1" ht="16.5" customHeight="1">
      <c r="A116" s="36"/>
      <c r="B116" s="37"/>
      <c r="C116" s="181" t="s">
        <v>525</v>
      </c>
      <c r="D116" s="181" t="s">
        <v>382</v>
      </c>
      <c r="E116" s="182" t="s">
        <v>5895</v>
      </c>
      <c r="F116" s="183" t="s">
        <v>5896</v>
      </c>
      <c r="G116" s="184" t="s">
        <v>2393</v>
      </c>
      <c r="H116" s="185">
        <v>500</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281</v>
      </c>
      <c r="AT116" s="192" t="s">
        <v>382</v>
      </c>
      <c r="AU116" s="192" t="s">
        <v>79</v>
      </c>
      <c r="AY116" s="19" t="s">
        <v>380</v>
      </c>
      <c r="BE116" s="193">
        <f t="shared" si="4"/>
        <v>0</v>
      </c>
      <c r="BF116" s="193">
        <f t="shared" si="5"/>
        <v>0</v>
      </c>
      <c r="BG116" s="193">
        <f t="shared" si="6"/>
        <v>0</v>
      </c>
      <c r="BH116" s="193">
        <f t="shared" si="7"/>
        <v>0</v>
      </c>
      <c r="BI116" s="193">
        <f t="shared" si="8"/>
        <v>0</v>
      </c>
      <c r="BJ116" s="19" t="s">
        <v>79</v>
      </c>
      <c r="BK116" s="193">
        <f t="shared" si="9"/>
        <v>0</v>
      </c>
      <c r="BL116" s="19" t="s">
        <v>281</v>
      </c>
      <c r="BM116" s="192" t="s">
        <v>733</v>
      </c>
    </row>
    <row r="117" spans="1:65" s="2" customFormat="1" ht="16.5" customHeight="1">
      <c r="A117" s="36"/>
      <c r="B117" s="37"/>
      <c r="C117" s="181" t="s">
        <v>529</v>
      </c>
      <c r="D117" s="181" t="s">
        <v>382</v>
      </c>
      <c r="E117" s="182" t="s">
        <v>5897</v>
      </c>
      <c r="F117" s="183" t="s">
        <v>5898</v>
      </c>
      <c r="G117" s="184" t="s">
        <v>2393</v>
      </c>
      <c r="H117" s="185">
        <v>9</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281</v>
      </c>
      <c r="AT117" s="192" t="s">
        <v>382</v>
      </c>
      <c r="AU117" s="192" t="s">
        <v>79</v>
      </c>
      <c r="AY117" s="19" t="s">
        <v>380</v>
      </c>
      <c r="BE117" s="193">
        <f t="shared" si="4"/>
        <v>0</v>
      </c>
      <c r="BF117" s="193">
        <f t="shared" si="5"/>
        <v>0</v>
      </c>
      <c r="BG117" s="193">
        <f t="shared" si="6"/>
        <v>0</v>
      </c>
      <c r="BH117" s="193">
        <f t="shared" si="7"/>
        <v>0</v>
      </c>
      <c r="BI117" s="193">
        <f t="shared" si="8"/>
        <v>0</v>
      </c>
      <c r="BJ117" s="19" t="s">
        <v>79</v>
      </c>
      <c r="BK117" s="193">
        <f t="shared" si="9"/>
        <v>0</v>
      </c>
      <c r="BL117" s="19" t="s">
        <v>281</v>
      </c>
      <c r="BM117" s="192" t="s">
        <v>753</v>
      </c>
    </row>
    <row r="118" spans="1:65" s="2" customFormat="1" ht="16.5" customHeight="1">
      <c r="A118" s="36"/>
      <c r="B118" s="37"/>
      <c r="C118" s="181" t="s">
        <v>534</v>
      </c>
      <c r="D118" s="181" t="s">
        <v>382</v>
      </c>
      <c r="E118" s="182" t="s">
        <v>5899</v>
      </c>
      <c r="F118" s="183" t="s">
        <v>5900</v>
      </c>
      <c r="G118" s="184" t="s">
        <v>2393</v>
      </c>
      <c r="H118" s="185">
        <v>9</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281</v>
      </c>
      <c r="AT118" s="192" t="s">
        <v>382</v>
      </c>
      <c r="AU118" s="192" t="s">
        <v>79</v>
      </c>
      <c r="AY118" s="19" t="s">
        <v>380</v>
      </c>
      <c r="BE118" s="193">
        <f t="shared" si="4"/>
        <v>0</v>
      </c>
      <c r="BF118" s="193">
        <f t="shared" si="5"/>
        <v>0</v>
      </c>
      <c r="BG118" s="193">
        <f t="shared" si="6"/>
        <v>0</v>
      </c>
      <c r="BH118" s="193">
        <f t="shared" si="7"/>
        <v>0</v>
      </c>
      <c r="BI118" s="193">
        <f t="shared" si="8"/>
        <v>0</v>
      </c>
      <c r="BJ118" s="19" t="s">
        <v>79</v>
      </c>
      <c r="BK118" s="193">
        <f t="shared" si="9"/>
        <v>0</v>
      </c>
      <c r="BL118" s="19" t="s">
        <v>281</v>
      </c>
      <c r="BM118" s="192" t="s">
        <v>767</v>
      </c>
    </row>
    <row r="119" spans="1:65" s="2" customFormat="1" ht="16.5" customHeight="1">
      <c r="A119" s="36"/>
      <c r="B119" s="37"/>
      <c r="C119" s="181" t="s">
        <v>540</v>
      </c>
      <c r="D119" s="181" t="s">
        <v>382</v>
      </c>
      <c r="E119" s="182" t="s">
        <v>5901</v>
      </c>
      <c r="F119" s="183" t="s">
        <v>5902</v>
      </c>
      <c r="G119" s="184" t="s">
        <v>2393</v>
      </c>
      <c r="H119" s="185">
        <v>1</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281</v>
      </c>
      <c r="AT119" s="192" t="s">
        <v>382</v>
      </c>
      <c r="AU119" s="192" t="s">
        <v>79</v>
      </c>
      <c r="AY119" s="19" t="s">
        <v>380</v>
      </c>
      <c r="BE119" s="193">
        <f t="shared" si="4"/>
        <v>0</v>
      </c>
      <c r="BF119" s="193">
        <f t="shared" si="5"/>
        <v>0</v>
      </c>
      <c r="BG119" s="193">
        <f t="shared" si="6"/>
        <v>0</v>
      </c>
      <c r="BH119" s="193">
        <f t="shared" si="7"/>
        <v>0</v>
      </c>
      <c r="BI119" s="193">
        <f t="shared" si="8"/>
        <v>0</v>
      </c>
      <c r="BJ119" s="19" t="s">
        <v>79</v>
      </c>
      <c r="BK119" s="193">
        <f t="shared" si="9"/>
        <v>0</v>
      </c>
      <c r="BL119" s="19" t="s">
        <v>281</v>
      </c>
      <c r="BM119" s="192" t="s">
        <v>776</v>
      </c>
    </row>
    <row r="120" spans="1:65" s="2" customFormat="1" ht="16.5" customHeight="1">
      <c r="A120" s="36"/>
      <c r="B120" s="37"/>
      <c r="C120" s="181" t="s">
        <v>546</v>
      </c>
      <c r="D120" s="181" t="s">
        <v>382</v>
      </c>
      <c r="E120" s="182" t="s">
        <v>5903</v>
      </c>
      <c r="F120" s="183" t="s">
        <v>5904</v>
      </c>
      <c r="G120" s="184" t="s">
        <v>2393</v>
      </c>
      <c r="H120" s="185">
        <v>1</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281</v>
      </c>
      <c r="AT120" s="192" t="s">
        <v>382</v>
      </c>
      <c r="AU120" s="192" t="s">
        <v>79</v>
      </c>
      <c r="AY120" s="19" t="s">
        <v>380</v>
      </c>
      <c r="BE120" s="193">
        <f t="shared" si="4"/>
        <v>0</v>
      </c>
      <c r="BF120" s="193">
        <f t="shared" si="5"/>
        <v>0</v>
      </c>
      <c r="BG120" s="193">
        <f t="shared" si="6"/>
        <v>0</v>
      </c>
      <c r="BH120" s="193">
        <f t="shared" si="7"/>
        <v>0</v>
      </c>
      <c r="BI120" s="193">
        <f t="shared" si="8"/>
        <v>0</v>
      </c>
      <c r="BJ120" s="19" t="s">
        <v>79</v>
      </c>
      <c r="BK120" s="193">
        <f t="shared" si="9"/>
        <v>0</v>
      </c>
      <c r="BL120" s="19" t="s">
        <v>281</v>
      </c>
      <c r="BM120" s="192" t="s">
        <v>787</v>
      </c>
    </row>
    <row r="121" spans="1:65" s="2" customFormat="1" ht="16.5" customHeight="1">
      <c r="A121" s="36"/>
      <c r="B121" s="37"/>
      <c r="C121" s="181" t="s">
        <v>552</v>
      </c>
      <c r="D121" s="181" t="s">
        <v>382</v>
      </c>
      <c r="E121" s="182" t="s">
        <v>5905</v>
      </c>
      <c r="F121" s="183" t="s">
        <v>4840</v>
      </c>
      <c r="G121" s="184" t="s">
        <v>2393</v>
      </c>
      <c r="H121" s="185">
        <v>20</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281</v>
      </c>
      <c r="AT121" s="192" t="s">
        <v>382</v>
      </c>
      <c r="AU121" s="192" t="s">
        <v>79</v>
      </c>
      <c r="AY121" s="19" t="s">
        <v>380</v>
      </c>
      <c r="BE121" s="193">
        <f t="shared" si="4"/>
        <v>0</v>
      </c>
      <c r="BF121" s="193">
        <f t="shared" si="5"/>
        <v>0</v>
      </c>
      <c r="BG121" s="193">
        <f t="shared" si="6"/>
        <v>0</v>
      </c>
      <c r="BH121" s="193">
        <f t="shared" si="7"/>
        <v>0</v>
      </c>
      <c r="BI121" s="193">
        <f t="shared" si="8"/>
        <v>0</v>
      </c>
      <c r="BJ121" s="19" t="s">
        <v>79</v>
      </c>
      <c r="BK121" s="193">
        <f t="shared" si="9"/>
        <v>0</v>
      </c>
      <c r="BL121" s="19" t="s">
        <v>281</v>
      </c>
      <c r="BM121" s="192" t="s">
        <v>795</v>
      </c>
    </row>
    <row r="122" spans="1:65" s="2" customFormat="1" ht="16.5" customHeight="1">
      <c r="A122" s="36"/>
      <c r="B122" s="37"/>
      <c r="C122" s="181" t="s">
        <v>556</v>
      </c>
      <c r="D122" s="181" t="s">
        <v>382</v>
      </c>
      <c r="E122" s="182" t="s">
        <v>5906</v>
      </c>
      <c r="F122" s="183" t="s">
        <v>4750</v>
      </c>
      <c r="G122" s="184" t="s">
        <v>2393</v>
      </c>
      <c r="H122" s="185">
        <v>1</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281</v>
      </c>
      <c r="AT122" s="192" t="s">
        <v>382</v>
      </c>
      <c r="AU122" s="192" t="s">
        <v>79</v>
      </c>
      <c r="AY122" s="19" t="s">
        <v>380</v>
      </c>
      <c r="BE122" s="193">
        <f t="shared" si="4"/>
        <v>0</v>
      </c>
      <c r="BF122" s="193">
        <f t="shared" si="5"/>
        <v>0</v>
      </c>
      <c r="BG122" s="193">
        <f t="shared" si="6"/>
        <v>0</v>
      </c>
      <c r="BH122" s="193">
        <f t="shared" si="7"/>
        <v>0</v>
      </c>
      <c r="BI122" s="193">
        <f t="shared" si="8"/>
        <v>0</v>
      </c>
      <c r="BJ122" s="19" t="s">
        <v>79</v>
      </c>
      <c r="BK122" s="193">
        <f t="shared" si="9"/>
        <v>0</v>
      </c>
      <c r="BL122" s="19" t="s">
        <v>281</v>
      </c>
      <c r="BM122" s="192" t="s">
        <v>804</v>
      </c>
    </row>
    <row r="123" spans="1:65" s="12" customFormat="1" ht="25.9" customHeight="1">
      <c r="B123" s="165"/>
      <c r="C123" s="166"/>
      <c r="D123" s="167" t="s">
        <v>71</v>
      </c>
      <c r="E123" s="168" t="s">
        <v>4693</v>
      </c>
      <c r="F123" s="168" t="s">
        <v>5907</v>
      </c>
      <c r="G123" s="166"/>
      <c r="H123" s="166"/>
      <c r="I123" s="169"/>
      <c r="J123" s="170">
        <f>BK123</f>
        <v>0</v>
      </c>
      <c r="K123" s="166"/>
      <c r="L123" s="171"/>
      <c r="M123" s="172"/>
      <c r="N123" s="173"/>
      <c r="O123" s="173"/>
      <c r="P123" s="174">
        <f>SUM(P124:P142)</f>
        <v>0</v>
      </c>
      <c r="Q123" s="173"/>
      <c r="R123" s="174">
        <f>SUM(R124:R142)</f>
        <v>0</v>
      </c>
      <c r="S123" s="173"/>
      <c r="T123" s="175">
        <f>SUM(T124:T142)</f>
        <v>0</v>
      </c>
      <c r="AR123" s="176" t="s">
        <v>79</v>
      </c>
      <c r="AT123" s="177" t="s">
        <v>71</v>
      </c>
      <c r="AU123" s="177" t="s">
        <v>72</v>
      </c>
      <c r="AY123" s="176" t="s">
        <v>380</v>
      </c>
      <c r="BK123" s="178">
        <f>SUM(BK124:BK142)</f>
        <v>0</v>
      </c>
    </row>
    <row r="124" spans="1:65" s="2" customFormat="1" ht="16.5" customHeight="1">
      <c r="A124" s="36"/>
      <c r="B124" s="37"/>
      <c r="C124" s="181" t="s">
        <v>565</v>
      </c>
      <c r="D124" s="181" t="s">
        <v>382</v>
      </c>
      <c r="E124" s="182" t="s">
        <v>5908</v>
      </c>
      <c r="F124" s="183" t="s">
        <v>5909</v>
      </c>
      <c r="G124" s="184" t="s">
        <v>2393</v>
      </c>
      <c r="H124" s="185">
        <v>1</v>
      </c>
      <c r="I124" s="186"/>
      <c r="J124" s="187">
        <f t="shared" ref="J124:J142" si="10">ROUND(I124*H124,2)</f>
        <v>0</v>
      </c>
      <c r="K124" s="183" t="s">
        <v>19</v>
      </c>
      <c r="L124" s="41"/>
      <c r="M124" s="188" t="s">
        <v>19</v>
      </c>
      <c r="N124" s="189" t="s">
        <v>43</v>
      </c>
      <c r="O124" s="66"/>
      <c r="P124" s="190">
        <f t="shared" ref="P124:P142" si="11">O124*H124</f>
        <v>0</v>
      </c>
      <c r="Q124" s="190">
        <v>0</v>
      </c>
      <c r="R124" s="190">
        <f t="shared" ref="R124:R142" si="12">Q124*H124</f>
        <v>0</v>
      </c>
      <c r="S124" s="190">
        <v>0</v>
      </c>
      <c r="T124" s="191">
        <f t="shared" ref="T124:T142" si="13">S124*H124</f>
        <v>0</v>
      </c>
      <c r="U124" s="36"/>
      <c r="V124" s="36"/>
      <c r="W124" s="36"/>
      <c r="X124" s="36"/>
      <c r="Y124" s="36"/>
      <c r="Z124" s="36"/>
      <c r="AA124" s="36"/>
      <c r="AB124" s="36"/>
      <c r="AC124" s="36"/>
      <c r="AD124" s="36"/>
      <c r="AE124" s="36"/>
      <c r="AR124" s="192" t="s">
        <v>281</v>
      </c>
      <c r="AT124" s="192" t="s">
        <v>382</v>
      </c>
      <c r="AU124" s="192" t="s">
        <v>79</v>
      </c>
      <c r="AY124" s="19" t="s">
        <v>380</v>
      </c>
      <c r="BE124" s="193">
        <f t="shared" ref="BE124:BE142" si="14">IF(N124="základní",J124,0)</f>
        <v>0</v>
      </c>
      <c r="BF124" s="193">
        <f t="shared" ref="BF124:BF142" si="15">IF(N124="snížená",J124,0)</f>
        <v>0</v>
      </c>
      <c r="BG124" s="193">
        <f t="shared" ref="BG124:BG142" si="16">IF(N124="zákl. přenesená",J124,0)</f>
        <v>0</v>
      </c>
      <c r="BH124" s="193">
        <f t="shared" ref="BH124:BH142" si="17">IF(N124="sníž. přenesená",J124,0)</f>
        <v>0</v>
      </c>
      <c r="BI124" s="193">
        <f t="shared" ref="BI124:BI142" si="18">IF(N124="nulová",J124,0)</f>
        <v>0</v>
      </c>
      <c r="BJ124" s="19" t="s">
        <v>79</v>
      </c>
      <c r="BK124" s="193">
        <f t="shared" ref="BK124:BK142" si="19">ROUND(I124*H124,2)</f>
        <v>0</v>
      </c>
      <c r="BL124" s="19" t="s">
        <v>281</v>
      </c>
      <c r="BM124" s="192" t="s">
        <v>831</v>
      </c>
    </row>
    <row r="125" spans="1:65" s="2" customFormat="1" ht="16.5" customHeight="1">
      <c r="A125" s="36"/>
      <c r="B125" s="37"/>
      <c r="C125" s="181" t="s">
        <v>579</v>
      </c>
      <c r="D125" s="181" t="s">
        <v>382</v>
      </c>
      <c r="E125" s="182" t="s">
        <v>5910</v>
      </c>
      <c r="F125" s="183" t="s">
        <v>5911</v>
      </c>
      <c r="G125" s="184" t="s">
        <v>2393</v>
      </c>
      <c r="H125" s="185">
        <v>2</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281</v>
      </c>
      <c r="AT125" s="192" t="s">
        <v>382</v>
      </c>
      <c r="AU125" s="192" t="s">
        <v>79</v>
      </c>
      <c r="AY125" s="19" t="s">
        <v>380</v>
      </c>
      <c r="BE125" s="193">
        <f t="shared" si="14"/>
        <v>0</v>
      </c>
      <c r="BF125" s="193">
        <f t="shared" si="15"/>
        <v>0</v>
      </c>
      <c r="BG125" s="193">
        <f t="shared" si="16"/>
        <v>0</v>
      </c>
      <c r="BH125" s="193">
        <f t="shared" si="17"/>
        <v>0</v>
      </c>
      <c r="BI125" s="193">
        <f t="shared" si="18"/>
        <v>0</v>
      </c>
      <c r="BJ125" s="19" t="s">
        <v>79</v>
      </c>
      <c r="BK125" s="193">
        <f t="shared" si="19"/>
        <v>0</v>
      </c>
      <c r="BL125" s="19" t="s">
        <v>281</v>
      </c>
      <c r="BM125" s="192" t="s">
        <v>841</v>
      </c>
    </row>
    <row r="126" spans="1:65" s="2" customFormat="1" ht="16.5" customHeight="1">
      <c r="A126" s="36"/>
      <c r="B126" s="37"/>
      <c r="C126" s="181" t="s">
        <v>600</v>
      </c>
      <c r="D126" s="181" t="s">
        <v>382</v>
      </c>
      <c r="E126" s="182" t="s">
        <v>5912</v>
      </c>
      <c r="F126" s="183" t="s">
        <v>5913</v>
      </c>
      <c r="G126" s="184" t="s">
        <v>2393</v>
      </c>
      <c r="H126" s="185">
        <v>1</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281</v>
      </c>
      <c r="AT126" s="192" t="s">
        <v>382</v>
      </c>
      <c r="AU126" s="192" t="s">
        <v>79</v>
      </c>
      <c r="AY126" s="19" t="s">
        <v>380</v>
      </c>
      <c r="BE126" s="193">
        <f t="shared" si="14"/>
        <v>0</v>
      </c>
      <c r="BF126" s="193">
        <f t="shared" si="15"/>
        <v>0</v>
      </c>
      <c r="BG126" s="193">
        <f t="shared" si="16"/>
        <v>0</v>
      </c>
      <c r="BH126" s="193">
        <f t="shared" si="17"/>
        <v>0</v>
      </c>
      <c r="BI126" s="193">
        <f t="shared" si="18"/>
        <v>0</v>
      </c>
      <c r="BJ126" s="19" t="s">
        <v>79</v>
      </c>
      <c r="BK126" s="193">
        <f t="shared" si="19"/>
        <v>0</v>
      </c>
      <c r="BL126" s="19" t="s">
        <v>281</v>
      </c>
      <c r="BM126" s="192" t="s">
        <v>851</v>
      </c>
    </row>
    <row r="127" spans="1:65" s="2" customFormat="1" ht="16.5" customHeight="1">
      <c r="A127" s="36"/>
      <c r="B127" s="37"/>
      <c r="C127" s="181" t="s">
        <v>619</v>
      </c>
      <c r="D127" s="181" t="s">
        <v>382</v>
      </c>
      <c r="E127" s="182" t="s">
        <v>5914</v>
      </c>
      <c r="F127" s="183" t="s">
        <v>5915</v>
      </c>
      <c r="G127" s="184" t="s">
        <v>2393</v>
      </c>
      <c r="H127" s="185">
        <v>102</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281</v>
      </c>
      <c r="AT127" s="192" t="s">
        <v>382</v>
      </c>
      <c r="AU127" s="192" t="s">
        <v>79</v>
      </c>
      <c r="AY127" s="19" t="s">
        <v>380</v>
      </c>
      <c r="BE127" s="193">
        <f t="shared" si="14"/>
        <v>0</v>
      </c>
      <c r="BF127" s="193">
        <f t="shared" si="15"/>
        <v>0</v>
      </c>
      <c r="BG127" s="193">
        <f t="shared" si="16"/>
        <v>0</v>
      </c>
      <c r="BH127" s="193">
        <f t="shared" si="17"/>
        <v>0</v>
      </c>
      <c r="BI127" s="193">
        <f t="shared" si="18"/>
        <v>0</v>
      </c>
      <c r="BJ127" s="19" t="s">
        <v>79</v>
      </c>
      <c r="BK127" s="193">
        <f t="shared" si="19"/>
        <v>0</v>
      </c>
      <c r="BL127" s="19" t="s">
        <v>281</v>
      </c>
      <c r="BM127" s="192" t="s">
        <v>859</v>
      </c>
    </row>
    <row r="128" spans="1:65" s="2" customFormat="1" ht="16.5" customHeight="1">
      <c r="A128" s="36"/>
      <c r="B128" s="37"/>
      <c r="C128" s="181" t="s">
        <v>623</v>
      </c>
      <c r="D128" s="181" t="s">
        <v>382</v>
      </c>
      <c r="E128" s="182" t="s">
        <v>5916</v>
      </c>
      <c r="F128" s="183" t="s">
        <v>5917</v>
      </c>
      <c r="G128" s="184" t="s">
        <v>2393</v>
      </c>
      <c r="H128" s="185">
        <v>36</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281</v>
      </c>
      <c r="AT128" s="192" t="s">
        <v>382</v>
      </c>
      <c r="AU128" s="192" t="s">
        <v>79</v>
      </c>
      <c r="AY128" s="19" t="s">
        <v>380</v>
      </c>
      <c r="BE128" s="193">
        <f t="shared" si="14"/>
        <v>0</v>
      </c>
      <c r="BF128" s="193">
        <f t="shared" si="15"/>
        <v>0</v>
      </c>
      <c r="BG128" s="193">
        <f t="shared" si="16"/>
        <v>0</v>
      </c>
      <c r="BH128" s="193">
        <f t="shared" si="17"/>
        <v>0</v>
      </c>
      <c r="BI128" s="193">
        <f t="shared" si="18"/>
        <v>0</v>
      </c>
      <c r="BJ128" s="19" t="s">
        <v>79</v>
      </c>
      <c r="BK128" s="193">
        <f t="shared" si="19"/>
        <v>0</v>
      </c>
      <c r="BL128" s="19" t="s">
        <v>281</v>
      </c>
      <c r="BM128" s="192" t="s">
        <v>867</v>
      </c>
    </row>
    <row r="129" spans="1:65" s="2" customFormat="1" ht="16.5" customHeight="1">
      <c r="A129" s="36"/>
      <c r="B129" s="37"/>
      <c r="C129" s="181" t="s">
        <v>631</v>
      </c>
      <c r="D129" s="181" t="s">
        <v>382</v>
      </c>
      <c r="E129" s="182" t="s">
        <v>5918</v>
      </c>
      <c r="F129" s="183" t="s">
        <v>5919</v>
      </c>
      <c r="G129" s="184" t="s">
        <v>2393</v>
      </c>
      <c r="H129" s="185">
        <v>9</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281</v>
      </c>
      <c r="AT129" s="192" t="s">
        <v>382</v>
      </c>
      <c r="AU129" s="192" t="s">
        <v>79</v>
      </c>
      <c r="AY129" s="19" t="s">
        <v>380</v>
      </c>
      <c r="BE129" s="193">
        <f t="shared" si="14"/>
        <v>0</v>
      </c>
      <c r="BF129" s="193">
        <f t="shared" si="15"/>
        <v>0</v>
      </c>
      <c r="BG129" s="193">
        <f t="shared" si="16"/>
        <v>0</v>
      </c>
      <c r="BH129" s="193">
        <f t="shared" si="17"/>
        <v>0</v>
      </c>
      <c r="BI129" s="193">
        <f t="shared" si="18"/>
        <v>0</v>
      </c>
      <c r="BJ129" s="19" t="s">
        <v>79</v>
      </c>
      <c r="BK129" s="193">
        <f t="shared" si="19"/>
        <v>0</v>
      </c>
      <c r="BL129" s="19" t="s">
        <v>281</v>
      </c>
      <c r="BM129" s="192" t="s">
        <v>884</v>
      </c>
    </row>
    <row r="130" spans="1:65" s="2" customFormat="1" ht="16.5" customHeight="1">
      <c r="A130" s="36"/>
      <c r="B130" s="37"/>
      <c r="C130" s="181" t="s">
        <v>638</v>
      </c>
      <c r="D130" s="181" t="s">
        <v>382</v>
      </c>
      <c r="E130" s="182" t="s">
        <v>5920</v>
      </c>
      <c r="F130" s="183" t="s">
        <v>5921</v>
      </c>
      <c r="G130" s="184" t="s">
        <v>2393</v>
      </c>
      <c r="H130" s="185">
        <v>17</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281</v>
      </c>
      <c r="AT130" s="192" t="s">
        <v>382</v>
      </c>
      <c r="AU130" s="192" t="s">
        <v>79</v>
      </c>
      <c r="AY130" s="19" t="s">
        <v>380</v>
      </c>
      <c r="BE130" s="193">
        <f t="shared" si="14"/>
        <v>0</v>
      </c>
      <c r="BF130" s="193">
        <f t="shared" si="15"/>
        <v>0</v>
      </c>
      <c r="BG130" s="193">
        <f t="shared" si="16"/>
        <v>0</v>
      </c>
      <c r="BH130" s="193">
        <f t="shared" si="17"/>
        <v>0</v>
      </c>
      <c r="BI130" s="193">
        <f t="shared" si="18"/>
        <v>0</v>
      </c>
      <c r="BJ130" s="19" t="s">
        <v>79</v>
      </c>
      <c r="BK130" s="193">
        <f t="shared" si="19"/>
        <v>0</v>
      </c>
      <c r="BL130" s="19" t="s">
        <v>281</v>
      </c>
      <c r="BM130" s="192" t="s">
        <v>910</v>
      </c>
    </row>
    <row r="131" spans="1:65" s="2" customFormat="1" ht="16.5" customHeight="1">
      <c r="A131" s="36"/>
      <c r="B131" s="37"/>
      <c r="C131" s="181" t="s">
        <v>644</v>
      </c>
      <c r="D131" s="181" t="s">
        <v>382</v>
      </c>
      <c r="E131" s="182" t="s">
        <v>5922</v>
      </c>
      <c r="F131" s="183" t="s">
        <v>5923</v>
      </c>
      <c r="G131" s="184" t="s">
        <v>2393</v>
      </c>
      <c r="H131" s="185">
        <v>13</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281</v>
      </c>
      <c r="AT131" s="192" t="s">
        <v>382</v>
      </c>
      <c r="AU131" s="192" t="s">
        <v>79</v>
      </c>
      <c r="AY131" s="19" t="s">
        <v>380</v>
      </c>
      <c r="BE131" s="193">
        <f t="shared" si="14"/>
        <v>0</v>
      </c>
      <c r="BF131" s="193">
        <f t="shared" si="15"/>
        <v>0</v>
      </c>
      <c r="BG131" s="193">
        <f t="shared" si="16"/>
        <v>0</v>
      </c>
      <c r="BH131" s="193">
        <f t="shared" si="17"/>
        <v>0</v>
      </c>
      <c r="BI131" s="193">
        <f t="shared" si="18"/>
        <v>0</v>
      </c>
      <c r="BJ131" s="19" t="s">
        <v>79</v>
      </c>
      <c r="BK131" s="193">
        <f t="shared" si="19"/>
        <v>0</v>
      </c>
      <c r="BL131" s="19" t="s">
        <v>281</v>
      </c>
      <c r="BM131" s="192" t="s">
        <v>927</v>
      </c>
    </row>
    <row r="132" spans="1:65" s="2" customFormat="1" ht="16.5" customHeight="1">
      <c r="A132" s="36"/>
      <c r="B132" s="37"/>
      <c r="C132" s="181" t="s">
        <v>648</v>
      </c>
      <c r="D132" s="181" t="s">
        <v>382</v>
      </c>
      <c r="E132" s="182" t="s">
        <v>5924</v>
      </c>
      <c r="F132" s="183" t="s">
        <v>5925</v>
      </c>
      <c r="G132" s="184" t="s">
        <v>2393</v>
      </c>
      <c r="H132" s="185">
        <v>102</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281</v>
      </c>
      <c r="AT132" s="192" t="s">
        <v>382</v>
      </c>
      <c r="AU132" s="192" t="s">
        <v>79</v>
      </c>
      <c r="AY132" s="19" t="s">
        <v>380</v>
      </c>
      <c r="BE132" s="193">
        <f t="shared" si="14"/>
        <v>0</v>
      </c>
      <c r="BF132" s="193">
        <f t="shared" si="15"/>
        <v>0</v>
      </c>
      <c r="BG132" s="193">
        <f t="shared" si="16"/>
        <v>0</v>
      </c>
      <c r="BH132" s="193">
        <f t="shared" si="17"/>
        <v>0</v>
      </c>
      <c r="BI132" s="193">
        <f t="shared" si="18"/>
        <v>0</v>
      </c>
      <c r="BJ132" s="19" t="s">
        <v>79</v>
      </c>
      <c r="BK132" s="193">
        <f t="shared" si="19"/>
        <v>0</v>
      </c>
      <c r="BL132" s="19" t="s">
        <v>281</v>
      </c>
      <c r="BM132" s="192" t="s">
        <v>936</v>
      </c>
    </row>
    <row r="133" spans="1:65" s="2" customFormat="1" ht="16.5" customHeight="1">
      <c r="A133" s="36"/>
      <c r="B133" s="37"/>
      <c r="C133" s="181" t="s">
        <v>652</v>
      </c>
      <c r="D133" s="181" t="s">
        <v>382</v>
      </c>
      <c r="E133" s="182" t="s">
        <v>5926</v>
      </c>
      <c r="F133" s="183" t="s">
        <v>5927</v>
      </c>
      <c r="G133" s="184" t="s">
        <v>452</v>
      </c>
      <c r="H133" s="185">
        <v>685</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281</v>
      </c>
      <c r="AT133" s="192" t="s">
        <v>382</v>
      </c>
      <c r="AU133" s="192" t="s">
        <v>79</v>
      </c>
      <c r="AY133" s="19" t="s">
        <v>380</v>
      </c>
      <c r="BE133" s="193">
        <f t="shared" si="14"/>
        <v>0</v>
      </c>
      <c r="BF133" s="193">
        <f t="shared" si="15"/>
        <v>0</v>
      </c>
      <c r="BG133" s="193">
        <f t="shared" si="16"/>
        <v>0</v>
      </c>
      <c r="BH133" s="193">
        <f t="shared" si="17"/>
        <v>0</v>
      </c>
      <c r="BI133" s="193">
        <f t="shared" si="18"/>
        <v>0</v>
      </c>
      <c r="BJ133" s="19" t="s">
        <v>79</v>
      </c>
      <c r="BK133" s="193">
        <f t="shared" si="19"/>
        <v>0</v>
      </c>
      <c r="BL133" s="19" t="s">
        <v>281</v>
      </c>
      <c r="BM133" s="192" t="s">
        <v>946</v>
      </c>
    </row>
    <row r="134" spans="1:65" s="2" customFormat="1" ht="16.5" customHeight="1">
      <c r="A134" s="36"/>
      <c r="B134" s="37"/>
      <c r="C134" s="181" t="s">
        <v>656</v>
      </c>
      <c r="D134" s="181" t="s">
        <v>382</v>
      </c>
      <c r="E134" s="182" t="s">
        <v>5928</v>
      </c>
      <c r="F134" s="183" t="s">
        <v>5929</v>
      </c>
      <c r="G134" s="184" t="s">
        <v>452</v>
      </c>
      <c r="H134" s="185">
        <v>875</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281</v>
      </c>
      <c r="AT134" s="192" t="s">
        <v>382</v>
      </c>
      <c r="AU134" s="192" t="s">
        <v>79</v>
      </c>
      <c r="AY134" s="19" t="s">
        <v>380</v>
      </c>
      <c r="BE134" s="193">
        <f t="shared" si="14"/>
        <v>0</v>
      </c>
      <c r="BF134" s="193">
        <f t="shared" si="15"/>
        <v>0</v>
      </c>
      <c r="BG134" s="193">
        <f t="shared" si="16"/>
        <v>0</v>
      </c>
      <c r="BH134" s="193">
        <f t="shared" si="17"/>
        <v>0</v>
      </c>
      <c r="BI134" s="193">
        <f t="shared" si="18"/>
        <v>0</v>
      </c>
      <c r="BJ134" s="19" t="s">
        <v>79</v>
      </c>
      <c r="BK134" s="193">
        <f t="shared" si="19"/>
        <v>0</v>
      </c>
      <c r="BL134" s="19" t="s">
        <v>281</v>
      </c>
      <c r="BM134" s="192" t="s">
        <v>955</v>
      </c>
    </row>
    <row r="135" spans="1:65" s="2" customFormat="1" ht="16.5" customHeight="1">
      <c r="A135" s="36"/>
      <c r="B135" s="37"/>
      <c r="C135" s="181" t="s">
        <v>660</v>
      </c>
      <c r="D135" s="181" t="s">
        <v>382</v>
      </c>
      <c r="E135" s="182" t="s">
        <v>5930</v>
      </c>
      <c r="F135" s="183" t="s">
        <v>4774</v>
      </c>
      <c r="G135" s="184" t="s">
        <v>2393</v>
      </c>
      <c r="H135" s="185">
        <v>9</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281</v>
      </c>
      <c r="AT135" s="192" t="s">
        <v>382</v>
      </c>
      <c r="AU135" s="192" t="s">
        <v>79</v>
      </c>
      <c r="AY135" s="19" t="s">
        <v>380</v>
      </c>
      <c r="BE135" s="193">
        <f t="shared" si="14"/>
        <v>0</v>
      </c>
      <c r="BF135" s="193">
        <f t="shared" si="15"/>
        <v>0</v>
      </c>
      <c r="BG135" s="193">
        <f t="shared" si="16"/>
        <v>0</v>
      </c>
      <c r="BH135" s="193">
        <f t="shared" si="17"/>
        <v>0</v>
      </c>
      <c r="BI135" s="193">
        <f t="shared" si="18"/>
        <v>0</v>
      </c>
      <c r="BJ135" s="19" t="s">
        <v>79</v>
      </c>
      <c r="BK135" s="193">
        <f t="shared" si="19"/>
        <v>0</v>
      </c>
      <c r="BL135" s="19" t="s">
        <v>281</v>
      </c>
      <c r="BM135" s="192" t="s">
        <v>963</v>
      </c>
    </row>
    <row r="136" spans="1:65" s="2" customFormat="1" ht="16.5" customHeight="1">
      <c r="A136" s="36"/>
      <c r="B136" s="37"/>
      <c r="C136" s="181" t="s">
        <v>664</v>
      </c>
      <c r="D136" s="181" t="s">
        <v>382</v>
      </c>
      <c r="E136" s="182" t="s">
        <v>5931</v>
      </c>
      <c r="F136" s="183" t="s">
        <v>5932</v>
      </c>
      <c r="G136" s="184" t="s">
        <v>2393</v>
      </c>
      <c r="H136" s="185">
        <v>24</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281</v>
      </c>
      <c r="AT136" s="192" t="s">
        <v>382</v>
      </c>
      <c r="AU136" s="192" t="s">
        <v>79</v>
      </c>
      <c r="AY136" s="19" t="s">
        <v>380</v>
      </c>
      <c r="BE136" s="193">
        <f t="shared" si="14"/>
        <v>0</v>
      </c>
      <c r="BF136" s="193">
        <f t="shared" si="15"/>
        <v>0</v>
      </c>
      <c r="BG136" s="193">
        <f t="shared" si="16"/>
        <v>0</v>
      </c>
      <c r="BH136" s="193">
        <f t="shared" si="17"/>
        <v>0</v>
      </c>
      <c r="BI136" s="193">
        <f t="shared" si="18"/>
        <v>0</v>
      </c>
      <c r="BJ136" s="19" t="s">
        <v>79</v>
      </c>
      <c r="BK136" s="193">
        <f t="shared" si="19"/>
        <v>0</v>
      </c>
      <c r="BL136" s="19" t="s">
        <v>281</v>
      </c>
      <c r="BM136" s="192" t="s">
        <v>971</v>
      </c>
    </row>
    <row r="137" spans="1:65" s="2" customFormat="1" ht="16.5" customHeight="1">
      <c r="A137" s="36"/>
      <c r="B137" s="37"/>
      <c r="C137" s="181" t="s">
        <v>668</v>
      </c>
      <c r="D137" s="181" t="s">
        <v>382</v>
      </c>
      <c r="E137" s="182" t="s">
        <v>5933</v>
      </c>
      <c r="F137" s="183" t="s">
        <v>4861</v>
      </c>
      <c r="G137" s="184" t="s">
        <v>2393</v>
      </c>
      <c r="H137" s="185">
        <v>1500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281</v>
      </c>
      <c r="AT137" s="192" t="s">
        <v>382</v>
      </c>
      <c r="AU137" s="192" t="s">
        <v>79</v>
      </c>
      <c r="AY137" s="19" t="s">
        <v>380</v>
      </c>
      <c r="BE137" s="193">
        <f t="shared" si="14"/>
        <v>0</v>
      </c>
      <c r="BF137" s="193">
        <f t="shared" si="15"/>
        <v>0</v>
      </c>
      <c r="BG137" s="193">
        <f t="shared" si="16"/>
        <v>0</v>
      </c>
      <c r="BH137" s="193">
        <f t="shared" si="17"/>
        <v>0</v>
      </c>
      <c r="BI137" s="193">
        <f t="shared" si="18"/>
        <v>0</v>
      </c>
      <c r="BJ137" s="19" t="s">
        <v>79</v>
      </c>
      <c r="BK137" s="193">
        <f t="shared" si="19"/>
        <v>0</v>
      </c>
      <c r="BL137" s="19" t="s">
        <v>281</v>
      </c>
      <c r="BM137" s="192" t="s">
        <v>979</v>
      </c>
    </row>
    <row r="138" spans="1:65" s="2" customFormat="1" ht="16.5" customHeight="1">
      <c r="A138" s="36"/>
      <c r="B138" s="37"/>
      <c r="C138" s="181" t="s">
        <v>672</v>
      </c>
      <c r="D138" s="181" t="s">
        <v>382</v>
      </c>
      <c r="E138" s="182" t="s">
        <v>5934</v>
      </c>
      <c r="F138" s="183" t="s">
        <v>5935</v>
      </c>
      <c r="G138" s="184" t="s">
        <v>2393</v>
      </c>
      <c r="H138" s="185">
        <v>59</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281</v>
      </c>
      <c r="AT138" s="192" t="s">
        <v>382</v>
      </c>
      <c r="AU138" s="192" t="s">
        <v>79</v>
      </c>
      <c r="AY138" s="19" t="s">
        <v>380</v>
      </c>
      <c r="BE138" s="193">
        <f t="shared" si="14"/>
        <v>0</v>
      </c>
      <c r="BF138" s="193">
        <f t="shared" si="15"/>
        <v>0</v>
      </c>
      <c r="BG138" s="193">
        <f t="shared" si="16"/>
        <v>0</v>
      </c>
      <c r="BH138" s="193">
        <f t="shared" si="17"/>
        <v>0</v>
      </c>
      <c r="BI138" s="193">
        <f t="shared" si="18"/>
        <v>0</v>
      </c>
      <c r="BJ138" s="19" t="s">
        <v>79</v>
      </c>
      <c r="BK138" s="193">
        <f t="shared" si="19"/>
        <v>0</v>
      </c>
      <c r="BL138" s="19" t="s">
        <v>281</v>
      </c>
      <c r="BM138" s="192" t="s">
        <v>987</v>
      </c>
    </row>
    <row r="139" spans="1:65" s="2" customFormat="1" ht="16.5" customHeight="1">
      <c r="A139" s="36"/>
      <c r="B139" s="37"/>
      <c r="C139" s="181" t="s">
        <v>677</v>
      </c>
      <c r="D139" s="181" t="s">
        <v>382</v>
      </c>
      <c r="E139" s="182" t="s">
        <v>5936</v>
      </c>
      <c r="F139" s="183" t="s">
        <v>5937</v>
      </c>
      <c r="G139" s="184" t="s">
        <v>2393</v>
      </c>
      <c r="H139" s="185">
        <v>2</v>
      </c>
      <c r="I139" s="186"/>
      <c r="J139" s="187">
        <f t="shared" si="10"/>
        <v>0</v>
      </c>
      <c r="K139" s="183" t="s">
        <v>19</v>
      </c>
      <c r="L139" s="41"/>
      <c r="M139" s="188" t="s">
        <v>19</v>
      </c>
      <c r="N139" s="189"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281</v>
      </c>
      <c r="AT139" s="192" t="s">
        <v>382</v>
      </c>
      <c r="AU139" s="192" t="s">
        <v>79</v>
      </c>
      <c r="AY139" s="19" t="s">
        <v>380</v>
      </c>
      <c r="BE139" s="193">
        <f t="shared" si="14"/>
        <v>0</v>
      </c>
      <c r="BF139" s="193">
        <f t="shared" si="15"/>
        <v>0</v>
      </c>
      <c r="BG139" s="193">
        <f t="shared" si="16"/>
        <v>0</v>
      </c>
      <c r="BH139" s="193">
        <f t="shared" si="17"/>
        <v>0</v>
      </c>
      <c r="BI139" s="193">
        <f t="shared" si="18"/>
        <v>0</v>
      </c>
      <c r="BJ139" s="19" t="s">
        <v>79</v>
      </c>
      <c r="BK139" s="193">
        <f t="shared" si="19"/>
        <v>0</v>
      </c>
      <c r="BL139" s="19" t="s">
        <v>281</v>
      </c>
      <c r="BM139" s="192" t="s">
        <v>995</v>
      </c>
    </row>
    <row r="140" spans="1:65" s="2" customFormat="1" ht="16.5" customHeight="1">
      <c r="A140" s="36"/>
      <c r="B140" s="37"/>
      <c r="C140" s="181" t="s">
        <v>688</v>
      </c>
      <c r="D140" s="181" t="s">
        <v>382</v>
      </c>
      <c r="E140" s="182" t="s">
        <v>5938</v>
      </c>
      <c r="F140" s="183" t="s">
        <v>5939</v>
      </c>
      <c r="G140" s="184" t="s">
        <v>2393</v>
      </c>
      <c r="H140" s="185">
        <v>20</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281</v>
      </c>
      <c r="AT140" s="192" t="s">
        <v>382</v>
      </c>
      <c r="AU140" s="192" t="s">
        <v>79</v>
      </c>
      <c r="AY140" s="19" t="s">
        <v>380</v>
      </c>
      <c r="BE140" s="193">
        <f t="shared" si="14"/>
        <v>0</v>
      </c>
      <c r="BF140" s="193">
        <f t="shared" si="15"/>
        <v>0</v>
      </c>
      <c r="BG140" s="193">
        <f t="shared" si="16"/>
        <v>0</v>
      </c>
      <c r="BH140" s="193">
        <f t="shared" si="17"/>
        <v>0</v>
      </c>
      <c r="BI140" s="193">
        <f t="shared" si="18"/>
        <v>0</v>
      </c>
      <c r="BJ140" s="19" t="s">
        <v>79</v>
      </c>
      <c r="BK140" s="193">
        <f t="shared" si="19"/>
        <v>0</v>
      </c>
      <c r="BL140" s="19" t="s">
        <v>281</v>
      </c>
      <c r="BM140" s="192" t="s">
        <v>154</v>
      </c>
    </row>
    <row r="141" spans="1:65" s="2" customFormat="1" ht="16.5" customHeight="1">
      <c r="A141" s="36"/>
      <c r="B141" s="37"/>
      <c r="C141" s="181" t="s">
        <v>699</v>
      </c>
      <c r="D141" s="181" t="s">
        <v>382</v>
      </c>
      <c r="E141" s="182" t="s">
        <v>5940</v>
      </c>
      <c r="F141" s="183" t="s">
        <v>5941</v>
      </c>
      <c r="G141" s="184" t="s">
        <v>2393</v>
      </c>
      <c r="H141" s="185">
        <v>1</v>
      </c>
      <c r="I141" s="186"/>
      <c r="J141" s="187">
        <f t="shared" si="10"/>
        <v>0</v>
      </c>
      <c r="K141" s="183" t="s">
        <v>19</v>
      </c>
      <c r="L141" s="41"/>
      <c r="M141" s="188" t="s">
        <v>19</v>
      </c>
      <c r="N141" s="189"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281</v>
      </c>
      <c r="AT141" s="192" t="s">
        <v>382</v>
      </c>
      <c r="AU141" s="192" t="s">
        <v>79</v>
      </c>
      <c r="AY141" s="19" t="s">
        <v>380</v>
      </c>
      <c r="BE141" s="193">
        <f t="shared" si="14"/>
        <v>0</v>
      </c>
      <c r="BF141" s="193">
        <f t="shared" si="15"/>
        <v>0</v>
      </c>
      <c r="BG141" s="193">
        <f t="shared" si="16"/>
        <v>0</v>
      </c>
      <c r="BH141" s="193">
        <f t="shared" si="17"/>
        <v>0</v>
      </c>
      <c r="BI141" s="193">
        <f t="shared" si="18"/>
        <v>0</v>
      </c>
      <c r="BJ141" s="19" t="s">
        <v>79</v>
      </c>
      <c r="BK141" s="193">
        <f t="shared" si="19"/>
        <v>0</v>
      </c>
      <c r="BL141" s="19" t="s">
        <v>281</v>
      </c>
      <c r="BM141" s="192" t="s">
        <v>160</v>
      </c>
    </row>
    <row r="142" spans="1:65" s="2" customFormat="1" ht="16.5" customHeight="1">
      <c r="A142" s="36"/>
      <c r="B142" s="37"/>
      <c r="C142" s="181" t="s">
        <v>703</v>
      </c>
      <c r="D142" s="181" t="s">
        <v>382</v>
      </c>
      <c r="E142" s="182" t="s">
        <v>5942</v>
      </c>
      <c r="F142" s="183" t="s">
        <v>5943</v>
      </c>
      <c r="G142" s="184" t="s">
        <v>2393</v>
      </c>
      <c r="H142" s="185">
        <v>1</v>
      </c>
      <c r="I142" s="186"/>
      <c r="J142" s="187">
        <f t="shared" si="10"/>
        <v>0</v>
      </c>
      <c r="K142" s="183" t="s">
        <v>19</v>
      </c>
      <c r="L142" s="41"/>
      <c r="M142" s="252" t="s">
        <v>19</v>
      </c>
      <c r="N142" s="253" t="s">
        <v>43</v>
      </c>
      <c r="O142" s="254"/>
      <c r="P142" s="255">
        <f t="shared" si="11"/>
        <v>0</v>
      </c>
      <c r="Q142" s="255">
        <v>0</v>
      </c>
      <c r="R142" s="255">
        <f t="shared" si="12"/>
        <v>0</v>
      </c>
      <c r="S142" s="255">
        <v>0</v>
      </c>
      <c r="T142" s="256">
        <f t="shared" si="13"/>
        <v>0</v>
      </c>
      <c r="U142" s="36"/>
      <c r="V142" s="36"/>
      <c r="W142" s="36"/>
      <c r="X142" s="36"/>
      <c r="Y142" s="36"/>
      <c r="Z142" s="36"/>
      <c r="AA142" s="36"/>
      <c r="AB142" s="36"/>
      <c r="AC142" s="36"/>
      <c r="AD142" s="36"/>
      <c r="AE142" s="36"/>
      <c r="AR142" s="192" t="s">
        <v>281</v>
      </c>
      <c r="AT142" s="192" t="s">
        <v>382</v>
      </c>
      <c r="AU142" s="192" t="s">
        <v>79</v>
      </c>
      <c r="AY142" s="19" t="s">
        <v>380</v>
      </c>
      <c r="BE142" s="193">
        <f t="shared" si="14"/>
        <v>0</v>
      </c>
      <c r="BF142" s="193">
        <f t="shared" si="15"/>
        <v>0</v>
      </c>
      <c r="BG142" s="193">
        <f t="shared" si="16"/>
        <v>0</v>
      </c>
      <c r="BH142" s="193">
        <f t="shared" si="17"/>
        <v>0</v>
      </c>
      <c r="BI142" s="193">
        <f t="shared" si="18"/>
        <v>0</v>
      </c>
      <c r="BJ142" s="19" t="s">
        <v>79</v>
      </c>
      <c r="BK142" s="193">
        <f t="shared" si="19"/>
        <v>0</v>
      </c>
      <c r="BL142" s="19" t="s">
        <v>281</v>
      </c>
      <c r="BM142" s="192" t="s">
        <v>163</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Fk3SHCTGufYVMnWM7xgHVtygVeW4g0tF9iBvN+PKts3Y9UAcr7aLNmJVATNc/y8ym9jA4oPwQwlJaI/NR/Yoiw==" saltValue="13ZiGkfRy2GwQN/I7e2ahMN307Gww+cxqI5sLhwTMRkbPDtKB8bnSVSUOXxhrkwKv4F9sBs0VEAURSJHVc714g==" spinCount="100000" sheet="1" objects="1" scenarios="1" formatColumns="0" formatRows="0" autoFilter="0"/>
  <autoFilter ref="C86:K142" xr:uid="{00000000-0009-0000-0000-000031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5944</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415" t="s">
        <v>5945</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ROUND((SUM(BE83:BE137)),  2)</f>
        <v>0</v>
      </c>
      <c r="G33" s="36"/>
      <c r="H33" s="36"/>
      <c r="I33" s="127">
        <v>0.21</v>
      </c>
      <c r="J33" s="126">
        <f>ROUND(((SUM(BE83:BE137))*I33),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ROUND((SUM(BF83:BF137)),  2)</f>
        <v>0</v>
      </c>
      <c r="G34" s="36"/>
      <c r="H34" s="36"/>
      <c r="I34" s="127">
        <v>0.15</v>
      </c>
      <c r="J34" s="126">
        <f>ROUND(((SUM(BF83:BF137))*I34),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SO 02 - DEMOLICE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336</v>
      </c>
      <c r="E60" s="146"/>
      <c r="F60" s="146"/>
      <c r="G60" s="146"/>
      <c r="H60" s="146"/>
      <c r="I60" s="146"/>
      <c r="J60" s="147">
        <f>J84</f>
        <v>0</v>
      </c>
      <c r="K60" s="144"/>
      <c r="L60" s="148"/>
    </row>
    <row r="61" spans="1:47" s="10" customFormat="1" ht="19.899999999999999" customHeight="1">
      <c r="B61" s="149"/>
      <c r="C61" s="99"/>
      <c r="D61" s="150" t="s">
        <v>342</v>
      </c>
      <c r="E61" s="151"/>
      <c r="F61" s="151"/>
      <c r="G61" s="151"/>
      <c r="H61" s="151"/>
      <c r="I61" s="151"/>
      <c r="J61" s="152">
        <f>J85</f>
        <v>0</v>
      </c>
      <c r="K61" s="99"/>
      <c r="L61" s="153"/>
    </row>
    <row r="62" spans="1:47" s="10" customFormat="1" ht="19.899999999999999" customHeight="1">
      <c r="B62" s="149"/>
      <c r="C62" s="99"/>
      <c r="D62" s="150" t="s">
        <v>5946</v>
      </c>
      <c r="E62" s="151"/>
      <c r="F62" s="151"/>
      <c r="G62" s="151"/>
      <c r="H62" s="151"/>
      <c r="I62" s="151"/>
      <c r="J62" s="152">
        <f>J107</f>
        <v>0</v>
      </c>
      <c r="K62" s="99"/>
      <c r="L62" s="153"/>
    </row>
    <row r="63" spans="1:47" s="9" customFormat="1" ht="24.95" customHeight="1">
      <c r="B63" s="143"/>
      <c r="C63" s="144"/>
      <c r="D63" s="145" t="s">
        <v>5947</v>
      </c>
      <c r="E63" s="146"/>
      <c r="F63" s="146"/>
      <c r="G63" s="146"/>
      <c r="H63" s="146"/>
      <c r="I63" s="146"/>
      <c r="J63" s="147">
        <f>J131</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365</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282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SO 02 - DEMOLICE</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OLOMOUC</v>
      </c>
      <c r="G77" s="38"/>
      <c r="H77" s="38"/>
      <c r="I77" s="31" t="s">
        <v>23</v>
      </c>
      <c r="J77" s="61" t="str">
        <f>IF(J12="","",J12)</f>
        <v>4. 8. 2021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366</v>
      </c>
      <c r="D82" s="157" t="s">
        <v>57</v>
      </c>
      <c r="E82" s="157" t="s">
        <v>53</v>
      </c>
      <c r="F82" s="157" t="s">
        <v>54</v>
      </c>
      <c r="G82" s="157" t="s">
        <v>367</v>
      </c>
      <c r="H82" s="157" t="s">
        <v>368</v>
      </c>
      <c r="I82" s="157" t="s">
        <v>369</v>
      </c>
      <c r="J82" s="157" t="s">
        <v>334</v>
      </c>
      <c r="K82" s="158" t="s">
        <v>370</v>
      </c>
      <c r="L82" s="159"/>
      <c r="M82" s="70" t="s">
        <v>19</v>
      </c>
      <c r="N82" s="71" t="s">
        <v>42</v>
      </c>
      <c r="O82" s="71" t="s">
        <v>371</v>
      </c>
      <c r="P82" s="71" t="s">
        <v>372</v>
      </c>
      <c r="Q82" s="71" t="s">
        <v>373</v>
      </c>
      <c r="R82" s="71" t="s">
        <v>374</v>
      </c>
      <c r="S82" s="71" t="s">
        <v>375</v>
      </c>
      <c r="T82" s="72" t="s">
        <v>376</v>
      </c>
      <c r="U82" s="154"/>
      <c r="V82" s="154"/>
      <c r="W82" s="154"/>
      <c r="X82" s="154"/>
      <c r="Y82" s="154"/>
      <c r="Z82" s="154"/>
      <c r="AA82" s="154"/>
      <c r="AB82" s="154"/>
      <c r="AC82" s="154"/>
      <c r="AD82" s="154"/>
      <c r="AE82" s="154"/>
    </row>
    <row r="83" spans="1:65" s="2" customFormat="1" ht="22.9" customHeight="1">
      <c r="A83" s="36"/>
      <c r="B83" s="37"/>
      <c r="C83" s="77" t="s">
        <v>377</v>
      </c>
      <c r="D83" s="38"/>
      <c r="E83" s="38"/>
      <c r="F83" s="38"/>
      <c r="G83" s="38"/>
      <c r="H83" s="38"/>
      <c r="I83" s="38"/>
      <c r="J83" s="160">
        <f>BK83</f>
        <v>0</v>
      </c>
      <c r="K83" s="38"/>
      <c r="L83" s="41"/>
      <c r="M83" s="73"/>
      <c r="N83" s="161"/>
      <c r="O83" s="74"/>
      <c r="P83" s="162">
        <f>P84+P131</f>
        <v>0</v>
      </c>
      <c r="Q83" s="74"/>
      <c r="R83" s="162">
        <f>R84+R131</f>
        <v>0</v>
      </c>
      <c r="S83" s="74"/>
      <c r="T83" s="163">
        <f>T84+T131</f>
        <v>4341.8840600000003</v>
      </c>
      <c r="U83" s="36"/>
      <c r="V83" s="36"/>
      <c r="W83" s="36"/>
      <c r="X83" s="36"/>
      <c r="Y83" s="36"/>
      <c r="Z83" s="36"/>
      <c r="AA83" s="36"/>
      <c r="AB83" s="36"/>
      <c r="AC83" s="36"/>
      <c r="AD83" s="36"/>
      <c r="AE83" s="36"/>
      <c r="AT83" s="19" t="s">
        <v>71</v>
      </c>
      <c r="AU83" s="19" t="s">
        <v>335</v>
      </c>
      <c r="BK83" s="164">
        <f>BK84+BK131</f>
        <v>0</v>
      </c>
    </row>
    <row r="84" spans="1:65" s="12" customFormat="1" ht="25.9" customHeight="1">
      <c r="B84" s="165"/>
      <c r="C84" s="166"/>
      <c r="D84" s="167" t="s">
        <v>71</v>
      </c>
      <c r="E84" s="168" t="s">
        <v>378</v>
      </c>
      <c r="F84" s="168" t="s">
        <v>379</v>
      </c>
      <c r="G84" s="166"/>
      <c r="H84" s="166"/>
      <c r="I84" s="169"/>
      <c r="J84" s="170">
        <f>BK84</f>
        <v>0</v>
      </c>
      <c r="K84" s="166"/>
      <c r="L84" s="171"/>
      <c r="M84" s="172"/>
      <c r="N84" s="173"/>
      <c r="O84" s="173"/>
      <c r="P84" s="174">
        <f>P85+P107</f>
        <v>0</v>
      </c>
      <c r="Q84" s="173"/>
      <c r="R84" s="174">
        <f>R85+R107</f>
        <v>0</v>
      </c>
      <c r="S84" s="173"/>
      <c r="T84" s="175">
        <f>T85+T107</f>
        <v>4341.8840600000003</v>
      </c>
      <c r="AR84" s="176" t="s">
        <v>79</v>
      </c>
      <c r="AT84" s="177" t="s">
        <v>71</v>
      </c>
      <c r="AU84" s="177" t="s">
        <v>72</v>
      </c>
      <c r="AY84" s="176" t="s">
        <v>380</v>
      </c>
      <c r="BK84" s="178">
        <f>BK85+BK107</f>
        <v>0</v>
      </c>
    </row>
    <row r="85" spans="1:65" s="12" customFormat="1" ht="22.9" customHeight="1">
      <c r="B85" s="165"/>
      <c r="C85" s="166"/>
      <c r="D85" s="167" t="s">
        <v>71</v>
      </c>
      <c r="E85" s="179" t="s">
        <v>430</v>
      </c>
      <c r="F85" s="179" t="s">
        <v>1285</v>
      </c>
      <c r="G85" s="166"/>
      <c r="H85" s="166"/>
      <c r="I85" s="169"/>
      <c r="J85" s="180">
        <f>BK85</f>
        <v>0</v>
      </c>
      <c r="K85" s="166"/>
      <c r="L85" s="171"/>
      <c r="M85" s="172"/>
      <c r="N85" s="173"/>
      <c r="O85" s="173"/>
      <c r="P85" s="174">
        <f>SUM(P86:P106)</f>
        <v>0</v>
      </c>
      <c r="Q85" s="173"/>
      <c r="R85" s="174">
        <f>SUM(R86:R106)</f>
        <v>0</v>
      </c>
      <c r="S85" s="173"/>
      <c r="T85" s="175">
        <f>SUM(T86:T106)</f>
        <v>4341.8840600000003</v>
      </c>
      <c r="AR85" s="176" t="s">
        <v>79</v>
      </c>
      <c r="AT85" s="177" t="s">
        <v>71</v>
      </c>
      <c r="AU85" s="177" t="s">
        <v>79</v>
      </c>
      <c r="AY85" s="176" t="s">
        <v>380</v>
      </c>
      <c r="BK85" s="178">
        <f>SUM(BK86:BK106)</f>
        <v>0</v>
      </c>
    </row>
    <row r="86" spans="1:65" s="2" customFormat="1" ht="16.5" customHeight="1">
      <c r="A86" s="36"/>
      <c r="B86" s="37"/>
      <c r="C86" s="181" t="s">
        <v>79</v>
      </c>
      <c r="D86" s="181" t="s">
        <v>382</v>
      </c>
      <c r="E86" s="182" t="s">
        <v>5948</v>
      </c>
      <c r="F86" s="183" t="s">
        <v>5949</v>
      </c>
      <c r="G86" s="184" t="s">
        <v>2006</v>
      </c>
      <c r="H86" s="185">
        <v>1</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386</v>
      </c>
      <c r="AT86" s="192" t="s">
        <v>382</v>
      </c>
      <c r="AU86" s="192" t="s">
        <v>82</v>
      </c>
      <c r="AY86" s="19" t="s">
        <v>380</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386</v>
      </c>
      <c r="BM86" s="192" t="s">
        <v>5950</v>
      </c>
    </row>
    <row r="87" spans="1:65" s="2" customFormat="1" ht="24.2" customHeight="1">
      <c r="A87" s="36"/>
      <c r="B87" s="37"/>
      <c r="C87" s="181" t="s">
        <v>82</v>
      </c>
      <c r="D87" s="181" t="s">
        <v>382</v>
      </c>
      <c r="E87" s="182" t="s">
        <v>5951</v>
      </c>
      <c r="F87" s="183" t="s">
        <v>5952</v>
      </c>
      <c r="G87" s="184" t="s">
        <v>1334</v>
      </c>
      <c r="H87" s="185">
        <v>130</v>
      </c>
      <c r="I87" s="186"/>
      <c r="J87" s="187">
        <f>ROUND(I87*H87,2)</f>
        <v>0</v>
      </c>
      <c r="K87" s="183" t="s">
        <v>19</v>
      </c>
      <c r="L87" s="41"/>
      <c r="M87" s="188" t="s">
        <v>19</v>
      </c>
      <c r="N87" s="189" t="s">
        <v>43</v>
      </c>
      <c r="O87" s="66"/>
      <c r="P87" s="190">
        <f>O87*H87</f>
        <v>0</v>
      </c>
      <c r="Q87" s="190">
        <v>0</v>
      </c>
      <c r="R87" s="190">
        <f>Q87*H87</f>
        <v>0</v>
      </c>
      <c r="S87" s="190">
        <v>0.05</v>
      </c>
      <c r="T87" s="191">
        <f>S87*H87</f>
        <v>6.5</v>
      </c>
      <c r="U87" s="36"/>
      <c r="V87" s="36"/>
      <c r="W87" s="36"/>
      <c r="X87" s="36"/>
      <c r="Y87" s="36"/>
      <c r="Z87" s="36"/>
      <c r="AA87" s="36"/>
      <c r="AB87" s="36"/>
      <c r="AC87" s="36"/>
      <c r="AD87" s="36"/>
      <c r="AE87" s="36"/>
      <c r="AR87" s="192" t="s">
        <v>386</v>
      </c>
      <c r="AT87" s="192" t="s">
        <v>382</v>
      </c>
      <c r="AU87" s="192" t="s">
        <v>82</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386</v>
      </c>
      <c r="BM87" s="192" t="s">
        <v>5953</v>
      </c>
    </row>
    <row r="88" spans="1:65" s="13" customFormat="1" ht="11.25">
      <c r="B88" s="194"/>
      <c r="C88" s="195"/>
      <c r="D88" s="196" t="s">
        <v>388</v>
      </c>
      <c r="E88" s="197" t="s">
        <v>19</v>
      </c>
      <c r="F88" s="198" t="s">
        <v>1336</v>
      </c>
      <c r="G88" s="195"/>
      <c r="H88" s="197" t="s">
        <v>19</v>
      </c>
      <c r="I88" s="199"/>
      <c r="J88" s="195"/>
      <c r="K88" s="195"/>
      <c r="L88" s="200"/>
      <c r="M88" s="201"/>
      <c r="N88" s="202"/>
      <c r="O88" s="202"/>
      <c r="P88" s="202"/>
      <c r="Q88" s="202"/>
      <c r="R88" s="202"/>
      <c r="S88" s="202"/>
      <c r="T88" s="203"/>
      <c r="AT88" s="204" t="s">
        <v>388</v>
      </c>
      <c r="AU88" s="204" t="s">
        <v>82</v>
      </c>
      <c r="AV88" s="13" t="s">
        <v>79</v>
      </c>
      <c r="AW88" s="13" t="s">
        <v>33</v>
      </c>
      <c r="AX88" s="13" t="s">
        <v>72</v>
      </c>
      <c r="AY88" s="204" t="s">
        <v>380</v>
      </c>
    </row>
    <row r="89" spans="1:65" s="14" customFormat="1" ht="11.25">
      <c r="B89" s="205"/>
      <c r="C89" s="206"/>
      <c r="D89" s="196" t="s">
        <v>388</v>
      </c>
      <c r="E89" s="207" t="s">
        <v>19</v>
      </c>
      <c r="F89" s="208" t="s">
        <v>5954</v>
      </c>
      <c r="G89" s="206"/>
      <c r="H89" s="209">
        <v>130</v>
      </c>
      <c r="I89" s="210"/>
      <c r="J89" s="206"/>
      <c r="K89" s="206"/>
      <c r="L89" s="211"/>
      <c r="M89" s="212"/>
      <c r="N89" s="213"/>
      <c r="O89" s="213"/>
      <c r="P89" s="213"/>
      <c r="Q89" s="213"/>
      <c r="R89" s="213"/>
      <c r="S89" s="213"/>
      <c r="T89" s="214"/>
      <c r="AT89" s="215" t="s">
        <v>388</v>
      </c>
      <c r="AU89" s="215" t="s">
        <v>82</v>
      </c>
      <c r="AV89" s="14" t="s">
        <v>82</v>
      </c>
      <c r="AW89" s="14" t="s">
        <v>33</v>
      </c>
      <c r="AX89" s="14" t="s">
        <v>79</v>
      </c>
      <c r="AY89" s="215" t="s">
        <v>380</v>
      </c>
    </row>
    <row r="90" spans="1:65" s="2" customFormat="1" ht="16.5" customHeight="1">
      <c r="A90" s="36"/>
      <c r="B90" s="37"/>
      <c r="C90" s="181" t="s">
        <v>99</v>
      </c>
      <c r="D90" s="181" t="s">
        <v>382</v>
      </c>
      <c r="E90" s="182" t="s">
        <v>5955</v>
      </c>
      <c r="F90" s="183" t="s">
        <v>5956</v>
      </c>
      <c r="G90" s="184" t="s">
        <v>385</v>
      </c>
      <c r="H90" s="185">
        <v>45.619</v>
      </c>
      <c r="I90" s="186"/>
      <c r="J90" s="187">
        <f>ROUND(I90*H90,2)</f>
        <v>0</v>
      </c>
      <c r="K90" s="183" t="s">
        <v>399</v>
      </c>
      <c r="L90" s="41"/>
      <c r="M90" s="188" t="s">
        <v>19</v>
      </c>
      <c r="N90" s="189" t="s">
        <v>43</v>
      </c>
      <c r="O90" s="66"/>
      <c r="P90" s="190">
        <f>O90*H90</f>
        <v>0</v>
      </c>
      <c r="Q90" s="190">
        <v>0</v>
      </c>
      <c r="R90" s="190">
        <f>Q90*H90</f>
        <v>0</v>
      </c>
      <c r="S90" s="190">
        <v>2.4</v>
      </c>
      <c r="T90" s="191">
        <f>S90*H90</f>
        <v>109.48559999999999</v>
      </c>
      <c r="U90" s="36"/>
      <c r="V90" s="36"/>
      <c r="W90" s="36"/>
      <c r="X90" s="36"/>
      <c r="Y90" s="36"/>
      <c r="Z90" s="36"/>
      <c r="AA90" s="36"/>
      <c r="AB90" s="36"/>
      <c r="AC90" s="36"/>
      <c r="AD90" s="36"/>
      <c r="AE90" s="36"/>
      <c r="AR90" s="192" t="s">
        <v>386</v>
      </c>
      <c r="AT90" s="192" t="s">
        <v>382</v>
      </c>
      <c r="AU90" s="192" t="s">
        <v>82</v>
      </c>
      <c r="AY90" s="19" t="s">
        <v>380</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386</v>
      </c>
      <c r="BM90" s="192" t="s">
        <v>5957</v>
      </c>
    </row>
    <row r="91" spans="1:65" s="13" customFormat="1" ht="11.25">
      <c r="B91" s="194"/>
      <c r="C91" s="195"/>
      <c r="D91" s="196" t="s">
        <v>388</v>
      </c>
      <c r="E91" s="197" t="s">
        <v>19</v>
      </c>
      <c r="F91" s="198" t="s">
        <v>5958</v>
      </c>
      <c r="G91" s="195"/>
      <c r="H91" s="197" t="s">
        <v>19</v>
      </c>
      <c r="I91" s="199"/>
      <c r="J91" s="195"/>
      <c r="K91" s="195"/>
      <c r="L91" s="200"/>
      <c r="M91" s="201"/>
      <c r="N91" s="202"/>
      <c r="O91" s="202"/>
      <c r="P91" s="202"/>
      <c r="Q91" s="202"/>
      <c r="R91" s="202"/>
      <c r="S91" s="202"/>
      <c r="T91" s="203"/>
      <c r="AT91" s="204" t="s">
        <v>388</v>
      </c>
      <c r="AU91" s="204" t="s">
        <v>82</v>
      </c>
      <c r="AV91" s="13" t="s">
        <v>79</v>
      </c>
      <c r="AW91" s="13" t="s">
        <v>33</v>
      </c>
      <c r="AX91" s="13" t="s">
        <v>72</v>
      </c>
      <c r="AY91" s="204" t="s">
        <v>380</v>
      </c>
    </row>
    <row r="92" spans="1:65" s="14" customFormat="1" ht="11.25">
      <c r="B92" s="205"/>
      <c r="C92" s="206"/>
      <c r="D92" s="196" t="s">
        <v>388</v>
      </c>
      <c r="E92" s="207" t="s">
        <v>19</v>
      </c>
      <c r="F92" s="208" t="s">
        <v>5959</v>
      </c>
      <c r="G92" s="206"/>
      <c r="H92" s="209">
        <v>34.823</v>
      </c>
      <c r="I92" s="210"/>
      <c r="J92" s="206"/>
      <c r="K92" s="206"/>
      <c r="L92" s="211"/>
      <c r="M92" s="212"/>
      <c r="N92" s="213"/>
      <c r="O92" s="213"/>
      <c r="P92" s="213"/>
      <c r="Q92" s="213"/>
      <c r="R92" s="213"/>
      <c r="S92" s="213"/>
      <c r="T92" s="214"/>
      <c r="AT92" s="215" t="s">
        <v>388</v>
      </c>
      <c r="AU92" s="215" t="s">
        <v>82</v>
      </c>
      <c r="AV92" s="14" t="s">
        <v>82</v>
      </c>
      <c r="AW92" s="14" t="s">
        <v>33</v>
      </c>
      <c r="AX92" s="14" t="s">
        <v>72</v>
      </c>
      <c r="AY92" s="215" t="s">
        <v>380</v>
      </c>
    </row>
    <row r="93" spans="1:65" s="14" customFormat="1" ht="11.25">
      <c r="B93" s="205"/>
      <c r="C93" s="206"/>
      <c r="D93" s="196" t="s">
        <v>388</v>
      </c>
      <c r="E93" s="207" t="s">
        <v>19</v>
      </c>
      <c r="F93" s="208" t="s">
        <v>5960</v>
      </c>
      <c r="G93" s="206"/>
      <c r="H93" s="209">
        <v>3.641</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4" customFormat="1" ht="11.25">
      <c r="B94" s="205"/>
      <c r="C94" s="206"/>
      <c r="D94" s="196" t="s">
        <v>388</v>
      </c>
      <c r="E94" s="207" t="s">
        <v>19</v>
      </c>
      <c r="F94" s="208" t="s">
        <v>5961</v>
      </c>
      <c r="G94" s="206"/>
      <c r="H94" s="209">
        <v>3.419</v>
      </c>
      <c r="I94" s="210"/>
      <c r="J94" s="206"/>
      <c r="K94" s="206"/>
      <c r="L94" s="211"/>
      <c r="M94" s="212"/>
      <c r="N94" s="213"/>
      <c r="O94" s="213"/>
      <c r="P94" s="213"/>
      <c r="Q94" s="213"/>
      <c r="R94" s="213"/>
      <c r="S94" s="213"/>
      <c r="T94" s="214"/>
      <c r="AT94" s="215" t="s">
        <v>388</v>
      </c>
      <c r="AU94" s="215" t="s">
        <v>82</v>
      </c>
      <c r="AV94" s="14" t="s">
        <v>82</v>
      </c>
      <c r="AW94" s="14" t="s">
        <v>33</v>
      </c>
      <c r="AX94" s="14" t="s">
        <v>72</v>
      </c>
      <c r="AY94" s="215" t="s">
        <v>380</v>
      </c>
    </row>
    <row r="95" spans="1:65" s="14" customFormat="1" ht="11.25">
      <c r="B95" s="205"/>
      <c r="C95" s="206"/>
      <c r="D95" s="196" t="s">
        <v>388</v>
      </c>
      <c r="E95" s="207" t="s">
        <v>19</v>
      </c>
      <c r="F95" s="208" t="s">
        <v>5962</v>
      </c>
      <c r="G95" s="206"/>
      <c r="H95" s="209">
        <v>0.68300000000000005</v>
      </c>
      <c r="I95" s="210"/>
      <c r="J95" s="206"/>
      <c r="K95" s="206"/>
      <c r="L95" s="211"/>
      <c r="M95" s="212"/>
      <c r="N95" s="213"/>
      <c r="O95" s="213"/>
      <c r="P95" s="213"/>
      <c r="Q95" s="213"/>
      <c r="R95" s="213"/>
      <c r="S95" s="213"/>
      <c r="T95" s="214"/>
      <c r="AT95" s="215" t="s">
        <v>388</v>
      </c>
      <c r="AU95" s="215" t="s">
        <v>82</v>
      </c>
      <c r="AV95" s="14" t="s">
        <v>82</v>
      </c>
      <c r="AW95" s="14" t="s">
        <v>33</v>
      </c>
      <c r="AX95" s="14" t="s">
        <v>72</v>
      </c>
      <c r="AY95" s="215" t="s">
        <v>380</v>
      </c>
    </row>
    <row r="96" spans="1:65" s="14" customFormat="1" ht="11.25">
      <c r="B96" s="205"/>
      <c r="C96" s="206"/>
      <c r="D96" s="196" t="s">
        <v>388</v>
      </c>
      <c r="E96" s="207" t="s">
        <v>19</v>
      </c>
      <c r="F96" s="208" t="s">
        <v>5963</v>
      </c>
      <c r="G96" s="206"/>
      <c r="H96" s="209">
        <v>0.79900000000000004</v>
      </c>
      <c r="I96" s="210"/>
      <c r="J96" s="206"/>
      <c r="K96" s="206"/>
      <c r="L96" s="211"/>
      <c r="M96" s="212"/>
      <c r="N96" s="213"/>
      <c r="O96" s="213"/>
      <c r="P96" s="213"/>
      <c r="Q96" s="213"/>
      <c r="R96" s="213"/>
      <c r="S96" s="213"/>
      <c r="T96" s="214"/>
      <c r="AT96" s="215" t="s">
        <v>388</v>
      </c>
      <c r="AU96" s="215" t="s">
        <v>82</v>
      </c>
      <c r="AV96" s="14" t="s">
        <v>82</v>
      </c>
      <c r="AW96" s="14" t="s">
        <v>33</v>
      </c>
      <c r="AX96" s="14" t="s">
        <v>72</v>
      </c>
      <c r="AY96" s="215" t="s">
        <v>380</v>
      </c>
    </row>
    <row r="97" spans="1:65" s="14" customFormat="1" ht="11.25">
      <c r="B97" s="205"/>
      <c r="C97" s="206"/>
      <c r="D97" s="196" t="s">
        <v>388</v>
      </c>
      <c r="E97" s="207" t="s">
        <v>19</v>
      </c>
      <c r="F97" s="208" t="s">
        <v>5964</v>
      </c>
      <c r="G97" s="206"/>
      <c r="H97" s="209">
        <v>2.254</v>
      </c>
      <c r="I97" s="210"/>
      <c r="J97" s="206"/>
      <c r="K97" s="206"/>
      <c r="L97" s="211"/>
      <c r="M97" s="212"/>
      <c r="N97" s="213"/>
      <c r="O97" s="213"/>
      <c r="P97" s="213"/>
      <c r="Q97" s="213"/>
      <c r="R97" s="213"/>
      <c r="S97" s="213"/>
      <c r="T97" s="214"/>
      <c r="AT97" s="215" t="s">
        <v>388</v>
      </c>
      <c r="AU97" s="215" t="s">
        <v>82</v>
      </c>
      <c r="AV97" s="14" t="s">
        <v>82</v>
      </c>
      <c r="AW97" s="14" t="s">
        <v>33</v>
      </c>
      <c r="AX97" s="14" t="s">
        <v>72</v>
      </c>
      <c r="AY97" s="215" t="s">
        <v>380</v>
      </c>
    </row>
    <row r="98" spans="1:65" s="15" customFormat="1" ht="11.25">
      <c r="B98" s="216"/>
      <c r="C98" s="217"/>
      <c r="D98" s="196" t="s">
        <v>388</v>
      </c>
      <c r="E98" s="218" t="s">
        <v>19</v>
      </c>
      <c r="F98" s="219" t="s">
        <v>419</v>
      </c>
      <c r="G98" s="217"/>
      <c r="H98" s="220">
        <v>45.618999999999993</v>
      </c>
      <c r="I98" s="221"/>
      <c r="J98" s="217"/>
      <c r="K98" s="217"/>
      <c r="L98" s="222"/>
      <c r="M98" s="223"/>
      <c r="N98" s="224"/>
      <c r="O98" s="224"/>
      <c r="P98" s="224"/>
      <c r="Q98" s="224"/>
      <c r="R98" s="224"/>
      <c r="S98" s="224"/>
      <c r="T98" s="225"/>
      <c r="AT98" s="226" t="s">
        <v>388</v>
      </c>
      <c r="AU98" s="226" t="s">
        <v>82</v>
      </c>
      <c r="AV98" s="15" t="s">
        <v>386</v>
      </c>
      <c r="AW98" s="15" t="s">
        <v>33</v>
      </c>
      <c r="AX98" s="15" t="s">
        <v>79</v>
      </c>
      <c r="AY98" s="226" t="s">
        <v>380</v>
      </c>
    </row>
    <row r="99" spans="1:65" s="2" customFormat="1" ht="24.2" customHeight="1">
      <c r="A99" s="36"/>
      <c r="B99" s="37"/>
      <c r="C99" s="181" t="s">
        <v>386</v>
      </c>
      <c r="D99" s="181" t="s">
        <v>382</v>
      </c>
      <c r="E99" s="182" t="s">
        <v>5965</v>
      </c>
      <c r="F99" s="183" t="s">
        <v>5966</v>
      </c>
      <c r="G99" s="184" t="s">
        <v>385</v>
      </c>
      <c r="H99" s="185">
        <v>10061.663</v>
      </c>
      <c r="I99" s="186"/>
      <c r="J99" s="187">
        <f>ROUND(I99*H99,2)</f>
        <v>0</v>
      </c>
      <c r="K99" s="183" t="s">
        <v>399</v>
      </c>
      <c r="L99" s="41"/>
      <c r="M99" s="188" t="s">
        <v>19</v>
      </c>
      <c r="N99" s="189" t="s">
        <v>43</v>
      </c>
      <c r="O99" s="66"/>
      <c r="P99" s="190">
        <f>O99*H99</f>
        <v>0</v>
      </c>
      <c r="Q99" s="190">
        <v>0</v>
      </c>
      <c r="R99" s="190">
        <f>Q99*H99</f>
        <v>0</v>
      </c>
      <c r="S99" s="190">
        <v>0.42</v>
      </c>
      <c r="T99" s="191">
        <f>S99*H99</f>
        <v>4225.8984600000003</v>
      </c>
      <c r="U99" s="36"/>
      <c r="V99" s="36"/>
      <c r="W99" s="36"/>
      <c r="X99" s="36"/>
      <c r="Y99" s="36"/>
      <c r="Z99" s="36"/>
      <c r="AA99" s="36"/>
      <c r="AB99" s="36"/>
      <c r="AC99" s="36"/>
      <c r="AD99" s="36"/>
      <c r="AE99" s="36"/>
      <c r="AR99" s="192" t="s">
        <v>386</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386</v>
      </c>
      <c r="BM99" s="192" t="s">
        <v>5967</v>
      </c>
    </row>
    <row r="100" spans="1:65" s="2" customFormat="1" ht="19.5">
      <c r="A100" s="36"/>
      <c r="B100" s="37"/>
      <c r="C100" s="38"/>
      <c r="D100" s="196" t="s">
        <v>1226</v>
      </c>
      <c r="E100" s="38"/>
      <c r="F100" s="248" t="s">
        <v>5968</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1226</v>
      </c>
      <c r="AU100" s="19" t="s">
        <v>82</v>
      </c>
    </row>
    <row r="101" spans="1:65" s="14" customFormat="1" ht="11.25">
      <c r="B101" s="205"/>
      <c r="C101" s="206"/>
      <c r="D101" s="196" t="s">
        <v>388</v>
      </c>
      <c r="E101" s="207" t="s">
        <v>19</v>
      </c>
      <c r="F101" s="208" t="s">
        <v>5969</v>
      </c>
      <c r="G101" s="206"/>
      <c r="H101" s="209">
        <v>9373.1630000000005</v>
      </c>
      <c r="I101" s="210"/>
      <c r="J101" s="206"/>
      <c r="K101" s="206"/>
      <c r="L101" s="211"/>
      <c r="M101" s="212"/>
      <c r="N101" s="213"/>
      <c r="O101" s="213"/>
      <c r="P101" s="213"/>
      <c r="Q101" s="213"/>
      <c r="R101" s="213"/>
      <c r="S101" s="213"/>
      <c r="T101" s="214"/>
      <c r="AT101" s="215" t="s">
        <v>388</v>
      </c>
      <c r="AU101" s="215" t="s">
        <v>82</v>
      </c>
      <c r="AV101" s="14" t="s">
        <v>82</v>
      </c>
      <c r="AW101" s="14" t="s">
        <v>33</v>
      </c>
      <c r="AX101" s="14" t="s">
        <v>72</v>
      </c>
      <c r="AY101" s="215" t="s">
        <v>380</v>
      </c>
    </row>
    <row r="102" spans="1:65" s="14" customFormat="1" ht="11.25">
      <c r="B102" s="205"/>
      <c r="C102" s="206"/>
      <c r="D102" s="196" t="s">
        <v>388</v>
      </c>
      <c r="E102" s="207" t="s">
        <v>19</v>
      </c>
      <c r="F102" s="208" t="s">
        <v>5970</v>
      </c>
      <c r="G102" s="206"/>
      <c r="H102" s="209">
        <v>688.5</v>
      </c>
      <c r="I102" s="210"/>
      <c r="J102" s="206"/>
      <c r="K102" s="206"/>
      <c r="L102" s="211"/>
      <c r="M102" s="212"/>
      <c r="N102" s="213"/>
      <c r="O102" s="213"/>
      <c r="P102" s="213"/>
      <c r="Q102" s="213"/>
      <c r="R102" s="213"/>
      <c r="S102" s="213"/>
      <c r="T102" s="214"/>
      <c r="AT102" s="215" t="s">
        <v>388</v>
      </c>
      <c r="AU102" s="215" t="s">
        <v>82</v>
      </c>
      <c r="AV102" s="14" t="s">
        <v>82</v>
      </c>
      <c r="AW102" s="14" t="s">
        <v>33</v>
      </c>
      <c r="AX102" s="14" t="s">
        <v>72</v>
      </c>
      <c r="AY102" s="215" t="s">
        <v>380</v>
      </c>
    </row>
    <row r="103" spans="1:65" s="15" customFormat="1" ht="11.25">
      <c r="B103" s="216"/>
      <c r="C103" s="217"/>
      <c r="D103" s="196" t="s">
        <v>388</v>
      </c>
      <c r="E103" s="218" t="s">
        <v>19</v>
      </c>
      <c r="F103" s="219" t="s">
        <v>419</v>
      </c>
      <c r="G103" s="217"/>
      <c r="H103" s="220">
        <v>10061.663</v>
      </c>
      <c r="I103" s="221"/>
      <c r="J103" s="217"/>
      <c r="K103" s="217"/>
      <c r="L103" s="222"/>
      <c r="M103" s="223"/>
      <c r="N103" s="224"/>
      <c r="O103" s="224"/>
      <c r="P103" s="224"/>
      <c r="Q103" s="224"/>
      <c r="R103" s="224"/>
      <c r="S103" s="224"/>
      <c r="T103" s="225"/>
      <c r="AT103" s="226" t="s">
        <v>388</v>
      </c>
      <c r="AU103" s="226" t="s">
        <v>82</v>
      </c>
      <c r="AV103" s="15" t="s">
        <v>386</v>
      </c>
      <c r="AW103" s="15" t="s">
        <v>33</v>
      </c>
      <c r="AX103" s="15" t="s">
        <v>79</v>
      </c>
      <c r="AY103" s="226" t="s">
        <v>380</v>
      </c>
    </row>
    <row r="104" spans="1:65" s="2" customFormat="1" ht="21.75" customHeight="1">
      <c r="A104" s="36"/>
      <c r="B104" s="37"/>
      <c r="C104" s="181" t="s">
        <v>405</v>
      </c>
      <c r="D104" s="181" t="s">
        <v>382</v>
      </c>
      <c r="E104" s="182" t="s">
        <v>5971</v>
      </c>
      <c r="F104" s="183" t="s">
        <v>5972</v>
      </c>
      <c r="G104" s="184" t="s">
        <v>398</v>
      </c>
      <c r="H104" s="185">
        <v>1325.25</v>
      </c>
      <c r="I104" s="186"/>
      <c r="J104" s="187">
        <f>ROUND(I104*H104,2)</f>
        <v>0</v>
      </c>
      <c r="K104" s="183" t="s">
        <v>19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386</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386</v>
      </c>
      <c r="BM104" s="192" t="s">
        <v>5973</v>
      </c>
    </row>
    <row r="105" spans="1:65" s="2" customFormat="1" ht="19.5">
      <c r="A105" s="36"/>
      <c r="B105" s="37"/>
      <c r="C105" s="38"/>
      <c r="D105" s="196" t="s">
        <v>1226</v>
      </c>
      <c r="E105" s="38"/>
      <c r="F105" s="248" t="s">
        <v>5974</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5975</v>
      </c>
      <c r="G106" s="206"/>
      <c r="H106" s="209">
        <v>1325.25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12" customFormat="1" ht="22.9" customHeight="1">
      <c r="B107" s="165"/>
      <c r="C107" s="166"/>
      <c r="D107" s="167" t="s">
        <v>71</v>
      </c>
      <c r="E107" s="179" t="s">
        <v>5976</v>
      </c>
      <c r="F107" s="179" t="s">
        <v>5977</v>
      </c>
      <c r="G107" s="166"/>
      <c r="H107" s="166"/>
      <c r="I107" s="169"/>
      <c r="J107" s="180">
        <f>BK107</f>
        <v>0</v>
      </c>
      <c r="K107" s="166"/>
      <c r="L107" s="171"/>
      <c r="M107" s="172"/>
      <c r="N107" s="173"/>
      <c r="O107" s="173"/>
      <c r="P107" s="174">
        <f>SUM(P108:P130)</f>
        <v>0</v>
      </c>
      <c r="Q107" s="173"/>
      <c r="R107" s="174">
        <f>SUM(R108:R130)</f>
        <v>0</v>
      </c>
      <c r="S107" s="173"/>
      <c r="T107" s="175">
        <f>SUM(T108:T130)</f>
        <v>0</v>
      </c>
      <c r="AR107" s="176" t="s">
        <v>79</v>
      </c>
      <c r="AT107" s="177" t="s">
        <v>71</v>
      </c>
      <c r="AU107" s="177" t="s">
        <v>79</v>
      </c>
      <c r="AY107" s="176" t="s">
        <v>380</v>
      </c>
      <c r="BK107" s="178">
        <f>SUM(BK108:BK130)</f>
        <v>0</v>
      </c>
    </row>
    <row r="108" spans="1:65" s="2" customFormat="1" ht="21.75" customHeight="1">
      <c r="A108" s="36"/>
      <c r="B108" s="37"/>
      <c r="C108" s="181" t="s">
        <v>411</v>
      </c>
      <c r="D108" s="181" t="s">
        <v>382</v>
      </c>
      <c r="E108" s="182" t="s">
        <v>5978</v>
      </c>
      <c r="F108" s="183" t="s">
        <v>5979</v>
      </c>
      <c r="G108" s="184" t="s">
        <v>437</v>
      </c>
      <c r="H108" s="185">
        <v>4341.884</v>
      </c>
      <c r="I108" s="186"/>
      <c r="J108" s="187">
        <f>ROUND(I108*H108,2)</f>
        <v>0</v>
      </c>
      <c r="K108" s="183" t="s">
        <v>399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5980</v>
      </c>
    </row>
    <row r="109" spans="1:65" s="2" customFormat="1" ht="24.2" customHeight="1">
      <c r="A109" s="36"/>
      <c r="B109" s="37"/>
      <c r="C109" s="181" t="s">
        <v>420</v>
      </c>
      <c r="D109" s="181" t="s">
        <v>382</v>
      </c>
      <c r="E109" s="182" t="s">
        <v>5981</v>
      </c>
      <c r="F109" s="183" t="s">
        <v>5982</v>
      </c>
      <c r="G109" s="184" t="s">
        <v>437</v>
      </c>
      <c r="H109" s="185">
        <v>4341.884</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386</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386</v>
      </c>
      <c r="BM109" s="192" t="s">
        <v>5983</v>
      </c>
    </row>
    <row r="110" spans="1:65" s="2" customFormat="1" ht="24.2" customHeight="1">
      <c r="A110" s="36"/>
      <c r="B110" s="37"/>
      <c r="C110" s="181" t="s">
        <v>424</v>
      </c>
      <c r="D110" s="181" t="s">
        <v>382</v>
      </c>
      <c r="E110" s="182" t="s">
        <v>5984</v>
      </c>
      <c r="F110" s="183" t="s">
        <v>5985</v>
      </c>
      <c r="G110" s="184" t="s">
        <v>437</v>
      </c>
      <c r="H110" s="185">
        <v>1.5</v>
      </c>
      <c r="I110" s="186"/>
      <c r="J110" s="187">
        <f>ROUND(I110*H110,2)</f>
        <v>0</v>
      </c>
      <c r="K110" s="183" t="s">
        <v>399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386</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386</v>
      </c>
      <c r="BM110" s="192" t="s">
        <v>5986</v>
      </c>
    </row>
    <row r="111" spans="1:65" s="13" customFormat="1" ht="11.25">
      <c r="B111" s="194"/>
      <c r="C111" s="195"/>
      <c r="D111" s="196" t="s">
        <v>388</v>
      </c>
      <c r="E111" s="197" t="s">
        <v>19</v>
      </c>
      <c r="F111" s="198" t="s">
        <v>2115</v>
      </c>
      <c r="G111" s="195"/>
      <c r="H111" s="197" t="s">
        <v>19</v>
      </c>
      <c r="I111" s="199"/>
      <c r="J111" s="195"/>
      <c r="K111" s="195"/>
      <c r="L111" s="200"/>
      <c r="M111" s="201"/>
      <c r="N111" s="202"/>
      <c r="O111" s="202"/>
      <c r="P111" s="202"/>
      <c r="Q111" s="202"/>
      <c r="R111" s="202"/>
      <c r="S111" s="202"/>
      <c r="T111" s="203"/>
      <c r="AT111" s="204" t="s">
        <v>388</v>
      </c>
      <c r="AU111" s="204" t="s">
        <v>82</v>
      </c>
      <c r="AV111" s="13" t="s">
        <v>79</v>
      </c>
      <c r="AW111" s="13" t="s">
        <v>33</v>
      </c>
      <c r="AX111" s="13" t="s">
        <v>72</v>
      </c>
      <c r="AY111" s="204" t="s">
        <v>380</v>
      </c>
    </row>
    <row r="112" spans="1:65" s="14" customFormat="1" ht="11.25">
      <c r="B112" s="205"/>
      <c r="C112" s="206"/>
      <c r="D112" s="196" t="s">
        <v>388</v>
      </c>
      <c r="E112" s="207" t="s">
        <v>19</v>
      </c>
      <c r="F112" s="208" t="s">
        <v>2116</v>
      </c>
      <c r="G112" s="206"/>
      <c r="H112" s="209">
        <v>1.5</v>
      </c>
      <c r="I112" s="210"/>
      <c r="J112" s="206"/>
      <c r="K112" s="206"/>
      <c r="L112" s="211"/>
      <c r="M112" s="212"/>
      <c r="N112" s="213"/>
      <c r="O112" s="213"/>
      <c r="P112" s="213"/>
      <c r="Q112" s="213"/>
      <c r="R112" s="213"/>
      <c r="S112" s="213"/>
      <c r="T112" s="214"/>
      <c r="AT112" s="215" t="s">
        <v>388</v>
      </c>
      <c r="AU112" s="215" t="s">
        <v>82</v>
      </c>
      <c r="AV112" s="14" t="s">
        <v>82</v>
      </c>
      <c r="AW112" s="14" t="s">
        <v>33</v>
      </c>
      <c r="AX112" s="14" t="s">
        <v>79</v>
      </c>
      <c r="AY112" s="215" t="s">
        <v>380</v>
      </c>
    </row>
    <row r="113" spans="1:65" s="2" customFormat="1" ht="24.2" customHeight="1">
      <c r="A113" s="36"/>
      <c r="B113" s="37"/>
      <c r="C113" s="181" t="s">
        <v>430</v>
      </c>
      <c r="D113" s="181" t="s">
        <v>382</v>
      </c>
      <c r="E113" s="182" t="s">
        <v>5987</v>
      </c>
      <c r="F113" s="183" t="s">
        <v>5988</v>
      </c>
      <c r="G113" s="184" t="s">
        <v>437</v>
      </c>
      <c r="H113" s="185">
        <v>20</v>
      </c>
      <c r="I113" s="186"/>
      <c r="J113" s="187">
        <f>ROUND(I113*H113,2)</f>
        <v>0</v>
      </c>
      <c r="K113" s="183" t="s">
        <v>399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386</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386</v>
      </c>
      <c r="BM113" s="192" t="s">
        <v>5989</v>
      </c>
    </row>
    <row r="114" spans="1:65" s="13" customFormat="1" ht="11.25">
      <c r="B114" s="194"/>
      <c r="C114" s="195"/>
      <c r="D114" s="196" t="s">
        <v>388</v>
      </c>
      <c r="E114" s="197" t="s">
        <v>19</v>
      </c>
      <c r="F114" s="198" t="s">
        <v>5990</v>
      </c>
      <c r="G114" s="195"/>
      <c r="H114" s="197" t="s">
        <v>19</v>
      </c>
      <c r="I114" s="199"/>
      <c r="J114" s="195"/>
      <c r="K114" s="195"/>
      <c r="L114" s="200"/>
      <c r="M114" s="201"/>
      <c r="N114" s="202"/>
      <c r="O114" s="202"/>
      <c r="P114" s="202"/>
      <c r="Q114" s="202"/>
      <c r="R114" s="202"/>
      <c r="S114" s="202"/>
      <c r="T114" s="203"/>
      <c r="AT114" s="204" t="s">
        <v>388</v>
      </c>
      <c r="AU114" s="204" t="s">
        <v>82</v>
      </c>
      <c r="AV114" s="13" t="s">
        <v>79</v>
      </c>
      <c r="AW114" s="13" t="s">
        <v>33</v>
      </c>
      <c r="AX114" s="13" t="s">
        <v>72</v>
      </c>
      <c r="AY114" s="204" t="s">
        <v>380</v>
      </c>
    </row>
    <row r="115" spans="1:65" s="14" customFormat="1" ht="11.25">
      <c r="B115" s="205"/>
      <c r="C115" s="206"/>
      <c r="D115" s="196" t="s">
        <v>388</v>
      </c>
      <c r="E115" s="207" t="s">
        <v>19</v>
      </c>
      <c r="F115" s="208" t="s">
        <v>5991</v>
      </c>
      <c r="G115" s="206"/>
      <c r="H115" s="209">
        <v>20</v>
      </c>
      <c r="I115" s="210"/>
      <c r="J115" s="206"/>
      <c r="K115" s="206"/>
      <c r="L115" s="211"/>
      <c r="M115" s="212"/>
      <c r="N115" s="213"/>
      <c r="O115" s="213"/>
      <c r="P115" s="213"/>
      <c r="Q115" s="213"/>
      <c r="R115" s="213"/>
      <c r="S115" s="213"/>
      <c r="T115" s="214"/>
      <c r="AT115" s="215" t="s">
        <v>388</v>
      </c>
      <c r="AU115" s="215" t="s">
        <v>82</v>
      </c>
      <c r="AV115" s="14" t="s">
        <v>82</v>
      </c>
      <c r="AW115" s="14" t="s">
        <v>33</v>
      </c>
      <c r="AX115" s="14" t="s">
        <v>79</v>
      </c>
      <c r="AY115" s="215" t="s">
        <v>380</v>
      </c>
    </row>
    <row r="116" spans="1:65" s="2" customFormat="1" ht="24.2" customHeight="1">
      <c r="A116" s="36"/>
      <c r="B116" s="37"/>
      <c r="C116" s="181" t="s">
        <v>122</v>
      </c>
      <c r="D116" s="181" t="s">
        <v>382</v>
      </c>
      <c r="E116" s="182" t="s">
        <v>5992</v>
      </c>
      <c r="F116" s="183" t="s">
        <v>5993</v>
      </c>
      <c r="G116" s="184" t="s">
        <v>437</v>
      </c>
      <c r="H116" s="185">
        <v>10</v>
      </c>
      <c r="I116" s="186"/>
      <c r="J116" s="187">
        <f>ROUND(I116*H116,2)</f>
        <v>0</v>
      </c>
      <c r="K116" s="183" t="s">
        <v>399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386</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386</v>
      </c>
      <c r="BM116" s="192" t="s">
        <v>5994</v>
      </c>
    </row>
    <row r="117" spans="1:65" s="13" customFormat="1" ht="11.25">
      <c r="B117" s="194"/>
      <c r="C117" s="195"/>
      <c r="D117" s="196" t="s">
        <v>388</v>
      </c>
      <c r="E117" s="197" t="s">
        <v>19</v>
      </c>
      <c r="F117" s="198" t="s">
        <v>5990</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5995</v>
      </c>
      <c r="G118" s="206"/>
      <c r="H118" s="209">
        <v>10</v>
      </c>
      <c r="I118" s="210"/>
      <c r="J118" s="206"/>
      <c r="K118" s="206"/>
      <c r="L118" s="211"/>
      <c r="M118" s="212"/>
      <c r="N118" s="213"/>
      <c r="O118" s="213"/>
      <c r="P118" s="213"/>
      <c r="Q118" s="213"/>
      <c r="R118" s="213"/>
      <c r="S118" s="213"/>
      <c r="T118" s="214"/>
      <c r="AT118" s="215" t="s">
        <v>388</v>
      </c>
      <c r="AU118" s="215" t="s">
        <v>82</v>
      </c>
      <c r="AV118" s="14" t="s">
        <v>82</v>
      </c>
      <c r="AW118" s="14" t="s">
        <v>33</v>
      </c>
      <c r="AX118" s="14" t="s">
        <v>79</v>
      </c>
      <c r="AY118" s="215" t="s">
        <v>380</v>
      </c>
    </row>
    <row r="119" spans="1:65" s="2" customFormat="1" ht="24.2" customHeight="1">
      <c r="A119" s="36"/>
      <c r="B119" s="37"/>
      <c r="C119" s="181" t="s">
        <v>125</v>
      </c>
      <c r="D119" s="181" t="s">
        <v>382</v>
      </c>
      <c r="E119" s="182" t="s">
        <v>5996</v>
      </c>
      <c r="F119" s="183" t="s">
        <v>5997</v>
      </c>
      <c r="G119" s="184" t="s">
        <v>437</v>
      </c>
      <c r="H119" s="185">
        <v>15</v>
      </c>
      <c r="I119" s="186"/>
      <c r="J119" s="187">
        <f>ROUND(I119*H119,2)</f>
        <v>0</v>
      </c>
      <c r="K119" s="183" t="s">
        <v>399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386</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386</v>
      </c>
      <c r="BM119" s="192" t="s">
        <v>5998</v>
      </c>
    </row>
    <row r="120" spans="1:65" s="13" customFormat="1" ht="11.25">
      <c r="B120" s="194"/>
      <c r="C120" s="195"/>
      <c r="D120" s="196" t="s">
        <v>388</v>
      </c>
      <c r="E120" s="197" t="s">
        <v>19</v>
      </c>
      <c r="F120" s="198" t="s">
        <v>5990</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5999</v>
      </c>
      <c r="G121" s="206"/>
      <c r="H121" s="209">
        <v>15</v>
      </c>
      <c r="I121" s="210"/>
      <c r="J121" s="206"/>
      <c r="K121" s="206"/>
      <c r="L121" s="211"/>
      <c r="M121" s="212"/>
      <c r="N121" s="213"/>
      <c r="O121" s="213"/>
      <c r="P121" s="213"/>
      <c r="Q121" s="213"/>
      <c r="R121" s="213"/>
      <c r="S121" s="213"/>
      <c r="T121" s="214"/>
      <c r="AT121" s="215" t="s">
        <v>388</v>
      </c>
      <c r="AU121" s="215" t="s">
        <v>82</v>
      </c>
      <c r="AV121" s="14" t="s">
        <v>82</v>
      </c>
      <c r="AW121" s="14" t="s">
        <v>33</v>
      </c>
      <c r="AX121" s="14" t="s">
        <v>79</v>
      </c>
      <c r="AY121" s="215" t="s">
        <v>380</v>
      </c>
    </row>
    <row r="122" spans="1:65" s="2" customFormat="1" ht="16.5" customHeight="1">
      <c r="A122" s="36"/>
      <c r="B122" s="37"/>
      <c r="C122" s="181" t="s">
        <v>128</v>
      </c>
      <c r="D122" s="181" t="s">
        <v>382</v>
      </c>
      <c r="E122" s="182" t="s">
        <v>6000</v>
      </c>
      <c r="F122" s="183" t="s">
        <v>6001</v>
      </c>
      <c r="G122" s="184" t="s">
        <v>437</v>
      </c>
      <c r="H122" s="185">
        <v>3473.5070000000001</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386</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386</v>
      </c>
      <c r="BM122" s="192" t="s">
        <v>6002</v>
      </c>
    </row>
    <row r="123" spans="1:65" s="13" customFormat="1" ht="11.25">
      <c r="B123" s="194"/>
      <c r="C123" s="195"/>
      <c r="D123" s="196" t="s">
        <v>388</v>
      </c>
      <c r="E123" s="197" t="s">
        <v>19</v>
      </c>
      <c r="F123" s="198" t="s">
        <v>6003</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6004</v>
      </c>
      <c r="G124" s="206"/>
      <c r="H124" s="209">
        <v>3473.5070000000001</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2" customFormat="1" ht="24.2" customHeight="1">
      <c r="A125" s="36"/>
      <c r="B125" s="37"/>
      <c r="C125" s="181" t="s">
        <v>131</v>
      </c>
      <c r="D125" s="181" t="s">
        <v>382</v>
      </c>
      <c r="E125" s="182" t="s">
        <v>6005</v>
      </c>
      <c r="F125" s="183" t="s">
        <v>6006</v>
      </c>
      <c r="G125" s="184" t="s">
        <v>437</v>
      </c>
      <c r="H125" s="185">
        <v>811.87699999999995</v>
      </c>
      <c r="I125" s="186"/>
      <c r="J125" s="187">
        <f>ROUND(I125*H125,2)</f>
        <v>0</v>
      </c>
      <c r="K125" s="183" t="s">
        <v>399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386</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386</v>
      </c>
      <c r="BM125" s="192" t="s">
        <v>6007</v>
      </c>
    </row>
    <row r="126" spans="1:65" s="13" customFormat="1" ht="11.25">
      <c r="B126" s="194"/>
      <c r="C126" s="195"/>
      <c r="D126" s="196" t="s">
        <v>388</v>
      </c>
      <c r="E126" s="197" t="s">
        <v>19</v>
      </c>
      <c r="F126" s="198" t="s">
        <v>6008</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6009</v>
      </c>
      <c r="G127" s="206"/>
      <c r="H127" s="209">
        <v>811.87699999999995</v>
      </c>
      <c r="I127" s="210"/>
      <c r="J127" s="206"/>
      <c r="K127" s="206"/>
      <c r="L127" s="211"/>
      <c r="M127" s="212"/>
      <c r="N127" s="213"/>
      <c r="O127" s="213"/>
      <c r="P127" s="213"/>
      <c r="Q127" s="213"/>
      <c r="R127" s="213"/>
      <c r="S127" s="213"/>
      <c r="T127" s="214"/>
      <c r="AT127" s="215" t="s">
        <v>388</v>
      </c>
      <c r="AU127" s="215" t="s">
        <v>82</v>
      </c>
      <c r="AV127" s="14" t="s">
        <v>82</v>
      </c>
      <c r="AW127" s="14" t="s">
        <v>33</v>
      </c>
      <c r="AX127" s="14" t="s">
        <v>79</v>
      </c>
      <c r="AY127" s="215" t="s">
        <v>380</v>
      </c>
    </row>
    <row r="128" spans="1:65" s="2" customFormat="1" ht="16.5" customHeight="1">
      <c r="A128" s="36"/>
      <c r="B128" s="37"/>
      <c r="C128" s="181" t="s">
        <v>134</v>
      </c>
      <c r="D128" s="181" t="s">
        <v>382</v>
      </c>
      <c r="E128" s="182" t="s">
        <v>6010</v>
      </c>
      <c r="F128" s="183" t="s">
        <v>6011</v>
      </c>
      <c r="G128" s="184" t="s">
        <v>437</v>
      </c>
      <c r="H128" s="185">
        <v>10</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386</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386</v>
      </c>
      <c r="BM128" s="192" t="s">
        <v>6012</v>
      </c>
    </row>
    <row r="129" spans="1:65" s="13" customFormat="1" ht="11.25">
      <c r="B129" s="194"/>
      <c r="C129" s="195"/>
      <c r="D129" s="196" t="s">
        <v>388</v>
      </c>
      <c r="E129" s="197" t="s">
        <v>19</v>
      </c>
      <c r="F129" s="198" t="s">
        <v>1336</v>
      </c>
      <c r="G129" s="195"/>
      <c r="H129" s="197" t="s">
        <v>19</v>
      </c>
      <c r="I129" s="199"/>
      <c r="J129" s="195"/>
      <c r="K129" s="195"/>
      <c r="L129" s="200"/>
      <c r="M129" s="201"/>
      <c r="N129" s="202"/>
      <c r="O129" s="202"/>
      <c r="P129" s="202"/>
      <c r="Q129" s="202"/>
      <c r="R129" s="202"/>
      <c r="S129" s="202"/>
      <c r="T129" s="203"/>
      <c r="AT129" s="204" t="s">
        <v>388</v>
      </c>
      <c r="AU129" s="204" t="s">
        <v>82</v>
      </c>
      <c r="AV129" s="13" t="s">
        <v>79</v>
      </c>
      <c r="AW129" s="13" t="s">
        <v>33</v>
      </c>
      <c r="AX129" s="13" t="s">
        <v>72</v>
      </c>
      <c r="AY129" s="204" t="s">
        <v>380</v>
      </c>
    </row>
    <row r="130" spans="1:65" s="14" customFormat="1" ht="11.25">
      <c r="B130" s="205"/>
      <c r="C130" s="206"/>
      <c r="D130" s="196" t="s">
        <v>388</v>
      </c>
      <c r="E130" s="207" t="s">
        <v>19</v>
      </c>
      <c r="F130" s="208" t="s">
        <v>5995</v>
      </c>
      <c r="G130" s="206"/>
      <c r="H130" s="209">
        <v>10</v>
      </c>
      <c r="I130" s="210"/>
      <c r="J130" s="206"/>
      <c r="K130" s="206"/>
      <c r="L130" s="211"/>
      <c r="M130" s="212"/>
      <c r="N130" s="213"/>
      <c r="O130" s="213"/>
      <c r="P130" s="213"/>
      <c r="Q130" s="213"/>
      <c r="R130" s="213"/>
      <c r="S130" s="213"/>
      <c r="T130" s="214"/>
      <c r="AT130" s="215" t="s">
        <v>388</v>
      </c>
      <c r="AU130" s="215" t="s">
        <v>82</v>
      </c>
      <c r="AV130" s="14" t="s">
        <v>82</v>
      </c>
      <c r="AW130" s="14" t="s">
        <v>33</v>
      </c>
      <c r="AX130" s="14" t="s">
        <v>79</v>
      </c>
      <c r="AY130" s="215" t="s">
        <v>380</v>
      </c>
    </row>
    <row r="131" spans="1:65" s="12" customFormat="1" ht="25.9" customHeight="1">
      <c r="B131" s="165"/>
      <c r="C131" s="166"/>
      <c r="D131" s="167" t="s">
        <v>71</v>
      </c>
      <c r="E131" s="168" t="s">
        <v>265</v>
      </c>
      <c r="F131" s="168" t="s">
        <v>6013</v>
      </c>
      <c r="G131" s="166"/>
      <c r="H131" s="166"/>
      <c r="I131" s="169"/>
      <c r="J131" s="170">
        <f>BK131</f>
        <v>0</v>
      </c>
      <c r="K131" s="166"/>
      <c r="L131" s="171"/>
      <c r="M131" s="172"/>
      <c r="N131" s="173"/>
      <c r="O131" s="173"/>
      <c r="P131" s="174">
        <f>SUM(P132:P137)</f>
        <v>0</v>
      </c>
      <c r="Q131" s="173"/>
      <c r="R131" s="174">
        <f>SUM(R132:R137)</f>
        <v>0</v>
      </c>
      <c r="S131" s="173"/>
      <c r="T131" s="175">
        <f>SUM(T132:T137)</f>
        <v>0</v>
      </c>
      <c r="AR131" s="176" t="s">
        <v>405</v>
      </c>
      <c r="AT131" s="177" t="s">
        <v>71</v>
      </c>
      <c r="AU131" s="177" t="s">
        <v>72</v>
      </c>
      <c r="AY131" s="176" t="s">
        <v>380</v>
      </c>
      <c r="BK131" s="178">
        <f>SUM(BK132:BK137)</f>
        <v>0</v>
      </c>
    </row>
    <row r="132" spans="1:65" s="2" customFormat="1" ht="16.5" customHeight="1">
      <c r="A132" s="36"/>
      <c r="B132" s="37"/>
      <c r="C132" s="181" t="s">
        <v>8</v>
      </c>
      <c r="D132" s="181" t="s">
        <v>382</v>
      </c>
      <c r="E132" s="182" t="s">
        <v>6014</v>
      </c>
      <c r="F132" s="183" t="s">
        <v>6015</v>
      </c>
      <c r="G132" s="184" t="s">
        <v>641</v>
      </c>
      <c r="H132" s="185">
        <v>1</v>
      </c>
      <c r="I132" s="186"/>
      <c r="J132" s="187">
        <f t="shared" ref="J132:J137" si="0">ROUND(I132*H132,2)</f>
        <v>0</v>
      </c>
      <c r="K132" s="183" t="s">
        <v>19</v>
      </c>
      <c r="L132" s="41"/>
      <c r="M132" s="188" t="s">
        <v>19</v>
      </c>
      <c r="N132" s="189" t="s">
        <v>43</v>
      </c>
      <c r="O132" s="66"/>
      <c r="P132" s="190">
        <f t="shared" ref="P132:P137" si="1">O132*H132</f>
        <v>0</v>
      </c>
      <c r="Q132" s="190">
        <v>0</v>
      </c>
      <c r="R132" s="190">
        <f t="shared" ref="R132:R137" si="2">Q132*H132</f>
        <v>0</v>
      </c>
      <c r="S132" s="190">
        <v>0</v>
      </c>
      <c r="T132" s="191">
        <f t="shared" ref="T132:T137" si="3">S132*H132</f>
        <v>0</v>
      </c>
      <c r="U132" s="36"/>
      <c r="V132" s="36"/>
      <c r="W132" s="36"/>
      <c r="X132" s="36"/>
      <c r="Y132" s="36"/>
      <c r="Z132" s="36"/>
      <c r="AA132" s="36"/>
      <c r="AB132" s="36"/>
      <c r="AC132" s="36"/>
      <c r="AD132" s="36"/>
      <c r="AE132" s="36"/>
      <c r="AR132" s="192" t="s">
        <v>386</v>
      </c>
      <c r="AT132" s="192" t="s">
        <v>382</v>
      </c>
      <c r="AU132" s="192" t="s">
        <v>79</v>
      </c>
      <c r="AY132" s="19" t="s">
        <v>380</v>
      </c>
      <c r="BE132" s="193">
        <f t="shared" ref="BE132:BE137" si="4">IF(N132="základní",J132,0)</f>
        <v>0</v>
      </c>
      <c r="BF132" s="193">
        <f t="shared" ref="BF132:BF137" si="5">IF(N132="snížená",J132,0)</f>
        <v>0</v>
      </c>
      <c r="BG132" s="193">
        <f t="shared" ref="BG132:BG137" si="6">IF(N132="zákl. přenesená",J132,0)</f>
        <v>0</v>
      </c>
      <c r="BH132" s="193">
        <f t="shared" ref="BH132:BH137" si="7">IF(N132="sníž. přenesená",J132,0)</f>
        <v>0</v>
      </c>
      <c r="BI132" s="193">
        <f t="shared" ref="BI132:BI137" si="8">IF(N132="nulová",J132,0)</f>
        <v>0</v>
      </c>
      <c r="BJ132" s="19" t="s">
        <v>79</v>
      </c>
      <c r="BK132" s="193">
        <f t="shared" ref="BK132:BK137" si="9">ROUND(I132*H132,2)</f>
        <v>0</v>
      </c>
      <c r="BL132" s="19" t="s">
        <v>386</v>
      </c>
      <c r="BM132" s="192" t="s">
        <v>6016</v>
      </c>
    </row>
    <row r="133" spans="1:65" s="2" customFormat="1" ht="24.2" customHeight="1">
      <c r="A133" s="36"/>
      <c r="B133" s="37"/>
      <c r="C133" s="181" t="s">
        <v>281</v>
      </c>
      <c r="D133" s="181" t="s">
        <v>382</v>
      </c>
      <c r="E133" s="182" t="s">
        <v>6017</v>
      </c>
      <c r="F133" s="183" t="s">
        <v>6018</v>
      </c>
      <c r="G133" s="184" t="s">
        <v>641</v>
      </c>
      <c r="H133" s="185">
        <v>1</v>
      </c>
      <c r="I133" s="186"/>
      <c r="J133" s="187">
        <f t="shared" si="0"/>
        <v>0</v>
      </c>
      <c r="K133" s="183" t="s">
        <v>19</v>
      </c>
      <c r="L133" s="41"/>
      <c r="M133" s="188" t="s">
        <v>19</v>
      </c>
      <c r="N133" s="189" t="s">
        <v>43</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386</v>
      </c>
      <c r="AT133" s="192" t="s">
        <v>382</v>
      </c>
      <c r="AU133" s="192" t="s">
        <v>79</v>
      </c>
      <c r="AY133" s="19" t="s">
        <v>380</v>
      </c>
      <c r="BE133" s="193">
        <f t="shared" si="4"/>
        <v>0</v>
      </c>
      <c r="BF133" s="193">
        <f t="shared" si="5"/>
        <v>0</v>
      </c>
      <c r="BG133" s="193">
        <f t="shared" si="6"/>
        <v>0</v>
      </c>
      <c r="BH133" s="193">
        <f t="shared" si="7"/>
        <v>0</v>
      </c>
      <c r="BI133" s="193">
        <f t="shared" si="8"/>
        <v>0</v>
      </c>
      <c r="BJ133" s="19" t="s">
        <v>79</v>
      </c>
      <c r="BK133" s="193">
        <f t="shared" si="9"/>
        <v>0</v>
      </c>
      <c r="BL133" s="19" t="s">
        <v>386</v>
      </c>
      <c r="BM133" s="192" t="s">
        <v>6019</v>
      </c>
    </row>
    <row r="134" spans="1:65" s="2" customFormat="1" ht="16.5" customHeight="1">
      <c r="A134" s="36"/>
      <c r="B134" s="37"/>
      <c r="C134" s="181" t="s">
        <v>471</v>
      </c>
      <c r="D134" s="181" t="s">
        <v>382</v>
      </c>
      <c r="E134" s="182" t="s">
        <v>6020</v>
      </c>
      <c r="F134" s="183" t="s">
        <v>6021</v>
      </c>
      <c r="G134" s="184" t="s">
        <v>641</v>
      </c>
      <c r="H134" s="185">
        <v>1</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386</v>
      </c>
      <c r="AT134" s="192" t="s">
        <v>382</v>
      </c>
      <c r="AU134" s="192" t="s">
        <v>79</v>
      </c>
      <c r="AY134" s="19" t="s">
        <v>380</v>
      </c>
      <c r="BE134" s="193">
        <f t="shared" si="4"/>
        <v>0</v>
      </c>
      <c r="BF134" s="193">
        <f t="shared" si="5"/>
        <v>0</v>
      </c>
      <c r="BG134" s="193">
        <f t="shared" si="6"/>
        <v>0</v>
      </c>
      <c r="BH134" s="193">
        <f t="shared" si="7"/>
        <v>0</v>
      </c>
      <c r="BI134" s="193">
        <f t="shared" si="8"/>
        <v>0</v>
      </c>
      <c r="BJ134" s="19" t="s">
        <v>79</v>
      </c>
      <c r="BK134" s="193">
        <f t="shared" si="9"/>
        <v>0</v>
      </c>
      <c r="BL134" s="19" t="s">
        <v>386</v>
      </c>
      <c r="BM134" s="192" t="s">
        <v>6022</v>
      </c>
    </row>
    <row r="135" spans="1:65" s="2" customFormat="1" ht="24.2" customHeight="1">
      <c r="A135" s="36"/>
      <c r="B135" s="37"/>
      <c r="C135" s="181" t="s">
        <v>477</v>
      </c>
      <c r="D135" s="181" t="s">
        <v>382</v>
      </c>
      <c r="E135" s="182" t="s">
        <v>6023</v>
      </c>
      <c r="F135" s="183" t="s">
        <v>6024</v>
      </c>
      <c r="G135" s="184" t="s">
        <v>641</v>
      </c>
      <c r="H135" s="185">
        <v>1</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386</v>
      </c>
      <c r="AT135" s="192" t="s">
        <v>382</v>
      </c>
      <c r="AU135" s="192" t="s">
        <v>79</v>
      </c>
      <c r="AY135" s="19" t="s">
        <v>380</v>
      </c>
      <c r="BE135" s="193">
        <f t="shared" si="4"/>
        <v>0</v>
      </c>
      <c r="BF135" s="193">
        <f t="shared" si="5"/>
        <v>0</v>
      </c>
      <c r="BG135" s="193">
        <f t="shared" si="6"/>
        <v>0</v>
      </c>
      <c r="BH135" s="193">
        <f t="shared" si="7"/>
        <v>0</v>
      </c>
      <c r="BI135" s="193">
        <f t="shared" si="8"/>
        <v>0</v>
      </c>
      <c r="BJ135" s="19" t="s">
        <v>79</v>
      </c>
      <c r="BK135" s="193">
        <f t="shared" si="9"/>
        <v>0</v>
      </c>
      <c r="BL135" s="19" t="s">
        <v>386</v>
      </c>
      <c r="BM135" s="192" t="s">
        <v>6025</v>
      </c>
    </row>
    <row r="136" spans="1:65" s="2" customFormat="1" ht="33" customHeight="1">
      <c r="A136" s="36"/>
      <c r="B136" s="37"/>
      <c r="C136" s="181" t="s">
        <v>284</v>
      </c>
      <c r="D136" s="181" t="s">
        <v>382</v>
      </c>
      <c r="E136" s="182" t="s">
        <v>6026</v>
      </c>
      <c r="F136" s="183" t="s">
        <v>6027</v>
      </c>
      <c r="G136" s="184" t="s">
        <v>641</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386</v>
      </c>
      <c r="AT136" s="192" t="s">
        <v>382</v>
      </c>
      <c r="AU136" s="192" t="s">
        <v>79</v>
      </c>
      <c r="AY136" s="19" t="s">
        <v>380</v>
      </c>
      <c r="BE136" s="193">
        <f t="shared" si="4"/>
        <v>0</v>
      </c>
      <c r="BF136" s="193">
        <f t="shared" si="5"/>
        <v>0</v>
      </c>
      <c r="BG136" s="193">
        <f t="shared" si="6"/>
        <v>0</v>
      </c>
      <c r="BH136" s="193">
        <f t="shared" si="7"/>
        <v>0</v>
      </c>
      <c r="BI136" s="193">
        <f t="shared" si="8"/>
        <v>0</v>
      </c>
      <c r="BJ136" s="19" t="s">
        <v>79</v>
      </c>
      <c r="BK136" s="193">
        <f t="shared" si="9"/>
        <v>0</v>
      </c>
      <c r="BL136" s="19" t="s">
        <v>386</v>
      </c>
      <c r="BM136" s="192" t="s">
        <v>6028</v>
      </c>
    </row>
    <row r="137" spans="1:65" s="2" customFormat="1" ht="21.75" customHeight="1">
      <c r="A137" s="36"/>
      <c r="B137" s="37"/>
      <c r="C137" s="181" t="s">
        <v>486</v>
      </c>
      <c r="D137" s="181" t="s">
        <v>382</v>
      </c>
      <c r="E137" s="182" t="s">
        <v>6029</v>
      </c>
      <c r="F137" s="183" t="s">
        <v>6030</v>
      </c>
      <c r="G137" s="184" t="s">
        <v>641</v>
      </c>
      <c r="H137" s="185">
        <v>1</v>
      </c>
      <c r="I137" s="186"/>
      <c r="J137" s="187">
        <f t="shared" si="0"/>
        <v>0</v>
      </c>
      <c r="K137" s="183" t="s">
        <v>19</v>
      </c>
      <c r="L137" s="41"/>
      <c r="M137" s="252" t="s">
        <v>19</v>
      </c>
      <c r="N137" s="253" t="s">
        <v>43</v>
      </c>
      <c r="O137" s="254"/>
      <c r="P137" s="255">
        <f t="shared" si="1"/>
        <v>0</v>
      </c>
      <c r="Q137" s="255">
        <v>0</v>
      </c>
      <c r="R137" s="255">
        <f t="shared" si="2"/>
        <v>0</v>
      </c>
      <c r="S137" s="255">
        <v>0</v>
      </c>
      <c r="T137" s="256">
        <f t="shared" si="3"/>
        <v>0</v>
      </c>
      <c r="U137" s="36"/>
      <c r="V137" s="36"/>
      <c r="W137" s="36"/>
      <c r="X137" s="36"/>
      <c r="Y137" s="36"/>
      <c r="Z137" s="36"/>
      <c r="AA137" s="36"/>
      <c r="AB137" s="36"/>
      <c r="AC137" s="36"/>
      <c r="AD137" s="36"/>
      <c r="AE137" s="36"/>
      <c r="AR137" s="192" t="s">
        <v>386</v>
      </c>
      <c r="AT137" s="192" t="s">
        <v>382</v>
      </c>
      <c r="AU137" s="192" t="s">
        <v>79</v>
      </c>
      <c r="AY137" s="19" t="s">
        <v>380</v>
      </c>
      <c r="BE137" s="193">
        <f t="shared" si="4"/>
        <v>0</v>
      </c>
      <c r="BF137" s="193">
        <f t="shared" si="5"/>
        <v>0</v>
      </c>
      <c r="BG137" s="193">
        <f t="shared" si="6"/>
        <v>0</v>
      </c>
      <c r="BH137" s="193">
        <f t="shared" si="7"/>
        <v>0</v>
      </c>
      <c r="BI137" s="193">
        <f t="shared" si="8"/>
        <v>0</v>
      </c>
      <c r="BJ137" s="19" t="s">
        <v>79</v>
      </c>
      <c r="BK137" s="193">
        <f t="shared" si="9"/>
        <v>0</v>
      </c>
      <c r="BL137" s="19" t="s">
        <v>386</v>
      </c>
      <c r="BM137" s="192" t="s">
        <v>6031</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LwSicXYWDQK4uytoKVYVJfoeB8bwri22xEDzoq1yNfShvGGBUfwolgnE+cl4IuXhiZWeH6HgJjDOGYyxHpZJow==" saltValue="VHvPU8hqzCSFe1LZmG/w8PRLBsTQgaK77FpBKZ+0Xv2pilDo709RRnF55MFMfMqulXG9negXER45SEPleY5MUw==" spinCount="100000" sheet="1" objects="1" scenarios="1" formatColumns="0" formatRows="0" autoFilter="0"/>
  <autoFilter ref="C82:K137" xr:uid="{00000000-0009-0000-0000-00003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6032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6033</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2332</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3234</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6034</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47.25" customHeight="1">
      <c r="A27" s="118"/>
      <c r="B27" s="119"/>
      <c r="C27" s="118"/>
      <c r="D27" s="118"/>
      <c r="E27" s="415" t="s">
        <v>37</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ROUND(J89,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ROUND((SUM(BE89:BE233)),  2)</f>
        <v>0</v>
      </c>
      <c r="G33" s="36"/>
      <c r="H33" s="36"/>
      <c r="I33" s="127">
        <v>0.21</v>
      </c>
      <c r="J33" s="126">
        <f>ROUND(((SUM(BE89:BE233))*I33),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ROUND((SUM(BF89:BF233)),  2)</f>
        <v>0</v>
      </c>
      <c r="G34" s="36"/>
      <c r="H34" s="36"/>
      <c r="I34" s="127">
        <v>0.15</v>
      </c>
      <c r="J34" s="126">
        <f>ROUND(((SUM(BF89:BF233))*I34),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ROUND((SUM(BG89:BG233)),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ROUND((SUM(BH89:BH233)),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ROUND((SUM(BI89:BI233)),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01 - KOMUNIKACE A ZPEVNĚNÉ PLOCHY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 k.ú. Neředín, p.č. st. 166</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 xml:space="preserve"> </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ing. Zetocha</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J89</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336</v>
      </c>
      <c r="E60" s="146"/>
      <c r="F60" s="146"/>
      <c r="G60" s="146"/>
      <c r="H60" s="146"/>
      <c r="I60" s="146"/>
      <c r="J60" s="147">
        <f>J90</f>
        <v>0</v>
      </c>
      <c r="K60" s="144"/>
      <c r="L60" s="148"/>
    </row>
    <row r="61" spans="1:47" s="10" customFormat="1" ht="19.899999999999999" customHeight="1">
      <c r="B61" s="149"/>
      <c r="C61" s="99"/>
      <c r="D61" s="150" t="s">
        <v>337</v>
      </c>
      <c r="E61" s="151"/>
      <c r="F61" s="151"/>
      <c r="G61" s="151"/>
      <c r="H61" s="151"/>
      <c r="I61" s="151"/>
      <c r="J61" s="152">
        <f>J91</f>
        <v>0</v>
      </c>
      <c r="K61" s="99"/>
      <c r="L61" s="153"/>
    </row>
    <row r="62" spans="1:47" s="10" customFormat="1" ht="14.85" customHeight="1">
      <c r="B62" s="149"/>
      <c r="C62" s="99"/>
      <c r="D62" s="150" t="s">
        <v>6035</v>
      </c>
      <c r="E62" s="151"/>
      <c r="F62" s="151"/>
      <c r="G62" s="151"/>
      <c r="H62" s="151"/>
      <c r="I62" s="151"/>
      <c r="J62" s="152">
        <f>J92</f>
        <v>0</v>
      </c>
      <c r="K62" s="99"/>
      <c r="L62" s="153"/>
    </row>
    <row r="63" spans="1:47" s="10" customFormat="1" ht="14.85" customHeight="1">
      <c r="B63" s="149"/>
      <c r="C63" s="99"/>
      <c r="D63" s="150" t="s">
        <v>6036</v>
      </c>
      <c r="E63" s="151"/>
      <c r="F63" s="151"/>
      <c r="G63" s="151"/>
      <c r="H63" s="151"/>
      <c r="I63" s="151"/>
      <c r="J63" s="152">
        <f>J118</f>
        <v>0</v>
      </c>
      <c r="K63" s="99"/>
      <c r="L63" s="153"/>
    </row>
    <row r="64" spans="1:47" s="10" customFormat="1" ht="14.85" customHeight="1">
      <c r="B64" s="149"/>
      <c r="C64" s="99"/>
      <c r="D64" s="150" t="s">
        <v>6037</v>
      </c>
      <c r="E64" s="151"/>
      <c r="F64" s="151"/>
      <c r="G64" s="151"/>
      <c r="H64" s="151"/>
      <c r="I64" s="151"/>
      <c r="J64" s="152">
        <f>J144</f>
        <v>0</v>
      </c>
      <c r="K64" s="99"/>
      <c r="L64" s="153"/>
    </row>
    <row r="65" spans="1:31" s="10" customFormat="1" ht="14.85" customHeight="1">
      <c r="B65" s="149"/>
      <c r="C65" s="99"/>
      <c r="D65" s="150" t="s">
        <v>6038</v>
      </c>
      <c r="E65" s="151"/>
      <c r="F65" s="151"/>
      <c r="G65" s="151"/>
      <c r="H65" s="151"/>
      <c r="I65" s="151"/>
      <c r="J65" s="152">
        <f>J153</f>
        <v>0</v>
      </c>
      <c r="K65" s="99"/>
      <c r="L65" s="153"/>
    </row>
    <row r="66" spans="1:31" s="10" customFormat="1" ht="19.899999999999999" customHeight="1">
      <c r="B66" s="149"/>
      <c r="C66" s="99"/>
      <c r="D66" s="150" t="s">
        <v>6039</v>
      </c>
      <c r="E66" s="151"/>
      <c r="F66" s="151"/>
      <c r="G66" s="151"/>
      <c r="H66" s="151"/>
      <c r="I66" s="151"/>
      <c r="J66" s="152">
        <f>J156</f>
        <v>0</v>
      </c>
      <c r="K66" s="99"/>
      <c r="L66" s="153"/>
    </row>
    <row r="67" spans="1:31" s="10" customFormat="1" ht="19.899999999999999" customHeight="1">
      <c r="B67" s="149"/>
      <c r="C67" s="99"/>
      <c r="D67" s="150" t="s">
        <v>342</v>
      </c>
      <c r="E67" s="151"/>
      <c r="F67" s="151"/>
      <c r="G67" s="151"/>
      <c r="H67" s="151"/>
      <c r="I67" s="151"/>
      <c r="J67" s="152">
        <f>J197</f>
        <v>0</v>
      </c>
      <c r="K67" s="99"/>
      <c r="L67" s="153"/>
    </row>
    <row r="68" spans="1:31" s="10" customFormat="1" ht="14.85" customHeight="1">
      <c r="B68" s="149"/>
      <c r="C68" s="99"/>
      <c r="D68" s="150" t="s">
        <v>6040</v>
      </c>
      <c r="E68" s="151"/>
      <c r="F68" s="151"/>
      <c r="G68" s="151"/>
      <c r="H68" s="151"/>
      <c r="I68" s="151"/>
      <c r="J68" s="152">
        <f>J198</f>
        <v>0</v>
      </c>
      <c r="K68" s="99"/>
      <c r="L68" s="153"/>
    </row>
    <row r="69" spans="1:31" s="10" customFormat="1" ht="14.85" customHeight="1">
      <c r="B69" s="149"/>
      <c r="C69" s="99"/>
      <c r="D69" s="150" t="s">
        <v>6041</v>
      </c>
      <c r="E69" s="151"/>
      <c r="F69" s="151"/>
      <c r="G69" s="151"/>
      <c r="H69" s="151"/>
      <c r="I69" s="151"/>
      <c r="J69" s="152">
        <f>J231</f>
        <v>0</v>
      </c>
      <c r="K69" s="99"/>
      <c r="L69" s="153"/>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365</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v>
      </c>
      <c r="F79" s="417"/>
      <c r="G79" s="417"/>
      <c r="H79" s="417"/>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282</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6.5" customHeight="1">
      <c r="A81" s="36"/>
      <c r="B81" s="37"/>
      <c r="C81" s="38"/>
      <c r="D81" s="38"/>
      <c r="E81" s="387" t="str">
        <f>E9</f>
        <v>IO 01 - KOMUNIKACE A ZPEVNĚNÉ PLOCHY</v>
      </c>
      <c r="F81" s="418"/>
      <c r="G81" s="418"/>
      <c r="H81" s="418"/>
      <c r="I81" s="38"/>
      <c r="J81" s="38"/>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Olomouc, k.ú. Neředín, p.č. st. 166</v>
      </c>
      <c r="G83" s="38"/>
      <c r="H83" s="38"/>
      <c r="I83" s="31" t="s">
        <v>23</v>
      </c>
      <c r="J83" s="61" t="str">
        <f>IF(J12="","",J12)</f>
        <v>4. 8. 2021</v>
      </c>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E15</f>
        <v xml:space="preserve"> </v>
      </c>
      <c r="G85" s="38"/>
      <c r="H85" s="38"/>
      <c r="I85" s="31" t="s">
        <v>31</v>
      </c>
      <c r="J85" s="34" t="str">
        <f>E21</f>
        <v>Alfaprojekt Olomouc a.s.</v>
      </c>
      <c r="K85" s="38"/>
      <c r="L85" s="116"/>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ing. Zetocha</v>
      </c>
      <c r="K86" s="38"/>
      <c r="L86" s="116"/>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11" customFormat="1" ht="29.25" customHeight="1">
      <c r="A88" s="154"/>
      <c r="B88" s="155"/>
      <c r="C88" s="156" t="s">
        <v>366</v>
      </c>
      <c r="D88" s="157" t="s">
        <v>57</v>
      </c>
      <c r="E88" s="157" t="s">
        <v>53</v>
      </c>
      <c r="F88" s="157" t="s">
        <v>54</v>
      </c>
      <c r="G88" s="157" t="s">
        <v>367</v>
      </c>
      <c r="H88" s="157" t="s">
        <v>368</v>
      </c>
      <c r="I88" s="157" t="s">
        <v>369</v>
      </c>
      <c r="J88" s="157" t="s">
        <v>334</v>
      </c>
      <c r="K88" s="158" t="s">
        <v>370</v>
      </c>
      <c r="L88" s="159"/>
      <c r="M88" s="70" t="s">
        <v>19</v>
      </c>
      <c r="N88" s="71" t="s">
        <v>42</v>
      </c>
      <c r="O88" s="71" t="s">
        <v>371</v>
      </c>
      <c r="P88" s="71" t="s">
        <v>372</v>
      </c>
      <c r="Q88" s="71" t="s">
        <v>373</v>
      </c>
      <c r="R88" s="71" t="s">
        <v>374</v>
      </c>
      <c r="S88" s="71" t="s">
        <v>375</v>
      </c>
      <c r="T88" s="72" t="s">
        <v>376</v>
      </c>
      <c r="U88" s="154"/>
      <c r="V88" s="154"/>
      <c r="W88" s="154"/>
      <c r="X88" s="154"/>
      <c r="Y88" s="154"/>
      <c r="Z88" s="154"/>
      <c r="AA88" s="154"/>
      <c r="AB88" s="154"/>
      <c r="AC88" s="154"/>
      <c r="AD88" s="154"/>
      <c r="AE88" s="154"/>
    </row>
    <row r="89" spans="1:65" s="2" customFormat="1" ht="22.9" customHeight="1">
      <c r="A89" s="36"/>
      <c r="B89" s="37"/>
      <c r="C89" s="77" t="s">
        <v>377</v>
      </c>
      <c r="D89" s="38"/>
      <c r="E89" s="38"/>
      <c r="F89" s="38"/>
      <c r="G89" s="38"/>
      <c r="H89" s="38"/>
      <c r="I89" s="38"/>
      <c r="J89" s="160">
        <f>BK89</f>
        <v>0</v>
      </c>
      <c r="K89" s="38"/>
      <c r="L89" s="41"/>
      <c r="M89" s="73"/>
      <c r="N89" s="161"/>
      <c r="O89" s="74"/>
      <c r="P89" s="162">
        <f>P90</f>
        <v>0</v>
      </c>
      <c r="Q89" s="74"/>
      <c r="R89" s="162">
        <f>R90</f>
        <v>526.61068052500002</v>
      </c>
      <c r="S89" s="74"/>
      <c r="T89" s="163">
        <f>T90</f>
        <v>261.03999999999996</v>
      </c>
      <c r="U89" s="36"/>
      <c r="V89" s="36"/>
      <c r="W89" s="36"/>
      <c r="X89" s="36"/>
      <c r="Y89" s="36"/>
      <c r="Z89" s="36"/>
      <c r="AA89" s="36"/>
      <c r="AB89" s="36"/>
      <c r="AC89" s="36"/>
      <c r="AD89" s="36"/>
      <c r="AE89" s="36"/>
      <c r="AT89" s="19" t="s">
        <v>71</v>
      </c>
      <c r="AU89" s="19" t="s">
        <v>335</v>
      </c>
      <c r="BK89" s="164">
        <f>BK90</f>
        <v>0</v>
      </c>
    </row>
    <row r="90" spans="1:65" s="12" customFormat="1" ht="25.9" customHeight="1">
      <c r="B90" s="165"/>
      <c r="C90" s="166"/>
      <c r="D90" s="167" t="s">
        <v>71</v>
      </c>
      <c r="E90" s="168" t="s">
        <v>378</v>
      </c>
      <c r="F90" s="168" t="s">
        <v>379</v>
      </c>
      <c r="G90" s="166"/>
      <c r="H90" s="166"/>
      <c r="I90" s="169"/>
      <c r="J90" s="170">
        <f>BK90</f>
        <v>0</v>
      </c>
      <c r="K90" s="166"/>
      <c r="L90" s="171"/>
      <c r="M90" s="172"/>
      <c r="N90" s="173"/>
      <c r="O90" s="173"/>
      <c r="P90" s="174">
        <f>P91+P156+P197</f>
        <v>0</v>
      </c>
      <c r="Q90" s="173"/>
      <c r="R90" s="174">
        <f>R91+R156+R197</f>
        <v>526.61068052500002</v>
      </c>
      <c r="S90" s="173"/>
      <c r="T90" s="175">
        <f>T91+T156+T197</f>
        <v>261.03999999999996</v>
      </c>
      <c r="AR90" s="176" t="s">
        <v>79</v>
      </c>
      <c r="AT90" s="177" t="s">
        <v>71</v>
      </c>
      <c r="AU90" s="177" t="s">
        <v>72</v>
      </c>
      <c r="AY90" s="176" t="s">
        <v>380</v>
      </c>
      <c r="BK90" s="178">
        <f>BK91+BK156+BK197</f>
        <v>0</v>
      </c>
    </row>
    <row r="91" spans="1:65" s="12" customFormat="1" ht="22.9" customHeight="1">
      <c r="B91" s="165"/>
      <c r="C91" s="166"/>
      <c r="D91" s="167" t="s">
        <v>71</v>
      </c>
      <c r="E91" s="179" t="s">
        <v>79</v>
      </c>
      <c r="F91" s="179" t="s">
        <v>381</v>
      </c>
      <c r="G91" s="166"/>
      <c r="H91" s="166"/>
      <c r="I91" s="169"/>
      <c r="J91" s="180">
        <f>BK91</f>
        <v>0</v>
      </c>
      <c r="K91" s="166"/>
      <c r="L91" s="171"/>
      <c r="M91" s="172"/>
      <c r="N91" s="173"/>
      <c r="O91" s="173"/>
      <c r="P91" s="174">
        <f>P92+P118+P144+P153</f>
        <v>0</v>
      </c>
      <c r="Q91" s="173"/>
      <c r="R91" s="174">
        <f>R92+R118+R144+R153</f>
        <v>163.99268072500001</v>
      </c>
      <c r="S91" s="173"/>
      <c r="T91" s="175">
        <f>T92+T118+T144+T153</f>
        <v>261.03999999999996</v>
      </c>
      <c r="AR91" s="176" t="s">
        <v>79</v>
      </c>
      <c r="AT91" s="177" t="s">
        <v>71</v>
      </c>
      <c r="AU91" s="177" t="s">
        <v>79</v>
      </c>
      <c r="AY91" s="176" t="s">
        <v>380</v>
      </c>
      <c r="BK91" s="178">
        <f>BK92+BK118+BK144+BK153</f>
        <v>0</v>
      </c>
    </row>
    <row r="92" spans="1:65" s="12" customFormat="1" ht="20.85" customHeight="1">
      <c r="B92" s="165"/>
      <c r="C92" s="166"/>
      <c r="D92" s="167" t="s">
        <v>71</v>
      </c>
      <c r="E92" s="179" t="s">
        <v>125</v>
      </c>
      <c r="F92" s="179" t="s">
        <v>6042</v>
      </c>
      <c r="G92" s="166"/>
      <c r="H92" s="166"/>
      <c r="I92" s="169"/>
      <c r="J92" s="180">
        <f>BK92</f>
        <v>0</v>
      </c>
      <c r="K92" s="166"/>
      <c r="L92" s="171"/>
      <c r="M92" s="172"/>
      <c r="N92" s="173"/>
      <c r="O92" s="173"/>
      <c r="P92" s="174">
        <f>SUM(P93:P117)</f>
        <v>0</v>
      </c>
      <c r="Q92" s="173"/>
      <c r="R92" s="174">
        <f>SUM(R93:R117)</f>
        <v>1.5030725000000002E-2</v>
      </c>
      <c r="S92" s="173"/>
      <c r="T92" s="175">
        <f>SUM(T93:T117)</f>
        <v>261.03999999999996</v>
      </c>
      <c r="AR92" s="176" t="s">
        <v>79</v>
      </c>
      <c r="AT92" s="177" t="s">
        <v>71</v>
      </c>
      <c r="AU92" s="177" t="s">
        <v>82</v>
      </c>
      <c r="AY92" s="176" t="s">
        <v>380</v>
      </c>
      <c r="BK92" s="178">
        <f>SUM(BK93:BK117)</f>
        <v>0</v>
      </c>
    </row>
    <row r="93" spans="1:65" s="2" customFormat="1" ht="24.2" customHeight="1">
      <c r="A93" s="36"/>
      <c r="B93" s="37"/>
      <c r="C93" s="181" t="s">
        <v>79</v>
      </c>
      <c r="D93" s="181" t="s">
        <v>382</v>
      </c>
      <c r="E93" s="182" t="s">
        <v>6043</v>
      </c>
      <c r="F93" s="183" t="s">
        <v>6044</v>
      </c>
      <c r="G93" s="184" t="s">
        <v>398</v>
      </c>
      <c r="H93" s="185">
        <v>190</v>
      </c>
      <c r="I93" s="186"/>
      <c r="J93" s="187">
        <f>ROUND(I93*H93,2)</f>
        <v>0</v>
      </c>
      <c r="K93" s="183" t="s">
        <v>399</v>
      </c>
      <c r="L93" s="41"/>
      <c r="M93" s="188" t="s">
        <v>19</v>
      </c>
      <c r="N93" s="189" t="s">
        <v>43</v>
      </c>
      <c r="O93" s="66"/>
      <c r="P93" s="190">
        <f>O93*H93</f>
        <v>0</v>
      </c>
      <c r="Q93" s="190">
        <v>7.8200000000000003E-5</v>
      </c>
      <c r="R93" s="190">
        <f>Q93*H93</f>
        <v>1.4858000000000001E-2</v>
      </c>
      <c r="S93" s="190">
        <v>0.25600000000000001</v>
      </c>
      <c r="T93" s="191">
        <f>S93*H93</f>
        <v>48.64</v>
      </c>
      <c r="U93" s="36"/>
      <c r="V93" s="36"/>
      <c r="W93" s="36"/>
      <c r="X93" s="36"/>
      <c r="Y93" s="36"/>
      <c r="Z93" s="36"/>
      <c r="AA93" s="36"/>
      <c r="AB93" s="36"/>
      <c r="AC93" s="36"/>
      <c r="AD93" s="36"/>
      <c r="AE93" s="36"/>
      <c r="AR93" s="192" t="s">
        <v>386</v>
      </c>
      <c r="AT93" s="192" t="s">
        <v>382</v>
      </c>
      <c r="AU93" s="192" t="s">
        <v>99</v>
      </c>
      <c r="AY93" s="19" t="s">
        <v>380</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386</v>
      </c>
      <c r="BM93" s="192" t="s">
        <v>6045</v>
      </c>
    </row>
    <row r="94" spans="1:65" s="2" customFormat="1" ht="19.5">
      <c r="A94" s="36"/>
      <c r="B94" s="37"/>
      <c r="C94" s="38"/>
      <c r="D94" s="196" t="s">
        <v>1226</v>
      </c>
      <c r="E94" s="38"/>
      <c r="F94" s="248" t="s">
        <v>6046</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1226</v>
      </c>
      <c r="AU94" s="19" t="s">
        <v>99</v>
      </c>
    </row>
    <row r="95" spans="1:65" s="14" customFormat="1" ht="11.25">
      <c r="B95" s="205"/>
      <c r="C95" s="206"/>
      <c r="D95" s="196" t="s">
        <v>388</v>
      </c>
      <c r="E95" s="207" t="s">
        <v>19</v>
      </c>
      <c r="F95" s="208" t="s">
        <v>6047</v>
      </c>
      <c r="G95" s="206"/>
      <c r="H95" s="209">
        <v>190</v>
      </c>
      <c r="I95" s="210"/>
      <c r="J95" s="206"/>
      <c r="K95" s="206"/>
      <c r="L95" s="211"/>
      <c r="M95" s="212"/>
      <c r="N95" s="213"/>
      <c r="O95" s="213"/>
      <c r="P95" s="213"/>
      <c r="Q95" s="213"/>
      <c r="R95" s="213"/>
      <c r="S95" s="213"/>
      <c r="T95" s="214"/>
      <c r="AT95" s="215" t="s">
        <v>388</v>
      </c>
      <c r="AU95" s="215" t="s">
        <v>99</v>
      </c>
      <c r="AV95" s="14" t="s">
        <v>82</v>
      </c>
      <c r="AW95" s="14" t="s">
        <v>33</v>
      </c>
      <c r="AX95" s="14" t="s">
        <v>79</v>
      </c>
      <c r="AY95" s="215" t="s">
        <v>380</v>
      </c>
    </row>
    <row r="96" spans="1:65" s="2" customFormat="1" ht="37.9" customHeight="1">
      <c r="A96" s="36"/>
      <c r="B96" s="37"/>
      <c r="C96" s="181" t="s">
        <v>82</v>
      </c>
      <c r="D96" s="181" t="s">
        <v>382</v>
      </c>
      <c r="E96" s="182" t="s">
        <v>6048</v>
      </c>
      <c r="F96" s="183" t="s">
        <v>6049</v>
      </c>
      <c r="G96" s="184" t="s">
        <v>398</v>
      </c>
      <c r="H96" s="185">
        <v>190</v>
      </c>
      <c r="I96" s="186"/>
      <c r="J96" s="187">
        <f>ROUND(I96*H96,2)</f>
        <v>0</v>
      </c>
      <c r="K96" s="183" t="s">
        <v>399</v>
      </c>
      <c r="L96" s="41"/>
      <c r="M96" s="188" t="s">
        <v>19</v>
      </c>
      <c r="N96" s="189" t="s">
        <v>43</v>
      </c>
      <c r="O96" s="66"/>
      <c r="P96" s="190">
        <f>O96*H96</f>
        <v>0</v>
      </c>
      <c r="Q96" s="190">
        <v>0</v>
      </c>
      <c r="R96" s="190">
        <f>Q96*H96</f>
        <v>0</v>
      </c>
      <c r="S96" s="190">
        <v>0.57999999999999996</v>
      </c>
      <c r="T96" s="191">
        <f>S96*H96</f>
        <v>110.19999999999999</v>
      </c>
      <c r="U96" s="36"/>
      <c r="V96" s="36"/>
      <c r="W96" s="36"/>
      <c r="X96" s="36"/>
      <c r="Y96" s="36"/>
      <c r="Z96" s="36"/>
      <c r="AA96" s="36"/>
      <c r="AB96" s="36"/>
      <c r="AC96" s="36"/>
      <c r="AD96" s="36"/>
      <c r="AE96" s="36"/>
      <c r="AR96" s="192" t="s">
        <v>386</v>
      </c>
      <c r="AT96" s="192" t="s">
        <v>382</v>
      </c>
      <c r="AU96" s="192" t="s">
        <v>99</v>
      </c>
      <c r="AY96" s="19" t="s">
        <v>380</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386</v>
      </c>
      <c r="BM96" s="192" t="s">
        <v>6050</v>
      </c>
    </row>
    <row r="97" spans="1:65" s="2" customFormat="1" ht="19.5">
      <c r="A97" s="36"/>
      <c r="B97" s="37"/>
      <c r="C97" s="38"/>
      <c r="D97" s="196" t="s">
        <v>1226</v>
      </c>
      <c r="E97" s="38"/>
      <c r="F97" s="248" t="s">
        <v>6051</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1226</v>
      </c>
      <c r="AU97" s="19" t="s">
        <v>99</v>
      </c>
    </row>
    <row r="98" spans="1:65" s="2" customFormat="1" ht="24.2" customHeight="1">
      <c r="A98" s="36"/>
      <c r="B98" s="37"/>
      <c r="C98" s="181" t="s">
        <v>99</v>
      </c>
      <c r="D98" s="181" t="s">
        <v>382</v>
      </c>
      <c r="E98" s="182" t="s">
        <v>6052</v>
      </c>
      <c r="F98" s="183" t="s">
        <v>6053</v>
      </c>
      <c r="G98" s="184" t="s">
        <v>385</v>
      </c>
      <c r="H98" s="185">
        <v>4.25</v>
      </c>
      <c r="I98" s="186"/>
      <c r="J98" s="187">
        <f>ROUND(I98*H98,2)</f>
        <v>0</v>
      </c>
      <c r="K98" s="183" t="s">
        <v>399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386</v>
      </c>
      <c r="AT98" s="192" t="s">
        <v>382</v>
      </c>
      <c r="AU98" s="192" t="s">
        <v>99</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386</v>
      </c>
      <c r="BM98" s="192" t="s">
        <v>6054</v>
      </c>
    </row>
    <row r="99" spans="1:65" s="2" customFormat="1" ht="19.5">
      <c r="A99" s="36"/>
      <c r="B99" s="37"/>
      <c r="C99" s="38"/>
      <c r="D99" s="196" t="s">
        <v>1226</v>
      </c>
      <c r="E99" s="38"/>
      <c r="F99" s="248" t="s">
        <v>6055</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1226</v>
      </c>
      <c r="AU99" s="19" t="s">
        <v>99</v>
      </c>
    </row>
    <row r="100" spans="1:65" s="14" customFormat="1" ht="11.25">
      <c r="B100" s="205"/>
      <c r="C100" s="206"/>
      <c r="D100" s="196" t="s">
        <v>388</v>
      </c>
      <c r="E100" s="207" t="s">
        <v>19</v>
      </c>
      <c r="F100" s="208" t="s">
        <v>6056</v>
      </c>
      <c r="G100" s="206"/>
      <c r="H100" s="209">
        <v>4.25</v>
      </c>
      <c r="I100" s="210"/>
      <c r="J100" s="206"/>
      <c r="K100" s="206"/>
      <c r="L100" s="211"/>
      <c r="M100" s="212"/>
      <c r="N100" s="213"/>
      <c r="O100" s="213"/>
      <c r="P100" s="213"/>
      <c r="Q100" s="213"/>
      <c r="R100" s="213"/>
      <c r="S100" s="213"/>
      <c r="T100" s="214"/>
      <c r="AT100" s="215" t="s">
        <v>388</v>
      </c>
      <c r="AU100" s="215" t="s">
        <v>99</v>
      </c>
      <c r="AV100" s="14" t="s">
        <v>82</v>
      </c>
      <c r="AW100" s="14" t="s">
        <v>33</v>
      </c>
      <c r="AX100" s="14" t="s">
        <v>79</v>
      </c>
      <c r="AY100" s="215" t="s">
        <v>380</v>
      </c>
    </row>
    <row r="101" spans="1:65" s="2" customFormat="1" ht="37.9" customHeight="1">
      <c r="A101" s="36"/>
      <c r="B101" s="37"/>
      <c r="C101" s="181" t="s">
        <v>386</v>
      </c>
      <c r="D101" s="181" t="s">
        <v>382</v>
      </c>
      <c r="E101" s="182" t="s">
        <v>6048</v>
      </c>
      <c r="F101" s="183" t="s">
        <v>6049</v>
      </c>
      <c r="G101" s="184" t="s">
        <v>398</v>
      </c>
      <c r="H101" s="185">
        <v>70</v>
      </c>
      <c r="I101" s="186"/>
      <c r="J101" s="187">
        <f>ROUND(I101*H101,2)</f>
        <v>0</v>
      </c>
      <c r="K101" s="183" t="s">
        <v>399</v>
      </c>
      <c r="L101" s="41"/>
      <c r="M101" s="188" t="s">
        <v>19</v>
      </c>
      <c r="N101" s="189" t="s">
        <v>43</v>
      </c>
      <c r="O101" s="66"/>
      <c r="P101" s="190">
        <f>O101*H101</f>
        <v>0</v>
      </c>
      <c r="Q101" s="190">
        <v>0</v>
      </c>
      <c r="R101" s="190">
        <f>Q101*H101</f>
        <v>0</v>
      </c>
      <c r="S101" s="190">
        <v>0.57999999999999996</v>
      </c>
      <c r="T101" s="191">
        <f>S101*H101</f>
        <v>40.599999999999994</v>
      </c>
      <c r="U101" s="36"/>
      <c r="V101" s="36"/>
      <c r="W101" s="36"/>
      <c r="X101" s="36"/>
      <c r="Y101" s="36"/>
      <c r="Z101" s="36"/>
      <c r="AA101" s="36"/>
      <c r="AB101" s="36"/>
      <c r="AC101" s="36"/>
      <c r="AD101" s="36"/>
      <c r="AE101" s="36"/>
      <c r="AR101" s="192" t="s">
        <v>386</v>
      </c>
      <c r="AT101" s="192" t="s">
        <v>382</v>
      </c>
      <c r="AU101" s="192" t="s">
        <v>99</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386</v>
      </c>
      <c r="BM101" s="192" t="s">
        <v>6057</v>
      </c>
    </row>
    <row r="102" spans="1:65" s="2" customFormat="1" ht="19.5">
      <c r="A102" s="36"/>
      <c r="B102" s="37"/>
      <c r="C102" s="38"/>
      <c r="D102" s="196" t="s">
        <v>1226</v>
      </c>
      <c r="E102" s="38"/>
      <c r="F102" s="248" t="s">
        <v>6058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99</v>
      </c>
    </row>
    <row r="103" spans="1:65" s="2" customFormat="1" ht="37.9" customHeight="1">
      <c r="A103" s="36"/>
      <c r="B103" s="37"/>
      <c r="C103" s="181" t="s">
        <v>405</v>
      </c>
      <c r="D103" s="181" t="s">
        <v>382</v>
      </c>
      <c r="E103" s="182" t="s">
        <v>6059</v>
      </c>
      <c r="F103" s="183" t="s">
        <v>6060</v>
      </c>
      <c r="G103" s="184" t="s">
        <v>398</v>
      </c>
      <c r="H103" s="185">
        <v>140</v>
      </c>
      <c r="I103" s="186"/>
      <c r="J103" s="187">
        <f>ROUND(I103*H103,2)</f>
        <v>0</v>
      </c>
      <c r="K103" s="183" t="s">
        <v>399</v>
      </c>
      <c r="L103" s="41"/>
      <c r="M103" s="188" t="s">
        <v>19</v>
      </c>
      <c r="N103" s="189" t="s">
        <v>43</v>
      </c>
      <c r="O103" s="66"/>
      <c r="P103" s="190">
        <f>O103*H103</f>
        <v>0</v>
      </c>
      <c r="Q103" s="190">
        <v>0</v>
      </c>
      <c r="R103" s="190">
        <f>Q103*H103</f>
        <v>0</v>
      </c>
      <c r="S103" s="190">
        <v>0.44</v>
      </c>
      <c r="T103" s="191">
        <f>S103*H103</f>
        <v>61.6</v>
      </c>
      <c r="U103" s="36"/>
      <c r="V103" s="36"/>
      <c r="W103" s="36"/>
      <c r="X103" s="36"/>
      <c r="Y103" s="36"/>
      <c r="Z103" s="36"/>
      <c r="AA103" s="36"/>
      <c r="AB103" s="36"/>
      <c r="AC103" s="36"/>
      <c r="AD103" s="36"/>
      <c r="AE103" s="36"/>
      <c r="AR103" s="192" t="s">
        <v>386</v>
      </c>
      <c r="AT103" s="192" t="s">
        <v>382</v>
      </c>
      <c r="AU103" s="192" t="s">
        <v>99</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386</v>
      </c>
      <c r="BM103" s="192" t="s">
        <v>6061</v>
      </c>
    </row>
    <row r="104" spans="1:65" s="2" customFormat="1" ht="19.5">
      <c r="A104" s="36"/>
      <c r="B104" s="37"/>
      <c r="C104" s="38"/>
      <c r="D104" s="196" t="s">
        <v>1226</v>
      </c>
      <c r="E104" s="38"/>
      <c r="F104" s="248" t="s">
        <v>6062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99</v>
      </c>
    </row>
    <row r="105" spans="1:65" s="14" customFormat="1" ht="11.25">
      <c r="B105" s="205"/>
      <c r="C105" s="206"/>
      <c r="D105" s="196" t="s">
        <v>388</v>
      </c>
      <c r="E105" s="207" t="s">
        <v>19</v>
      </c>
      <c r="F105" s="208" t="s">
        <v>6063</v>
      </c>
      <c r="G105" s="206"/>
      <c r="H105" s="209">
        <v>140</v>
      </c>
      <c r="I105" s="210"/>
      <c r="J105" s="206"/>
      <c r="K105" s="206"/>
      <c r="L105" s="211"/>
      <c r="M105" s="212"/>
      <c r="N105" s="213"/>
      <c r="O105" s="213"/>
      <c r="P105" s="213"/>
      <c r="Q105" s="213"/>
      <c r="R105" s="213"/>
      <c r="S105" s="213"/>
      <c r="T105" s="214"/>
      <c r="AT105" s="215" t="s">
        <v>388</v>
      </c>
      <c r="AU105" s="215" t="s">
        <v>99</v>
      </c>
      <c r="AV105" s="14" t="s">
        <v>82</v>
      </c>
      <c r="AW105" s="14" t="s">
        <v>33</v>
      </c>
      <c r="AX105" s="14" t="s">
        <v>79</v>
      </c>
      <c r="AY105" s="215" t="s">
        <v>380</v>
      </c>
    </row>
    <row r="106" spans="1:65" s="2" customFormat="1" ht="16.5" customHeight="1">
      <c r="A106" s="36"/>
      <c r="B106" s="37"/>
      <c r="C106" s="181" t="s">
        <v>411</v>
      </c>
      <c r="D106" s="181" t="s">
        <v>382</v>
      </c>
      <c r="E106" s="182" t="s">
        <v>6064</v>
      </c>
      <c r="F106" s="183" t="s">
        <v>6065</v>
      </c>
      <c r="G106" s="184" t="s">
        <v>452</v>
      </c>
      <c r="H106" s="185">
        <v>105</v>
      </c>
      <c r="I106" s="186"/>
      <c r="J106" s="187">
        <f>ROUND(I106*H106,2)</f>
        <v>0</v>
      </c>
      <c r="K106" s="183" t="s">
        <v>399</v>
      </c>
      <c r="L106" s="41"/>
      <c r="M106" s="188" t="s">
        <v>19</v>
      </c>
      <c r="N106" s="189" t="s">
        <v>43</v>
      </c>
      <c r="O106" s="66"/>
      <c r="P106" s="190">
        <f>O106*H106</f>
        <v>0</v>
      </c>
      <c r="Q106" s="190">
        <v>1.6449999999999999E-6</v>
      </c>
      <c r="R106" s="190">
        <f>Q106*H106</f>
        <v>1.7272499999999998E-4</v>
      </c>
      <c r="S106" s="190">
        <v>0</v>
      </c>
      <c r="T106" s="191">
        <f>S106*H106</f>
        <v>0</v>
      </c>
      <c r="U106" s="36"/>
      <c r="V106" s="36"/>
      <c r="W106" s="36"/>
      <c r="X106" s="36"/>
      <c r="Y106" s="36"/>
      <c r="Z106" s="36"/>
      <c r="AA106" s="36"/>
      <c r="AB106" s="36"/>
      <c r="AC106" s="36"/>
      <c r="AD106" s="36"/>
      <c r="AE106" s="36"/>
      <c r="AR106" s="192" t="s">
        <v>386</v>
      </c>
      <c r="AT106" s="192" t="s">
        <v>382</v>
      </c>
      <c r="AU106" s="192" t="s">
        <v>99</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386</v>
      </c>
      <c r="BM106" s="192" t="s">
        <v>6066</v>
      </c>
    </row>
    <row r="107" spans="1:65" s="2" customFormat="1" ht="19.5">
      <c r="A107" s="36"/>
      <c r="B107" s="37"/>
      <c r="C107" s="38"/>
      <c r="D107" s="196" t="s">
        <v>1226</v>
      </c>
      <c r="E107" s="38"/>
      <c r="F107" s="248" t="s">
        <v>6067</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1226</v>
      </c>
      <c r="AU107" s="19" t="s">
        <v>99</v>
      </c>
    </row>
    <row r="108" spans="1:65" s="2" customFormat="1" ht="24.2" customHeight="1">
      <c r="A108" s="36"/>
      <c r="B108" s="37"/>
      <c r="C108" s="181" t="s">
        <v>420</v>
      </c>
      <c r="D108" s="181" t="s">
        <v>382</v>
      </c>
      <c r="E108" s="182" t="s">
        <v>6068</v>
      </c>
      <c r="F108" s="183" t="s">
        <v>6069</v>
      </c>
      <c r="G108" s="184" t="s">
        <v>437</v>
      </c>
      <c r="H108" s="185">
        <v>261.04000000000002</v>
      </c>
      <c r="I108" s="186"/>
      <c r="J108" s="187">
        <f>ROUND(I108*H108,2)</f>
        <v>0</v>
      </c>
      <c r="K108" s="183" t="s">
        <v>399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99</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6070</v>
      </c>
    </row>
    <row r="109" spans="1:65" s="2" customFormat="1" ht="19.5">
      <c r="A109" s="36"/>
      <c r="B109" s="37"/>
      <c r="C109" s="38"/>
      <c r="D109" s="196" t="s">
        <v>1226</v>
      </c>
      <c r="E109" s="38"/>
      <c r="F109" s="248" t="s">
        <v>6071</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99</v>
      </c>
    </row>
    <row r="110" spans="1:65" s="2" customFormat="1" ht="24.2" customHeight="1">
      <c r="A110" s="36"/>
      <c r="B110" s="37"/>
      <c r="C110" s="181" t="s">
        <v>424</v>
      </c>
      <c r="D110" s="181" t="s">
        <v>382</v>
      </c>
      <c r="E110" s="182" t="s">
        <v>6072</v>
      </c>
      <c r="F110" s="183" t="s">
        <v>6073</v>
      </c>
      <c r="G110" s="184" t="s">
        <v>437</v>
      </c>
      <c r="H110" s="185">
        <v>3654.56</v>
      </c>
      <c r="I110" s="186"/>
      <c r="J110" s="187">
        <f>ROUND(I110*H110,2)</f>
        <v>0</v>
      </c>
      <c r="K110" s="183" t="s">
        <v>399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386</v>
      </c>
      <c r="AT110" s="192" t="s">
        <v>382</v>
      </c>
      <c r="AU110" s="192" t="s">
        <v>99</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386</v>
      </c>
      <c r="BM110" s="192" t="s">
        <v>6074</v>
      </c>
    </row>
    <row r="111" spans="1:65" s="2" customFormat="1" ht="19.5">
      <c r="A111" s="36"/>
      <c r="B111" s="37"/>
      <c r="C111" s="38"/>
      <c r="D111" s="196" t="s">
        <v>1226</v>
      </c>
      <c r="E111" s="38"/>
      <c r="F111" s="248" t="s">
        <v>6075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99</v>
      </c>
    </row>
    <row r="112" spans="1:65" s="14" customFormat="1" ht="11.25">
      <c r="B112" s="205"/>
      <c r="C112" s="206"/>
      <c r="D112" s="196" t="s">
        <v>388</v>
      </c>
      <c r="E112" s="207" t="s">
        <v>19</v>
      </c>
      <c r="F112" s="208" t="s">
        <v>6076</v>
      </c>
      <c r="G112" s="206"/>
      <c r="H112" s="209">
        <v>3654.56</v>
      </c>
      <c r="I112" s="210"/>
      <c r="J112" s="206"/>
      <c r="K112" s="206"/>
      <c r="L112" s="211"/>
      <c r="M112" s="212"/>
      <c r="N112" s="213"/>
      <c r="O112" s="213"/>
      <c r="P112" s="213"/>
      <c r="Q112" s="213"/>
      <c r="R112" s="213"/>
      <c r="S112" s="213"/>
      <c r="T112" s="214"/>
      <c r="AT112" s="215" t="s">
        <v>388</v>
      </c>
      <c r="AU112" s="215" t="s">
        <v>99</v>
      </c>
      <c r="AV112" s="14" t="s">
        <v>82</v>
      </c>
      <c r="AW112" s="14" t="s">
        <v>33</v>
      </c>
      <c r="AX112" s="14" t="s">
        <v>79</v>
      </c>
      <c r="AY112" s="215" t="s">
        <v>380</v>
      </c>
    </row>
    <row r="113" spans="1:65" s="2" customFormat="1" ht="24.2" customHeight="1">
      <c r="A113" s="36"/>
      <c r="B113" s="37"/>
      <c r="C113" s="181" t="s">
        <v>430</v>
      </c>
      <c r="D113" s="181" t="s">
        <v>382</v>
      </c>
      <c r="E113" s="182" t="s">
        <v>6077</v>
      </c>
      <c r="F113" s="183" t="s">
        <v>436</v>
      </c>
      <c r="G113" s="184" t="s">
        <v>437</v>
      </c>
      <c r="H113" s="185">
        <v>212.4</v>
      </c>
      <c r="I113" s="186"/>
      <c r="J113" s="187">
        <f>ROUND(I113*H113,2)</f>
        <v>0</v>
      </c>
      <c r="K113" s="183" t="s">
        <v>399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386</v>
      </c>
      <c r="AT113" s="192" t="s">
        <v>382</v>
      </c>
      <c r="AU113" s="192" t="s">
        <v>99</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386</v>
      </c>
      <c r="BM113" s="192" t="s">
        <v>6078</v>
      </c>
    </row>
    <row r="114" spans="1:65" s="2" customFormat="1" ht="19.5">
      <c r="A114" s="36"/>
      <c r="B114" s="37"/>
      <c r="C114" s="38"/>
      <c r="D114" s="196" t="s">
        <v>1226</v>
      </c>
      <c r="E114" s="38"/>
      <c r="F114" s="248" t="s">
        <v>6079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99</v>
      </c>
    </row>
    <row r="115" spans="1:65" s="14" customFormat="1" ht="11.25">
      <c r="B115" s="205"/>
      <c r="C115" s="206"/>
      <c r="D115" s="196" t="s">
        <v>388</v>
      </c>
      <c r="E115" s="207" t="s">
        <v>19</v>
      </c>
      <c r="F115" s="208" t="s">
        <v>6080</v>
      </c>
      <c r="G115" s="206"/>
      <c r="H115" s="209">
        <v>212.4</v>
      </c>
      <c r="I115" s="210"/>
      <c r="J115" s="206"/>
      <c r="K115" s="206"/>
      <c r="L115" s="211"/>
      <c r="M115" s="212"/>
      <c r="N115" s="213"/>
      <c r="O115" s="213"/>
      <c r="P115" s="213"/>
      <c r="Q115" s="213"/>
      <c r="R115" s="213"/>
      <c r="S115" s="213"/>
      <c r="T115" s="214"/>
      <c r="AT115" s="215" t="s">
        <v>388</v>
      </c>
      <c r="AU115" s="215" t="s">
        <v>99</v>
      </c>
      <c r="AV115" s="14" t="s">
        <v>82</v>
      </c>
      <c r="AW115" s="14" t="s">
        <v>33</v>
      </c>
      <c r="AX115" s="14" t="s">
        <v>79</v>
      </c>
      <c r="AY115" s="215" t="s">
        <v>380</v>
      </c>
    </row>
    <row r="116" spans="1:65" s="2" customFormat="1" ht="24.2" customHeight="1">
      <c r="A116" s="36"/>
      <c r="B116" s="37"/>
      <c r="C116" s="181" t="s">
        <v>122</v>
      </c>
      <c r="D116" s="181" t="s">
        <v>382</v>
      </c>
      <c r="E116" s="182" t="s">
        <v>6081</v>
      </c>
      <c r="F116" s="183" t="s">
        <v>6082</v>
      </c>
      <c r="G116" s="184" t="s">
        <v>437</v>
      </c>
      <c r="H116" s="185">
        <v>48.64</v>
      </c>
      <c r="I116" s="186"/>
      <c r="J116" s="187">
        <f>ROUND(I116*H116,2)</f>
        <v>0</v>
      </c>
      <c r="K116" s="183" t="s">
        <v>399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386</v>
      </c>
      <c r="AT116" s="192" t="s">
        <v>382</v>
      </c>
      <c r="AU116" s="192" t="s">
        <v>99</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386</v>
      </c>
      <c r="BM116" s="192" t="s">
        <v>6083</v>
      </c>
    </row>
    <row r="117" spans="1:65" s="2" customFormat="1" ht="19.5">
      <c r="A117" s="36"/>
      <c r="B117" s="37"/>
      <c r="C117" s="38"/>
      <c r="D117" s="196" t="s">
        <v>1226</v>
      </c>
      <c r="E117" s="38"/>
      <c r="F117" s="248" t="s">
        <v>6079</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99</v>
      </c>
    </row>
    <row r="118" spans="1:65" s="12" customFormat="1" ht="20.85" customHeight="1">
      <c r="B118" s="165"/>
      <c r="C118" s="166"/>
      <c r="D118" s="167" t="s">
        <v>71</v>
      </c>
      <c r="E118" s="179" t="s">
        <v>1043</v>
      </c>
      <c r="F118" s="179" t="s">
        <v>6084</v>
      </c>
      <c r="G118" s="166"/>
      <c r="H118" s="166"/>
      <c r="I118" s="169"/>
      <c r="J118" s="180">
        <f>BK118</f>
        <v>0</v>
      </c>
      <c r="K118" s="166"/>
      <c r="L118" s="171"/>
      <c r="M118" s="172"/>
      <c r="N118" s="173"/>
      <c r="O118" s="173"/>
      <c r="P118" s="174">
        <f>SUM(P119:P143)</f>
        <v>0</v>
      </c>
      <c r="Q118" s="173"/>
      <c r="R118" s="174">
        <f>SUM(R119:R143)</f>
        <v>163.97765000000001</v>
      </c>
      <c r="S118" s="173"/>
      <c r="T118" s="175">
        <f>SUM(T119:T143)</f>
        <v>0</v>
      </c>
      <c r="AR118" s="176" t="s">
        <v>79</v>
      </c>
      <c r="AT118" s="177" t="s">
        <v>71</v>
      </c>
      <c r="AU118" s="177" t="s">
        <v>82</v>
      </c>
      <c r="AY118" s="176" t="s">
        <v>380</v>
      </c>
      <c r="BK118" s="178">
        <f>SUM(BK119:BK143)</f>
        <v>0</v>
      </c>
    </row>
    <row r="119" spans="1:65" s="2" customFormat="1" ht="24.2" customHeight="1">
      <c r="A119" s="36"/>
      <c r="B119" s="37"/>
      <c r="C119" s="181" t="s">
        <v>125</v>
      </c>
      <c r="D119" s="181" t="s">
        <v>382</v>
      </c>
      <c r="E119" s="182" t="s">
        <v>6085</v>
      </c>
      <c r="F119" s="183" t="s">
        <v>6086</v>
      </c>
      <c r="G119" s="184" t="s">
        <v>385</v>
      </c>
      <c r="H119" s="185">
        <v>91</v>
      </c>
      <c r="I119" s="186"/>
      <c r="J119" s="187">
        <f>ROUND(I119*H119,2)</f>
        <v>0</v>
      </c>
      <c r="K119" s="183" t="s">
        <v>399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386</v>
      </c>
      <c r="AT119" s="192" t="s">
        <v>382</v>
      </c>
      <c r="AU119" s="192" t="s">
        <v>99</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386</v>
      </c>
      <c r="BM119" s="192" t="s">
        <v>6087</v>
      </c>
    </row>
    <row r="120" spans="1:65" s="2" customFormat="1" ht="19.5">
      <c r="A120" s="36"/>
      <c r="B120" s="37"/>
      <c r="C120" s="38"/>
      <c r="D120" s="196" t="s">
        <v>1226</v>
      </c>
      <c r="E120" s="38"/>
      <c r="F120" s="248" t="s">
        <v>6088</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99</v>
      </c>
    </row>
    <row r="121" spans="1:65" s="13" customFormat="1" ht="11.25">
      <c r="B121" s="194"/>
      <c r="C121" s="195"/>
      <c r="D121" s="196" t="s">
        <v>388</v>
      </c>
      <c r="E121" s="197" t="s">
        <v>19</v>
      </c>
      <c r="F121" s="198" t="s">
        <v>6089</v>
      </c>
      <c r="G121" s="195"/>
      <c r="H121" s="197" t="s">
        <v>19</v>
      </c>
      <c r="I121" s="199"/>
      <c r="J121" s="195"/>
      <c r="K121" s="195"/>
      <c r="L121" s="200"/>
      <c r="M121" s="201"/>
      <c r="N121" s="202"/>
      <c r="O121" s="202"/>
      <c r="P121" s="202"/>
      <c r="Q121" s="202"/>
      <c r="R121" s="202"/>
      <c r="S121" s="202"/>
      <c r="T121" s="203"/>
      <c r="AT121" s="204" t="s">
        <v>388</v>
      </c>
      <c r="AU121" s="204" t="s">
        <v>99</v>
      </c>
      <c r="AV121" s="13" t="s">
        <v>79</v>
      </c>
      <c r="AW121" s="13" t="s">
        <v>33</v>
      </c>
      <c r="AX121" s="13" t="s">
        <v>72</v>
      </c>
      <c r="AY121" s="204" t="s">
        <v>380</v>
      </c>
    </row>
    <row r="122" spans="1:65" s="14" customFormat="1" ht="11.25">
      <c r="B122" s="205"/>
      <c r="C122" s="206"/>
      <c r="D122" s="196" t="s">
        <v>388</v>
      </c>
      <c r="E122" s="207" t="s">
        <v>19</v>
      </c>
      <c r="F122" s="208" t="s">
        <v>6090</v>
      </c>
      <c r="G122" s="206"/>
      <c r="H122" s="209">
        <v>60</v>
      </c>
      <c r="I122" s="210"/>
      <c r="J122" s="206"/>
      <c r="K122" s="206"/>
      <c r="L122" s="211"/>
      <c r="M122" s="212"/>
      <c r="N122" s="213"/>
      <c r="O122" s="213"/>
      <c r="P122" s="213"/>
      <c r="Q122" s="213"/>
      <c r="R122" s="213"/>
      <c r="S122" s="213"/>
      <c r="T122" s="214"/>
      <c r="AT122" s="215" t="s">
        <v>388</v>
      </c>
      <c r="AU122" s="215" t="s">
        <v>99</v>
      </c>
      <c r="AV122" s="14" t="s">
        <v>82</v>
      </c>
      <c r="AW122" s="14" t="s">
        <v>33</v>
      </c>
      <c r="AX122" s="14" t="s">
        <v>72</v>
      </c>
      <c r="AY122" s="215" t="s">
        <v>380</v>
      </c>
    </row>
    <row r="123" spans="1:65" s="13" customFormat="1" ht="11.25">
      <c r="B123" s="194"/>
      <c r="C123" s="195"/>
      <c r="D123" s="196" t="s">
        <v>388</v>
      </c>
      <c r="E123" s="197" t="s">
        <v>19</v>
      </c>
      <c r="F123" s="198" t="s">
        <v>6091</v>
      </c>
      <c r="G123" s="195"/>
      <c r="H123" s="197" t="s">
        <v>19</v>
      </c>
      <c r="I123" s="199"/>
      <c r="J123" s="195"/>
      <c r="K123" s="195"/>
      <c r="L123" s="200"/>
      <c r="M123" s="201"/>
      <c r="N123" s="202"/>
      <c r="O123" s="202"/>
      <c r="P123" s="202"/>
      <c r="Q123" s="202"/>
      <c r="R123" s="202"/>
      <c r="S123" s="202"/>
      <c r="T123" s="203"/>
      <c r="AT123" s="204" t="s">
        <v>388</v>
      </c>
      <c r="AU123" s="204" t="s">
        <v>99</v>
      </c>
      <c r="AV123" s="13" t="s">
        <v>79</v>
      </c>
      <c r="AW123" s="13" t="s">
        <v>33</v>
      </c>
      <c r="AX123" s="13" t="s">
        <v>72</v>
      </c>
      <c r="AY123" s="204" t="s">
        <v>380</v>
      </c>
    </row>
    <row r="124" spans="1:65" s="14" customFormat="1" ht="11.25">
      <c r="B124" s="205"/>
      <c r="C124" s="206"/>
      <c r="D124" s="196" t="s">
        <v>388</v>
      </c>
      <c r="E124" s="207" t="s">
        <v>19</v>
      </c>
      <c r="F124" s="208" t="s">
        <v>6092</v>
      </c>
      <c r="G124" s="206"/>
      <c r="H124" s="209">
        <v>31</v>
      </c>
      <c r="I124" s="210"/>
      <c r="J124" s="206"/>
      <c r="K124" s="206"/>
      <c r="L124" s="211"/>
      <c r="M124" s="212"/>
      <c r="N124" s="213"/>
      <c r="O124" s="213"/>
      <c r="P124" s="213"/>
      <c r="Q124" s="213"/>
      <c r="R124" s="213"/>
      <c r="S124" s="213"/>
      <c r="T124" s="214"/>
      <c r="AT124" s="215" t="s">
        <v>388</v>
      </c>
      <c r="AU124" s="215" t="s">
        <v>99</v>
      </c>
      <c r="AV124" s="14" t="s">
        <v>82</v>
      </c>
      <c r="AW124" s="14" t="s">
        <v>33</v>
      </c>
      <c r="AX124" s="14" t="s">
        <v>72</v>
      </c>
      <c r="AY124" s="215" t="s">
        <v>380</v>
      </c>
    </row>
    <row r="125" spans="1:65" s="15" customFormat="1" ht="11.25">
      <c r="B125" s="216"/>
      <c r="C125" s="217"/>
      <c r="D125" s="196" t="s">
        <v>388</v>
      </c>
      <c r="E125" s="218" t="s">
        <v>19</v>
      </c>
      <c r="F125" s="219" t="s">
        <v>419</v>
      </c>
      <c r="G125" s="217"/>
      <c r="H125" s="220">
        <v>91</v>
      </c>
      <c r="I125" s="221"/>
      <c r="J125" s="217"/>
      <c r="K125" s="217"/>
      <c r="L125" s="222"/>
      <c r="M125" s="223"/>
      <c r="N125" s="224"/>
      <c r="O125" s="224"/>
      <c r="P125" s="224"/>
      <c r="Q125" s="224"/>
      <c r="R125" s="224"/>
      <c r="S125" s="224"/>
      <c r="T125" s="225"/>
      <c r="AT125" s="226" t="s">
        <v>388</v>
      </c>
      <c r="AU125" s="226" t="s">
        <v>99</v>
      </c>
      <c r="AV125" s="15" t="s">
        <v>386</v>
      </c>
      <c r="AW125" s="15" t="s">
        <v>33</v>
      </c>
      <c r="AX125" s="15" t="s">
        <v>79</v>
      </c>
      <c r="AY125" s="226" t="s">
        <v>380</v>
      </c>
    </row>
    <row r="126" spans="1:65" s="2" customFormat="1" ht="24.2" customHeight="1">
      <c r="A126" s="36"/>
      <c r="B126" s="37"/>
      <c r="C126" s="181" t="s">
        <v>128</v>
      </c>
      <c r="D126" s="181" t="s">
        <v>382</v>
      </c>
      <c r="E126" s="182" t="s">
        <v>6093</v>
      </c>
      <c r="F126" s="183" t="s">
        <v>6094</v>
      </c>
      <c r="G126" s="184" t="s">
        <v>385</v>
      </c>
      <c r="H126" s="185">
        <v>91</v>
      </c>
      <c r="I126" s="186"/>
      <c r="J126" s="187">
        <f>ROUND(I126*H126,2)</f>
        <v>0</v>
      </c>
      <c r="K126" s="183" t="s">
        <v>399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386</v>
      </c>
      <c r="AT126" s="192" t="s">
        <v>382</v>
      </c>
      <c r="AU126" s="192" t="s">
        <v>99</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386</v>
      </c>
      <c r="BM126" s="192" t="s">
        <v>6095</v>
      </c>
    </row>
    <row r="127" spans="1:65" s="2" customFormat="1" ht="19.5">
      <c r="A127" s="36"/>
      <c r="B127" s="37"/>
      <c r="C127" s="38"/>
      <c r="D127" s="196" t="s">
        <v>1226</v>
      </c>
      <c r="E127" s="38"/>
      <c r="F127" s="248" t="s">
        <v>6096</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1226</v>
      </c>
      <c r="AU127" s="19" t="s">
        <v>99</v>
      </c>
    </row>
    <row r="128" spans="1:65" s="2" customFormat="1" ht="16.5" customHeight="1">
      <c r="A128" s="36"/>
      <c r="B128" s="37"/>
      <c r="C128" s="181" t="s">
        <v>131</v>
      </c>
      <c r="D128" s="181" t="s">
        <v>382</v>
      </c>
      <c r="E128" s="182" t="s">
        <v>6097</v>
      </c>
      <c r="F128" s="183" t="s">
        <v>6098</v>
      </c>
      <c r="G128" s="184" t="s">
        <v>398</v>
      </c>
      <c r="H128" s="185">
        <v>380</v>
      </c>
      <c r="I128" s="186"/>
      <c r="J128" s="187">
        <f>ROUND(I128*H128,2)</f>
        <v>0</v>
      </c>
      <c r="K128" s="183" t="s">
        <v>399</v>
      </c>
      <c r="L128" s="41"/>
      <c r="M128" s="188" t="s">
        <v>19</v>
      </c>
      <c r="N128" s="189" t="s">
        <v>43</v>
      </c>
      <c r="O128" s="66"/>
      <c r="P128" s="190">
        <f>O128*H128</f>
        <v>0</v>
      </c>
      <c r="Q128" s="190">
        <v>4.6749999999999998E-4</v>
      </c>
      <c r="R128" s="190">
        <f>Q128*H128</f>
        <v>0.17765</v>
      </c>
      <c r="S128" s="190">
        <v>0</v>
      </c>
      <c r="T128" s="191">
        <f>S128*H128</f>
        <v>0</v>
      </c>
      <c r="U128" s="36"/>
      <c r="V128" s="36"/>
      <c r="W128" s="36"/>
      <c r="X128" s="36"/>
      <c r="Y128" s="36"/>
      <c r="Z128" s="36"/>
      <c r="AA128" s="36"/>
      <c r="AB128" s="36"/>
      <c r="AC128" s="36"/>
      <c r="AD128" s="36"/>
      <c r="AE128" s="36"/>
      <c r="AR128" s="192" t="s">
        <v>386</v>
      </c>
      <c r="AT128" s="192" t="s">
        <v>382</v>
      </c>
      <c r="AU128" s="192" t="s">
        <v>99</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386</v>
      </c>
      <c r="BM128" s="192" t="s">
        <v>6099</v>
      </c>
    </row>
    <row r="129" spans="1:65" s="2" customFormat="1" ht="19.5">
      <c r="A129" s="36"/>
      <c r="B129" s="37"/>
      <c r="C129" s="38"/>
      <c r="D129" s="196" t="s">
        <v>1226</v>
      </c>
      <c r="E129" s="38"/>
      <c r="F129" s="248" t="s">
        <v>6100</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99</v>
      </c>
    </row>
    <row r="130" spans="1:65" s="2" customFormat="1" ht="16.5" customHeight="1">
      <c r="A130" s="36"/>
      <c r="B130" s="37"/>
      <c r="C130" s="227" t="s">
        <v>134</v>
      </c>
      <c r="D130" s="227" t="s">
        <v>465</v>
      </c>
      <c r="E130" s="228" t="s">
        <v>6101</v>
      </c>
      <c r="F130" s="229" t="s">
        <v>6102</v>
      </c>
      <c r="G130" s="230" t="s">
        <v>437</v>
      </c>
      <c r="H130" s="231">
        <v>24.75</v>
      </c>
      <c r="I130" s="232"/>
      <c r="J130" s="233">
        <f>ROUND(I130*H130,2)</f>
        <v>0</v>
      </c>
      <c r="K130" s="229" t="s">
        <v>399</v>
      </c>
      <c r="L130" s="234"/>
      <c r="M130" s="235" t="s">
        <v>19</v>
      </c>
      <c r="N130" s="236" t="s">
        <v>43</v>
      </c>
      <c r="O130" s="66"/>
      <c r="P130" s="190">
        <f>O130*H130</f>
        <v>0</v>
      </c>
      <c r="Q130" s="190">
        <v>1</v>
      </c>
      <c r="R130" s="190">
        <f>Q130*H130</f>
        <v>24.75</v>
      </c>
      <c r="S130" s="190">
        <v>0</v>
      </c>
      <c r="T130" s="191">
        <f>S130*H130</f>
        <v>0</v>
      </c>
      <c r="U130" s="36"/>
      <c r="V130" s="36"/>
      <c r="W130" s="36"/>
      <c r="X130" s="36"/>
      <c r="Y130" s="36"/>
      <c r="Z130" s="36"/>
      <c r="AA130" s="36"/>
      <c r="AB130" s="36"/>
      <c r="AC130" s="36"/>
      <c r="AD130" s="36"/>
      <c r="AE130" s="36"/>
      <c r="AR130" s="192" t="s">
        <v>424</v>
      </c>
      <c r="AT130" s="192" t="s">
        <v>465</v>
      </c>
      <c r="AU130" s="192" t="s">
        <v>99</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386</v>
      </c>
      <c r="BM130" s="192" t="s">
        <v>6103</v>
      </c>
    </row>
    <row r="131" spans="1:65" s="2" customFormat="1" ht="19.5">
      <c r="A131" s="36"/>
      <c r="B131" s="37"/>
      <c r="C131" s="38"/>
      <c r="D131" s="196" t="s">
        <v>1226</v>
      </c>
      <c r="E131" s="38"/>
      <c r="F131" s="248" t="s">
        <v>6104</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1226</v>
      </c>
      <c r="AU131" s="19" t="s">
        <v>99</v>
      </c>
    </row>
    <row r="132" spans="1:65" s="14" customFormat="1" ht="11.25">
      <c r="B132" s="205"/>
      <c r="C132" s="206"/>
      <c r="D132" s="196" t="s">
        <v>388</v>
      </c>
      <c r="E132" s="207" t="s">
        <v>19</v>
      </c>
      <c r="F132" s="208" t="s">
        <v>6105</v>
      </c>
      <c r="G132" s="206"/>
      <c r="H132" s="209">
        <v>24.75</v>
      </c>
      <c r="I132" s="210"/>
      <c r="J132" s="206"/>
      <c r="K132" s="206"/>
      <c r="L132" s="211"/>
      <c r="M132" s="212"/>
      <c r="N132" s="213"/>
      <c r="O132" s="213"/>
      <c r="P132" s="213"/>
      <c r="Q132" s="213"/>
      <c r="R132" s="213"/>
      <c r="S132" s="213"/>
      <c r="T132" s="214"/>
      <c r="AT132" s="215" t="s">
        <v>388</v>
      </c>
      <c r="AU132" s="215" t="s">
        <v>99</v>
      </c>
      <c r="AV132" s="14" t="s">
        <v>82</v>
      </c>
      <c r="AW132" s="14" t="s">
        <v>33</v>
      </c>
      <c r="AX132" s="14" t="s">
        <v>79</v>
      </c>
      <c r="AY132" s="215" t="s">
        <v>380</v>
      </c>
    </row>
    <row r="133" spans="1:65" s="2" customFormat="1" ht="16.5" customHeight="1">
      <c r="A133" s="36"/>
      <c r="B133" s="37"/>
      <c r="C133" s="227" t="s">
        <v>8</v>
      </c>
      <c r="D133" s="227" t="s">
        <v>465</v>
      </c>
      <c r="E133" s="228" t="s">
        <v>6106</v>
      </c>
      <c r="F133" s="229" t="s">
        <v>6107</v>
      </c>
      <c r="G133" s="230" t="s">
        <v>437</v>
      </c>
      <c r="H133" s="231">
        <v>139.05000000000001</v>
      </c>
      <c r="I133" s="232"/>
      <c r="J133" s="233">
        <f>ROUND(I133*H133,2)</f>
        <v>0</v>
      </c>
      <c r="K133" s="229" t="s">
        <v>399</v>
      </c>
      <c r="L133" s="234"/>
      <c r="M133" s="235" t="s">
        <v>19</v>
      </c>
      <c r="N133" s="236" t="s">
        <v>43</v>
      </c>
      <c r="O133" s="66"/>
      <c r="P133" s="190">
        <f>O133*H133</f>
        <v>0</v>
      </c>
      <c r="Q133" s="190">
        <v>1</v>
      </c>
      <c r="R133" s="190">
        <f>Q133*H133</f>
        <v>139.05000000000001</v>
      </c>
      <c r="S133" s="190">
        <v>0</v>
      </c>
      <c r="T133" s="191">
        <f>S133*H133</f>
        <v>0</v>
      </c>
      <c r="U133" s="36"/>
      <c r="V133" s="36"/>
      <c r="W133" s="36"/>
      <c r="X133" s="36"/>
      <c r="Y133" s="36"/>
      <c r="Z133" s="36"/>
      <c r="AA133" s="36"/>
      <c r="AB133" s="36"/>
      <c r="AC133" s="36"/>
      <c r="AD133" s="36"/>
      <c r="AE133" s="36"/>
      <c r="AR133" s="192" t="s">
        <v>424</v>
      </c>
      <c r="AT133" s="192" t="s">
        <v>465</v>
      </c>
      <c r="AU133" s="192" t="s">
        <v>99</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386</v>
      </c>
      <c r="BM133" s="192" t="s">
        <v>6108</v>
      </c>
    </row>
    <row r="134" spans="1:65" s="2" customFormat="1" ht="19.5">
      <c r="A134" s="36"/>
      <c r="B134" s="37"/>
      <c r="C134" s="38"/>
      <c r="D134" s="196" t="s">
        <v>1226</v>
      </c>
      <c r="E134" s="38"/>
      <c r="F134" s="248" t="s">
        <v>6109</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99</v>
      </c>
    </row>
    <row r="135" spans="1:65" s="14" customFormat="1" ht="11.25">
      <c r="B135" s="205"/>
      <c r="C135" s="206"/>
      <c r="D135" s="196" t="s">
        <v>388</v>
      </c>
      <c r="E135" s="207" t="s">
        <v>19</v>
      </c>
      <c r="F135" s="208" t="s">
        <v>6110</v>
      </c>
      <c r="G135" s="206"/>
      <c r="H135" s="209">
        <v>139.05000000000001</v>
      </c>
      <c r="I135" s="210"/>
      <c r="J135" s="206"/>
      <c r="K135" s="206"/>
      <c r="L135" s="211"/>
      <c r="M135" s="212"/>
      <c r="N135" s="213"/>
      <c r="O135" s="213"/>
      <c r="P135" s="213"/>
      <c r="Q135" s="213"/>
      <c r="R135" s="213"/>
      <c r="S135" s="213"/>
      <c r="T135" s="214"/>
      <c r="AT135" s="215" t="s">
        <v>388</v>
      </c>
      <c r="AU135" s="215" t="s">
        <v>99</v>
      </c>
      <c r="AV135" s="14" t="s">
        <v>82</v>
      </c>
      <c r="AW135" s="14" t="s">
        <v>33</v>
      </c>
      <c r="AX135" s="14" t="s">
        <v>79</v>
      </c>
      <c r="AY135" s="215" t="s">
        <v>380</v>
      </c>
    </row>
    <row r="136" spans="1:65" s="2" customFormat="1" ht="33" customHeight="1">
      <c r="A136" s="36"/>
      <c r="B136" s="37"/>
      <c r="C136" s="181" t="s">
        <v>281</v>
      </c>
      <c r="D136" s="181" t="s">
        <v>382</v>
      </c>
      <c r="E136" s="182" t="s">
        <v>6111</v>
      </c>
      <c r="F136" s="183" t="s">
        <v>6112</v>
      </c>
      <c r="G136" s="184" t="s">
        <v>385</v>
      </c>
      <c r="H136" s="185">
        <v>91</v>
      </c>
      <c r="I136" s="186"/>
      <c r="J136" s="187">
        <f>ROUND(I136*H136,2)</f>
        <v>0</v>
      </c>
      <c r="K136" s="183" t="s">
        <v>399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386</v>
      </c>
      <c r="AT136" s="192" t="s">
        <v>382</v>
      </c>
      <c r="AU136" s="192" t="s">
        <v>99</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386</v>
      </c>
      <c r="BM136" s="192" t="s">
        <v>6113</v>
      </c>
    </row>
    <row r="137" spans="1:65" s="2" customFormat="1" ht="19.5">
      <c r="A137" s="36"/>
      <c r="B137" s="37"/>
      <c r="C137" s="38"/>
      <c r="D137" s="196" t="s">
        <v>1226</v>
      </c>
      <c r="E137" s="38"/>
      <c r="F137" s="248" t="s">
        <v>6114</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1226</v>
      </c>
      <c r="AU137" s="19" t="s">
        <v>99</v>
      </c>
    </row>
    <row r="138" spans="1:65" s="14" customFormat="1" ht="11.25">
      <c r="B138" s="205"/>
      <c r="C138" s="206"/>
      <c r="D138" s="196" t="s">
        <v>388</v>
      </c>
      <c r="E138" s="207" t="s">
        <v>19</v>
      </c>
      <c r="F138" s="208" t="s">
        <v>6115</v>
      </c>
      <c r="G138" s="206"/>
      <c r="H138" s="209">
        <v>91</v>
      </c>
      <c r="I138" s="210"/>
      <c r="J138" s="206"/>
      <c r="K138" s="206"/>
      <c r="L138" s="211"/>
      <c r="M138" s="212"/>
      <c r="N138" s="213"/>
      <c r="O138" s="213"/>
      <c r="P138" s="213"/>
      <c r="Q138" s="213"/>
      <c r="R138" s="213"/>
      <c r="S138" s="213"/>
      <c r="T138" s="214"/>
      <c r="AT138" s="215" t="s">
        <v>388</v>
      </c>
      <c r="AU138" s="215" t="s">
        <v>99</v>
      </c>
      <c r="AV138" s="14" t="s">
        <v>82</v>
      </c>
      <c r="AW138" s="14" t="s">
        <v>33</v>
      </c>
      <c r="AX138" s="14" t="s">
        <v>79</v>
      </c>
      <c r="AY138" s="215" t="s">
        <v>380</v>
      </c>
    </row>
    <row r="139" spans="1:65" s="2" customFormat="1" ht="37.9" customHeight="1">
      <c r="A139" s="36"/>
      <c r="B139" s="37"/>
      <c r="C139" s="181" t="s">
        <v>471</v>
      </c>
      <c r="D139" s="181" t="s">
        <v>382</v>
      </c>
      <c r="E139" s="182" t="s">
        <v>6116</v>
      </c>
      <c r="F139" s="183" t="s">
        <v>6117</v>
      </c>
      <c r="G139" s="184" t="s">
        <v>385</v>
      </c>
      <c r="H139" s="185">
        <v>455</v>
      </c>
      <c r="I139" s="186"/>
      <c r="J139" s="187">
        <f>ROUND(I139*H139,2)</f>
        <v>0</v>
      </c>
      <c r="K139" s="183" t="s">
        <v>399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386</v>
      </c>
      <c r="AT139" s="192" t="s">
        <v>382</v>
      </c>
      <c r="AU139" s="192" t="s">
        <v>99</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386</v>
      </c>
      <c r="BM139" s="192" t="s">
        <v>6118</v>
      </c>
    </row>
    <row r="140" spans="1:65" s="2" customFormat="1" ht="19.5">
      <c r="A140" s="36"/>
      <c r="B140" s="37"/>
      <c r="C140" s="38"/>
      <c r="D140" s="196" t="s">
        <v>1226</v>
      </c>
      <c r="E140" s="38"/>
      <c r="F140" s="248" t="s">
        <v>6119</v>
      </c>
      <c r="G140" s="38"/>
      <c r="H140" s="38"/>
      <c r="I140" s="249"/>
      <c r="J140" s="38"/>
      <c r="K140" s="38"/>
      <c r="L140" s="41"/>
      <c r="M140" s="250"/>
      <c r="N140" s="251"/>
      <c r="O140" s="66"/>
      <c r="P140" s="66"/>
      <c r="Q140" s="66"/>
      <c r="R140" s="66"/>
      <c r="S140" s="66"/>
      <c r="T140" s="67"/>
      <c r="U140" s="36"/>
      <c r="V140" s="36"/>
      <c r="W140" s="36"/>
      <c r="X140" s="36"/>
      <c r="Y140" s="36"/>
      <c r="Z140" s="36"/>
      <c r="AA140" s="36"/>
      <c r="AB140" s="36"/>
      <c r="AC140" s="36"/>
      <c r="AD140" s="36"/>
      <c r="AE140" s="36"/>
      <c r="AT140" s="19" t="s">
        <v>1226</v>
      </c>
      <c r="AU140" s="19" t="s">
        <v>99</v>
      </c>
    </row>
    <row r="141" spans="1:65" s="14" customFormat="1" ht="11.25">
      <c r="B141" s="205"/>
      <c r="C141" s="206"/>
      <c r="D141" s="196" t="s">
        <v>388</v>
      </c>
      <c r="E141" s="207" t="s">
        <v>19</v>
      </c>
      <c r="F141" s="208" t="s">
        <v>6120</v>
      </c>
      <c r="G141" s="206"/>
      <c r="H141" s="209">
        <v>455</v>
      </c>
      <c r="I141" s="210"/>
      <c r="J141" s="206"/>
      <c r="K141" s="206"/>
      <c r="L141" s="211"/>
      <c r="M141" s="212"/>
      <c r="N141" s="213"/>
      <c r="O141" s="213"/>
      <c r="P141" s="213"/>
      <c r="Q141" s="213"/>
      <c r="R141" s="213"/>
      <c r="S141" s="213"/>
      <c r="T141" s="214"/>
      <c r="AT141" s="215" t="s">
        <v>388</v>
      </c>
      <c r="AU141" s="215" t="s">
        <v>99</v>
      </c>
      <c r="AV141" s="14" t="s">
        <v>82</v>
      </c>
      <c r="AW141" s="14" t="s">
        <v>33</v>
      </c>
      <c r="AX141" s="14" t="s">
        <v>79</v>
      </c>
      <c r="AY141" s="215" t="s">
        <v>380</v>
      </c>
    </row>
    <row r="142" spans="1:65" s="2" customFormat="1" ht="37.9" customHeight="1">
      <c r="A142" s="36"/>
      <c r="B142" s="37"/>
      <c r="C142" s="181" t="s">
        <v>477</v>
      </c>
      <c r="D142" s="181" t="s">
        <v>382</v>
      </c>
      <c r="E142" s="182" t="s">
        <v>6121</v>
      </c>
      <c r="F142" s="183" t="s">
        <v>6122</v>
      </c>
      <c r="G142" s="184" t="s">
        <v>385</v>
      </c>
      <c r="H142" s="185">
        <v>91</v>
      </c>
      <c r="I142" s="186"/>
      <c r="J142" s="187">
        <f>ROUND(I142*H142,2)</f>
        <v>0</v>
      </c>
      <c r="K142" s="183" t="s">
        <v>399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386</v>
      </c>
      <c r="AT142" s="192" t="s">
        <v>382</v>
      </c>
      <c r="AU142" s="192" t="s">
        <v>99</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386</v>
      </c>
      <c r="BM142" s="192" t="s">
        <v>6123</v>
      </c>
    </row>
    <row r="143" spans="1:65" s="2" customFormat="1" ht="19.5">
      <c r="A143" s="36"/>
      <c r="B143" s="37"/>
      <c r="C143" s="38"/>
      <c r="D143" s="196" t="s">
        <v>1226</v>
      </c>
      <c r="E143" s="38"/>
      <c r="F143" s="248" t="s">
        <v>6124</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1226</v>
      </c>
      <c r="AU143" s="19" t="s">
        <v>99</v>
      </c>
    </row>
    <row r="144" spans="1:65" s="12" customFormat="1" ht="20.85" customHeight="1">
      <c r="B144" s="165"/>
      <c r="C144" s="166"/>
      <c r="D144" s="167" t="s">
        <v>71</v>
      </c>
      <c r="E144" s="179" t="s">
        <v>281</v>
      </c>
      <c r="F144" s="179" t="s">
        <v>6125</v>
      </c>
      <c r="G144" s="166"/>
      <c r="H144" s="166"/>
      <c r="I144" s="169"/>
      <c r="J144" s="180">
        <f>BK144</f>
        <v>0</v>
      </c>
      <c r="K144" s="166"/>
      <c r="L144" s="171"/>
      <c r="M144" s="172"/>
      <c r="N144" s="173"/>
      <c r="O144" s="173"/>
      <c r="P144" s="174">
        <f>SUM(P145:P152)</f>
        <v>0</v>
      </c>
      <c r="Q144" s="173"/>
      <c r="R144" s="174">
        <f>SUM(R145:R152)</f>
        <v>0</v>
      </c>
      <c r="S144" s="173"/>
      <c r="T144" s="175">
        <f>SUM(T145:T152)</f>
        <v>0</v>
      </c>
      <c r="AR144" s="176" t="s">
        <v>79</v>
      </c>
      <c r="AT144" s="177" t="s">
        <v>71</v>
      </c>
      <c r="AU144" s="177" t="s">
        <v>82</v>
      </c>
      <c r="AY144" s="176" t="s">
        <v>380</v>
      </c>
      <c r="BK144" s="178">
        <f>SUM(BK145:BK152)</f>
        <v>0</v>
      </c>
    </row>
    <row r="145" spans="1:65" s="2" customFormat="1" ht="33" customHeight="1">
      <c r="A145" s="36"/>
      <c r="B145" s="37"/>
      <c r="C145" s="181" t="s">
        <v>284</v>
      </c>
      <c r="D145" s="181" t="s">
        <v>382</v>
      </c>
      <c r="E145" s="182" t="s">
        <v>6111</v>
      </c>
      <c r="F145" s="183" t="s">
        <v>6112</v>
      </c>
      <c r="G145" s="184" t="s">
        <v>385</v>
      </c>
      <c r="H145" s="185">
        <v>91</v>
      </c>
      <c r="I145" s="186"/>
      <c r="J145" s="187">
        <f>ROUND(I145*H145,2)</f>
        <v>0</v>
      </c>
      <c r="K145" s="183" t="s">
        <v>399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386</v>
      </c>
      <c r="AT145" s="192" t="s">
        <v>382</v>
      </c>
      <c r="AU145" s="192" t="s">
        <v>99</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386</v>
      </c>
      <c r="BM145" s="192" t="s">
        <v>6126</v>
      </c>
    </row>
    <row r="146" spans="1:65" s="2" customFormat="1" ht="19.5">
      <c r="A146" s="36"/>
      <c r="B146" s="37"/>
      <c r="C146" s="38"/>
      <c r="D146" s="196" t="s">
        <v>1226</v>
      </c>
      <c r="E146" s="38"/>
      <c r="F146" s="248" t="s">
        <v>6127</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1226</v>
      </c>
      <c r="AU146" s="19" t="s">
        <v>99</v>
      </c>
    </row>
    <row r="147" spans="1:65" s="2" customFormat="1" ht="37.9" customHeight="1">
      <c r="A147" s="36"/>
      <c r="B147" s="37"/>
      <c r="C147" s="181" t="s">
        <v>486</v>
      </c>
      <c r="D147" s="181" t="s">
        <v>382</v>
      </c>
      <c r="E147" s="182" t="s">
        <v>6128</v>
      </c>
      <c r="F147" s="183" t="s">
        <v>6117</v>
      </c>
      <c r="G147" s="184" t="s">
        <v>385</v>
      </c>
      <c r="H147" s="185">
        <v>455</v>
      </c>
      <c r="I147" s="186"/>
      <c r="J147" s="187">
        <f>ROUND(I147*H147,2)</f>
        <v>0</v>
      </c>
      <c r="K147" s="183" t="s">
        <v>399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386</v>
      </c>
      <c r="AT147" s="192" t="s">
        <v>382</v>
      </c>
      <c r="AU147" s="192" t="s">
        <v>99</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386</v>
      </c>
      <c r="BM147" s="192" t="s">
        <v>6129</v>
      </c>
    </row>
    <row r="148" spans="1:65" s="2" customFormat="1" ht="19.5">
      <c r="A148" s="36"/>
      <c r="B148" s="37"/>
      <c r="C148" s="38"/>
      <c r="D148" s="196" t="s">
        <v>1226</v>
      </c>
      <c r="E148" s="38"/>
      <c r="F148" s="248" t="s">
        <v>6119</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99</v>
      </c>
    </row>
    <row r="149" spans="1:65" s="14" customFormat="1" ht="11.25">
      <c r="B149" s="205"/>
      <c r="C149" s="206"/>
      <c r="D149" s="196" t="s">
        <v>388</v>
      </c>
      <c r="E149" s="207" t="s">
        <v>19</v>
      </c>
      <c r="F149" s="208" t="s">
        <v>6120</v>
      </c>
      <c r="G149" s="206"/>
      <c r="H149" s="209">
        <v>455</v>
      </c>
      <c r="I149" s="210"/>
      <c r="J149" s="206"/>
      <c r="K149" s="206"/>
      <c r="L149" s="211"/>
      <c r="M149" s="212"/>
      <c r="N149" s="213"/>
      <c r="O149" s="213"/>
      <c r="P149" s="213"/>
      <c r="Q149" s="213"/>
      <c r="R149" s="213"/>
      <c r="S149" s="213"/>
      <c r="T149" s="214"/>
      <c r="AT149" s="215" t="s">
        <v>388</v>
      </c>
      <c r="AU149" s="215" t="s">
        <v>99</v>
      </c>
      <c r="AV149" s="14" t="s">
        <v>82</v>
      </c>
      <c r="AW149" s="14" t="s">
        <v>33</v>
      </c>
      <c r="AX149" s="14" t="s">
        <v>79</v>
      </c>
      <c r="AY149" s="215" t="s">
        <v>380</v>
      </c>
    </row>
    <row r="150" spans="1:65" s="2" customFormat="1" ht="24.2" customHeight="1">
      <c r="A150" s="36"/>
      <c r="B150" s="37"/>
      <c r="C150" s="181" t="s">
        <v>7</v>
      </c>
      <c r="D150" s="181" t="s">
        <v>382</v>
      </c>
      <c r="E150" s="182" t="s">
        <v>435</v>
      </c>
      <c r="F150" s="183" t="s">
        <v>436</v>
      </c>
      <c r="G150" s="184" t="s">
        <v>437</v>
      </c>
      <c r="H150" s="185">
        <v>163.80000000000001</v>
      </c>
      <c r="I150" s="186"/>
      <c r="J150" s="187">
        <f>ROUND(I150*H150,2)</f>
        <v>0</v>
      </c>
      <c r="K150" s="183" t="s">
        <v>399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386</v>
      </c>
      <c r="AT150" s="192" t="s">
        <v>382</v>
      </c>
      <c r="AU150" s="192" t="s">
        <v>99</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386</v>
      </c>
      <c r="BM150" s="192" t="s">
        <v>6130</v>
      </c>
    </row>
    <row r="151" spans="1:65" s="2" customFormat="1" ht="19.5">
      <c r="A151" s="36"/>
      <c r="B151" s="37"/>
      <c r="C151" s="38"/>
      <c r="D151" s="196" t="s">
        <v>1226</v>
      </c>
      <c r="E151" s="38"/>
      <c r="F151" s="248" t="s">
        <v>6131</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99</v>
      </c>
    </row>
    <row r="152" spans="1:65" s="14" customFormat="1" ht="11.25">
      <c r="B152" s="205"/>
      <c r="C152" s="206"/>
      <c r="D152" s="196" t="s">
        <v>388</v>
      </c>
      <c r="E152" s="207" t="s">
        <v>19</v>
      </c>
      <c r="F152" s="208" t="s">
        <v>6132</v>
      </c>
      <c r="G152" s="206"/>
      <c r="H152" s="209">
        <v>163.80000000000001</v>
      </c>
      <c r="I152" s="210"/>
      <c r="J152" s="206"/>
      <c r="K152" s="206"/>
      <c r="L152" s="211"/>
      <c r="M152" s="212"/>
      <c r="N152" s="213"/>
      <c r="O152" s="213"/>
      <c r="P152" s="213"/>
      <c r="Q152" s="213"/>
      <c r="R152" s="213"/>
      <c r="S152" s="213"/>
      <c r="T152" s="214"/>
      <c r="AT152" s="215" t="s">
        <v>388</v>
      </c>
      <c r="AU152" s="215" t="s">
        <v>99</v>
      </c>
      <c r="AV152" s="14" t="s">
        <v>82</v>
      </c>
      <c r="AW152" s="14" t="s">
        <v>33</v>
      </c>
      <c r="AX152" s="14" t="s">
        <v>79</v>
      </c>
      <c r="AY152" s="215" t="s">
        <v>380</v>
      </c>
    </row>
    <row r="153" spans="1:65" s="12" customFormat="1" ht="20.85" customHeight="1">
      <c r="B153" s="165"/>
      <c r="C153" s="166"/>
      <c r="D153" s="167" t="s">
        <v>71</v>
      </c>
      <c r="E153" s="179" t="s">
        <v>477</v>
      </c>
      <c r="F153" s="179" t="s">
        <v>6133</v>
      </c>
      <c r="G153" s="166"/>
      <c r="H153" s="166"/>
      <c r="I153" s="169"/>
      <c r="J153" s="180">
        <f>BK153</f>
        <v>0</v>
      </c>
      <c r="K153" s="166"/>
      <c r="L153" s="171"/>
      <c r="M153" s="172"/>
      <c r="N153" s="173"/>
      <c r="O153" s="173"/>
      <c r="P153" s="174">
        <f>SUM(P154:P155)</f>
        <v>0</v>
      </c>
      <c r="Q153" s="173"/>
      <c r="R153" s="174">
        <f>SUM(R154:R155)</f>
        <v>0</v>
      </c>
      <c r="S153" s="173"/>
      <c r="T153" s="175">
        <f>SUM(T154:T155)</f>
        <v>0</v>
      </c>
      <c r="AR153" s="176" t="s">
        <v>79</v>
      </c>
      <c r="AT153" s="177" t="s">
        <v>71</v>
      </c>
      <c r="AU153" s="177" t="s">
        <v>82</v>
      </c>
      <c r="AY153" s="176" t="s">
        <v>380</v>
      </c>
      <c r="BK153" s="178">
        <f>SUM(BK154:BK155)</f>
        <v>0</v>
      </c>
    </row>
    <row r="154" spans="1:65" s="2" customFormat="1" ht="16.5" customHeight="1">
      <c r="A154" s="36"/>
      <c r="B154" s="37"/>
      <c r="C154" s="181" t="s">
        <v>495</v>
      </c>
      <c r="D154" s="181" t="s">
        <v>382</v>
      </c>
      <c r="E154" s="182" t="s">
        <v>6134</v>
      </c>
      <c r="F154" s="183" t="s">
        <v>6135</v>
      </c>
      <c r="G154" s="184" t="s">
        <v>398</v>
      </c>
      <c r="H154" s="185">
        <v>350</v>
      </c>
      <c r="I154" s="186"/>
      <c r="J154" s="187">
        <f>ROUND(I154*H154,2)</f>
        <v>0</v>
      </c>
      <c r="K154" s="183" t="s">
        <v>399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386</v>
      </c>
      <c r="AT154" s="192" t="s">
        <v>382</v>
      </c>
      <c r="AU154" s="192" t="s">
        <v>99</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386</v>
      </c>
      <c r="BM154" s="192" t="s">
        <v>6136</v>
      </c>
    </row>
    <row r="155" spans="1:65" s="2" customFormat="1" ht="19.5">
      <c r="A155" s="36"/>
      <c r="B155" s="37"/>
      <c r="C155" s="38"/>
      <c r="D155" s="196" t="s">
        <v>1226</v>
      </c>
      <c r="E155" s="38"/>
      <c r="F155" s="248" t="s">
        <v>6137</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1226</v>
      </c>
      <c r="AU155" s="19" t="s">
        <v>99</v>
      </c>
    </row>
    <row r="156" spans="1:65" s="12" customFormat="1" ht="22.9" customHeight="1">
      <c r="B156" s="165"/>
      <c r="C156" s="166"/>
      <c r="D156" s="167" t="s">
        <v>71</v>
      </c>
      <c r="E156" s="179" t="s">
        <v>405</v>
      </c>
      <c r="F156" s="179" t="s">
        <v>6138</v>
      </c>
      <c r="G156" s="166"/>
      <c r="H156" s="166"/>
      <c r="I156" s="169"/>
      <c r="J156" s="180">
        <f>BK156</f>
        <v>0</v>
      </c>
      <c r="K156" s="166"/>
      <c r="L156" s="171"/>
      <c r="M156" s="172"/>
      <c r="N156" s="173"/>
      <c r="O156" s="173"/>
      <c r="P156" s="174">
        <f>SUM(P157:P196)</f>
        <v>0</v>
      </c>
      <c r="Q156" s="173"/>
      <c r="R156" s="174">
        <f>SUM(R157:R196)</f>
        <v>306.96809000000002</v>
      </c>
      <c r="S156" s="173"/>
      <c r="T156" s="175">
        <f>SUM(T157:T196)</f>
        <v>0</v>
      </c>
      <c r="AR156" s="176" t="s">
        <v>79</v>
      </c>
      <c r="AT156" s="177" t="s">
        <v>71</v>
      </c>
      <c r="AU156" s="177" t="s">
        <v>79</v>
      </c>
      <c r="AY156" s="176" t="s">
        <v>380</v>
      </c>
      <c r="BK156" s="178">
        <f>SUM(BK157:BK196)</f>
        <v>0</v>
      </c>
    </row>
    <row r="157" spans="1:65" s="2" customFormat="1" ht="24.2" customHeight="1">
      <c r="A157" s="36"/>
      <c r="B157" s="37"/>
      <c r="C157" s="181" t="s">
        <v>500</v>
      </c>
      <c r="D157" s="181" t="s">
        <v>382</v>
      </c>
      <c r="E157" s="182" t="s">
        <v>6139</v>
      </c>
      <c r="F157" s="183" t="s">
        <v>6140</v>
      </c>
      <c r="G157" s="184" t="s">
        <v>398</v>
      </c>
      <c r="H157" s="185">
        <v>85</v>
      </c>
      <c r="I157" s="186"/>
      <c r="J157" s="187">
        <f>ROUND(I157*H157,2)</f>
        <v>0</v>
      </c>
      <c r="K157" s="183" t="s">
        <v>399</v>
      </c>
      <c r="L157" s="41"/>
      <c r="M157" s="188" t="s">
        <v>19</v>
      </c>
      <c r="N157" s="189" t="s">
        <v>43</v>
      </c>
      <c r="O157" s="66"/>
      <c r="P157" s="190">
        <f>O157*H157</f>
        <v>0</v>
      </c>
      <c r="Q157" s="190">
        <v>0.10373</v>
      </c>
      <c r="R157" s="190">
        <f>Q157*H157</f>
        <v>8.8170500000000001</v>
      </c>
      <c r="S157" s="190">
        <v>0</v>
      </c>
      <c r="T157" s="191">
        <f>S157*H157</f>
        <v>0</v>
      </c>
      <c r="U157" s="36"/>
      <c r="V157" s="36"/>
      <c r="W157" s="36"/>
      <c r="X157" s="36"/>
      <c r="Y157" s="36"/>
      <c r="Z157" s="36"/>
      <c r="AA157" s="36"/>
      <c r="AB157" s="36"/>
      <c r="AC157" s="36"/>
      <c r="AD157" s="36"/>
      <c r="AE157" s="36"/>
      <c r="AR157" s="192" t="s">
        <v>386</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386</v>
      </c>
      <c r="BM157" s="192" t="s">
        <v>6141</v>
      </c>
    </row>
    <row r="158" spans="1:65" s="2" customFormat="1" ht="19.5">
      <c r="A158" s="36"/>
      <c r="B158" s="37"/>
      <c r="C158" s="38"/>
      <c r="D158" s="196" t="s">
        <v>1226</v>
      </c>
      <c r="E158" s="38"/>
      <c r="F158" s="248" t="s">
        <v>6142</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82</v>
      </c>
    </row>
    <row r="159" spans="1:65" s="2" customFormat="1" ht="16.5" customHeight="1">
      <c r="A159" s="36"/>
      <c r="B159" s="37"/>
      <c r="C159" s="181" t="s">
        <v>505</v>
      </c>
      <c r="D159" s="181" t="s">
        <v>382</v>
      </c>
      <c r="E159" s="182" t="s">
        <v>6143</v>
      </c>
      <c r="F159" s="183" t="s">
        <v>6144</v>
      </c>
      <c r="G159" s="184" t="s">
        <v>398</v>
      </c>
      <c r="H159" s="185">
        <v>85</v>
      </c>
      <c r="I159" s="186"/>
      <c r="J159" s="187">
        <f>ROUND(I159*H159,2)</f>
        <v>0</v>
      </c>
      <c r="K159" s="183" t="s">
        <v>399</v>
      </c>
      <c r="L159" s="41"/>
      <c r="M159" s="188" t="s">
        <v>19</v>
      </c>
      <c r="N159" s="189" t="s">
        <v>43</v>
      </c>
      <c r="O159" s="66"/>
      <c r="P159" s="190">
        <f>O159*H159</f>
        <v>0</v>
      </c>
      <c r="Q159" s="190">
        <v>7.1000000000000002E-4</v>
      </c>
      <c r="R159" s="190">
        <f>Q159*H159</f>
        <v>6.0350000000000001E-2</v>
      </c>
      <c r="S159" s="190">
        <v>0</v>
      </c>
      <c r="T159" s="191">
        <f>S159*H159</f>
        <v>0</v>
      </c>
      <c r="U159" s="36"/>
      <c r="V159" s="36"/>
      <c r="W159" s="36"/>
      <c r="X159" s="36"/>
      <c r="Y159" s="36"/>
      <c r="Z159" s="36"/>
      <c r="AA159" s="36"/>
      <c r="AB159" s="36"/>
      <c r="AC159" s="36"/>
      <c r="AD159" s="36"/>
      <c r="AE159" s="36"/>
      <c r="AR159" s="192" t="s">
        <v>386</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386</v>
      </c>
      <c r="BM159" s="192" t="s">
        <v>6145</v>
      </c>
    </row>
    <row r="160" spans="1:65" s="2" customFormat="1" ht="19.5">
      <c r="A160" s="36"/>
      <c r="B160" s="37"/>
      <c r="C160" s="38"/>
      <c r="D160" s="196" t="s">
        <v>1226</v>
      </c>
      <c r="E160" s="38"/>
      <c r="F160" s="248" t="s">
        <v>6142</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82</v>
      </c>
    </row>
    <row r="161" spans="1:65" s="2" customFormat="1" ht="24.2" customHeight="1">
      <c r="A161" s="36"/>
      <c r="B161" s="37"/>
      <c r="C161" s="181" t="s">
        <v>509</v>
      </c>
      <c r="D161" s="181" t="s">
        <v>382</v>
      </c>
      <c r="E161" s="182" t="s">
        <v>6146</v>
      </c>
      <c r="F161" s="183" t="s">
        <v>6147</v>
      </c>
      <c r="G161" s="184" t="s">
        <v>398</v>
      </c>
      <c r="H161" s="185">
        <v>85</v>
      </c>
      <c r="I161" s="186"/>
      <c r="J161" s="187">
        <f>ROUND(I161*H161,2)</f>
        <v>0</v>
      </c>
      <c r="K161" s="183" t="s">
        <v>399</v>
      </c>
      <c r="L161" s="41"/>
      <c r="M161" s="188" t="s">
        <v>19</v>
      </c>
      <c r="N161" s="189" t="s">
        <v>43</v>
      </c>
      <c r="O161" s="66"/>
      <c r="P161" s="190">
        <f>O161*H161</f>
        <v>0</v>
      </c>
      <c r="Q161" s="190">
        <v>0.21099999999999999</v>
      </c>
      <c r="R161" s="190">
        <f>Q161*H161</f>
        <v>17.934999999999999</v>
      </c>
      <c r="S161" s="190">
        <v>0</v>
      </c>
      <c r="T161" s="191">
        <f>S161*H161</f>
        <v>0</v>
      </c>
      <c r="U161" s="36"/>
      <c r="V161" s="36"/>
      <c r="W161" s="36"/>
      <c r="X161" s="36"/>
      <c r="Y161" s="36"/>
      <c r="Z161" s="36"/>
      <c r="AA161" s="36"/>
      <c r="AB161" s="36"/>
      <c r="AC161" s="36"/>
      <c r="AD161" s="36"/>
      <c r="AE161" s="36"/>
      <c r="AR161" s="192" t="s">
        <v>386</v>
      </c>
      <c r="AT161" s="192" t="s">
        <v>382</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386</v>
      </c>
      <c r="BM161" s="192" t="s">
        <v>6148</v>
      </c>
    </row>
    <row r="162" spans="1:65" s="2" customFormat="1" ht="19.5">
      <c r="A162" s="36"/>
      <c r="B162" s="37"/>
      <c r="C162" s="38"/>
      <c r="D162" s="196" t="s">
        <v>1226</v>
      </c>
      <c r="E162" s="38"/>
      <c r="F162" s="248" t="s">
        <v>6142</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1226</v>
      </c>
      <c r="AU162" s="19" t="s">
        <v>82</v>
      </c>
    </row>
    <row r="163" spans="1:65" s="2" customFormat="1" ht="16.5" customHeight="1">
      <c r="A163" s="36"/>
      <c r="B163" s="37"/>
      <c r="C163" s="181" t="s">
        <v>514</v>
      </c>
      <c r="D163" s="181" t="s">
        <v>382</v>
      </c>
      <c r="E163" s="182" t="s">
        <v>6149</v>
      </c>
      <c r="F163" s="183" t="s">
        <v>6150</v>
      </c>
      <c r="G163" s="184" t="s">
        <v>398</v>
      </c>
      <c r="H163" s="185">
        <v>85</v>
      </c>
      <c r="I163" s="186"/>
      <c r="J163" s="187">
        <f>ROUND(I163*H163,2)</f>
        <v>0</v>
      </c>
      <c r="K163" s="183" t="s">
        <v>399</v>
      </c>
      <c r="L163" s="41"/>
      <c r="M163" s="188" t="s">
        <v>19</v>
      </c>
      <c r="N163" s="189" t="s">
        <v>43</v>
      </c>
      <c r="O163" s="66"/>
      <c r="P163" s="190">
        <f>O163*H163</f>
        <v>0</v>
      </c>
      <c r="Q163" s="190">
        <v>6.0099999999999997E-3</v>
      </c>
      <c r="R163" s="190">
        <f>Q163*H163</f>
        <v>0.51085000000000003</v>
      </c>
      <c r="S163" s="190">
        <v>0</v>
      </c>
      <c r="T163" s="191">
        <f>S163*H163</f>
        <v>0</v>
      </c>
      <c r="U163" s="36"/>
      <c r="V163" s="36"/>
      <c r="W163" s="36"/>
      <c r="X163" s="36"/>
      <c r="Y163" s="36"/>
      <c r="Z163" s="36"/>
      <c r="AA163" s="36"/>
      <c r="AB163" s="36"/>
      <c r="AC163" s="36"/>
      <c r="AD163" s="36"/>
      <c r="AE163" s="36"/>
      <c r="AR163" s="192" t="s">
        <v>386</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386</v>
      </c>
      <c r="BM163" s="192" t="s">
        <v>6151</v>
      </c>
    </row>
    <row r="164" spans="1:65" s="2" customFormat="1" ht="19.5">
      <c r="A164" s="36"/>
      <c r="B164" s="37"/>
      <c r="C164" s="38"/>
      <c r="D164" s="196" t="s">
        <v>1226</v>
      </c>
      <c r="E164" s="38"/>
      <c r="F164" s="248" t="s">
        <v>6142</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82</v>
      </c>
    </row>
    <row r="165" spans="1:65" s="2" customFormat="1" ht="24.2" customHeight="1">
      <c r="A165" s="36"/>
      <c r="B165" s="37"/>
      <c r="C165" s="181" t="s">
        <v>520</v>
      </c>
      <c r="D165" s="181" t="s">
        <v>382</v>
      </c>
      <c r="E165" s="182" t="s">
        <v>6152</v>
      </c>
      <c r="F165" s="183" t="s">
        <v>6153</v>
      </c>
      <c r="G165" s="184" t="s">
        <v>398</v>
      </c>
      <c r="H165" s="185">
        <v>85</v>
      </c>
      <c r="I165" s="186"/>
      <c r="J165" s="187">
        <f>ROUND(I165*H165,2)</f>
        <v>0</v>
      </c>
      <c r="K165" s="183" t="s">
        <v>399</v>
      </c>
      <c r="L165" s="41"/>
      <c r="M165" s="188" t="s">
        <v>19</v>
      </c>
      <c r="N165" s="189" t="s">
        <v>43</v>
      </c>
      <c r="O165" s="66"/>
      <c r="P165" s="190">
        <f>O165*H165</f>
        <v>0</v>
      </c>
      <c r="Q165" s="190">
        <v>0.37190400000000001</v>
      </c>
      <c r="R165" s="190">
        <f>Q165*H165</f>
        <v>31.611840000000001</v>
      </c>
      <c r="S165" s="190">
        <v>0</v>
      </c>
      <c r="T165" s="191">
        <f>S165*H165</f>
        <v>0</v>
      </c>
      <c r="U165" s="36"/>
      <c r="V165" s="36"/>
      <c r="W165" s="36"/>
      <c r="X165" s="36"/>
      <c r="Y165" s="36"/>
      <c r="Z165" s="36"/>
      <c r="AA165" s="36"/>
      <c r="AB165" s="36"/>
      <c r="AC165" s="36"/>
      <c r="AD165" s="36"/>
      <c r="AE165" s="36"/>
      <c r="AR165" s="192" t="s">
        <v>386</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386</v>
      </c>
      <c r="BM165" s="192" t="s">
        <v>6154</v>
      </c>
    </row>
    <row r="166" spans="1:65" s="2" customFormat="1" ht="19.5">
      <c r="A166" s="36"/>
      <c r="B166" s="37"/>
      <c r="C166" s="38"/>
      <c r="D166" s="196" t="s">
        <v>1226</v>
      </c>
      <c r="E166" s="38"/>
      <c r="F166" s="248" t="s">
        <v>6142</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1226</v>
      </c>
      <c r="AU166" s="19" t="s">
        <v>82</v>
      </c>
    </row>
    <row r="167" spans="1:65" s="2" customFormat="1" ht="16.5" customHeight="1">
      <c r="A167" s="36"/>
      <c r="B167" s="37"/>
      <c r="C167" s="181" t="s">
        <v>525</v>
      </c>
      <c r="D167" s="181" t="s">
        <v>382</v>
      </c>
      <c r="E167" s="182" t="s">
        <v>6155</v>
      </c>
      <c r="F167" s="183" t="s">
        <v>6156</v>
      </c>
      <c r="G167" s="184" t="s">
        <v>398</v>
      </c>
      <c r="H167" s="185">
        <v>90</v>
      </c>
      <c r="I167" s="186"/>
      <c r="J167" s="187">
        <f>ROUND(I167*H167,2)</f>
        <v>0</v>
      </c>
      <c r="K167" s="183" t="s">
        <v>399</v>
      </c>
      <c r="L167" s="41"/>
      <c r="M167" s="188" t="s">
        <v>19</v>
      </c>
      <c r="N167" s="189" t="s">
        <v>43</v>
      </c>
      <c r="O167" s="66"/>
      <c r="P167" s="190">
        <f>O167*H167</f>
        <v>0</v>
      </c>
      <c r="Q167" s="190">
        <v>0.378</v>
      </c>
      <c r="R167" s="190">
        <f>Q167*H167</f>
        <v>34.020000000000003</v>
      </c>
      <c r="S167" s="190">
        <v>0</v>
      </c>
      <c r="T167" s="191">
        <f>S167*H167</f>
        <v>0</v>
      </c>
      <c r="U167" s="36"/>
      <c r="V167" s="36"/>
      <c r="W167" s="36"/>
      <c r="X167" s="36"/>
      <c r="Y167" s="36"/>
      <c r="Z167" s="36"/>
      <c r="AA167" s="36"/>
      <c r="AB167" s="36"/>
      <c r="AC167" s="36"/>
      <c r="AD167" s="36"/>
      <c r="AE167" s="36"/>
      <c r="AR167" s="192" t="s">
        <v>386</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386</v>
      </c>
      <c r="BM167" s="192" t="s">
        <v>6157</v>
      </c>
    </row>
    <row r="168" spans="1:65" s="2" customFormat="1" ht="19.5">
      <c r="A168" s="36"/>
      <c r="B168" s="37"/>
      <c r="C168" s="38"/>
      <c r="D168" s="196" t="s">
        <v>1226</v>
      </c>
      <c r="E168" s="38"/>
      <c r="F168" s="248" t="s">
        <v>6142</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1226</v>
      </c>
      <c r="AU168" s="19" t="s">
        <v>82</v>
      </c>
    </row>
    <row r="169" spans="1:65" s="2" customFormat="1" ht="37.9" customHeight="1">
      <c r="A169" s="36"/>
      <c r="B169" s="37"/>
      <c r="C169" s="181" t="s">
        <v>529</v>
      </c>
      <c r="D169" s="181" t="s">
        <v>382</v>
      </c>
      <c r="E169" s="182" t="s">
        <v>6158</v>
      </c>
      <c r="F169" s="183" t="s">
        <v>6159</v>
      </c>
      <c r="G169" s="184" t="s">
        <v>398</v>
      </c>
      <c r="H169" s="185">
        <v>105</v>
      </c>
      <c r="I169" s="186"/>
      <c r="J169" s="187">
        <f>ROUND(I169*H169,2)</f>
        <v>0</v>
      </c>
      <c r="K169" s="183" t="s">
        <v>399</v>
      </c>
      <c r="L169" s="41"/>
      <c r="M169" s="188" t="s">
        <v>19</v>
      </c>
      <c r="N169" s="189" t="s">
        <v>43</v>
      </c>
      <c r="O169" s="66"/>
      <c r="P169" s="190">
        <f>O169*H169</f>
        <v>0</v>
      </c>
      <c r="Q169" s="190">
        <v>9.8000000000000004E-2</v>
      </c>
      <c r="R169" s="190">
        <f>Q169*H169</f>
        <v>10.290000000000001</v>
      </c>
      <c r="S169" s="190">
        <v>0</v>
      </c>
      <c r="T169" s="191">
        <f>S169*H169</f>
        <v>0</v>
      </c>
      <c r="U169" s="36"/>
      <c r="V169" s="36"/>
      <c r="W169" s="36"/>
      <c r="X169" s="36"/>
      <c r="Y169" s="36"/>
      <c r="Z169" s="36"/>
      <c r="AA169" s="36"/>
      <c r="AB169" s="36"/>
      <c r="AC169" s="36"/>
      <c r="AD169" s="36"/>
      <c r="AE169" s="36"/>
      <c r="AR169" s="192" t="s">
        <v>386</v>
      </c>
      <c r="AT169" s="192" t="s">
        <v>382</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386</v>
      </c>
      <c r="BM169" s="192" t="s">
        <v>6160</v>
      </c>
    </row>
    <row r="170" spans="1:65" s="2" customFormat="1" ht="19.5">
      <c r="A170" s="36"/>
      <c r="B170" s="37"/>
      <c r="C170" s="38"/>
      <c r="D170" s="196" t="s">
        <v>1226</v>
      </c>
      <c r="E170" s="38"/>
      <c r="F170" s="248" t="s">
        <v>6161</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82</v>
      </c>
    </row>
    <row r="171" spans="1:65" s="2" customFormat="1" ht="16.5" customHeight="1">
      <c r="A171" s="36"/>
      <c r="B171" s="37"/>
      <c r="C171" s="227" t="s">
        <v>534</v>
      </c>
      <c r="D171" s="227" t="s">
        <v>465</v>
      </c>
      <c r="E171" s="228" t="s">
        <v>6162</v>
      </c>
      <c r="F171" s="229" t="s">
        <v>6163</v>
      </c>
      <c r="G171" s="230" t="s">
        <v>398</v>
      </c>
      <c r="H171" s="231">
        <v>100.94</v>
      </c>
      <c r="I171" s="232"/>
      <c r="J171" s="233">
        <f>ROUND(I171*H171,2)</f>
        <v>0</v>
      </c>
      <c r="K171" s="229" t="s">
        <v>19</v>
      </c>
      <c r="L171" s="234"/>
      <c r="M171" s="235" t="s">
        <v>19</v>
      </c>
      <c r="N171" s="236" t="s">
        <v>43</v>
      </c>
      <c r="O171" s="66"/>
      <c r="P171" s="190">
        <f>O171*H171</f>
        <v>0</v>
      </c>
      <c r="Q171" s="190">
        <v>0.17599999999999999</v>
      </c>
      <c r="R171" s="190">
        <f>Q171*H171</f>
        <v>17.765439999999998</v>
      </c>
      <c r="S171" s="190">
        <v>0</v>
      </c>
      <c r="T171" s="191">
        <f>S171*H171</f>
        <v>0</v>
      </c>
      <c r="U171" s="36"/>
      <c r="V171" s="36"/>
      <c r="W171" s="36"/>
      <c r="X171" s="36"/>
      <c r="Y171" s="36"/>
      <c r="Z171" s="36"/>
      <c r="AA171" s="36"/>
      <c r="AB171" s="36"/>
      <c r="AC171" s="36"/>
      <c r="AD171" s="36"/>
      <c r="AE171" s="36"/>
      <c r="AR171" s="192" t="s">
        <v>424</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386</v>
      </c>
      <c r="BM171" s="192" t="s">
        <v>6164</v>
      </c>
    </row>
    <row r="172" spans="1:65" s="2" customFormat="1" ht="19.5">
      <c r="A172" s="36"/>
      <c r="B172" s="37"/>
      <c r="C172" s="38"/>
      <c r="D172" s="196" t="s">
        <v>1226</v>
      </c>
      <c r="E172" s="38"/>
      <c r="F172" s="248" t="s">
        <v>6165</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82</v>
      </c>
    </row>
    <row r="173" spans="1:65" s="14" customFormat="1" ht="11.25">
      <c r="B173" s="205"/>
      <c r="C173" s="206"/>
      <c r="D173" s="196" t="s">
        <v>388</v>
      </c>
      <c r="E173" s="207" t="s">
        <v>19</v>
      </c>
      <c r="F173" s="208" t="s">
        <v>6166</v>
      </c>
      <c r="G173" s="206"/>
      <c r="H173" s="209">
        <v>100.94</v>
      </c>
      <c r="I173" s="210"/>
      <c r="J173" s="206"/>
      <c r="K173" s="206"/>
      <c r="L173" s="211"/>
      <c r="M173" s="212"/>
      <c r="N173" s="213"/>
      <c r="O173" s="213"/>
      <c r="P173" s="213"/>
      <c r="Q173" s="213"/>
      <c r="R173" s="213"/>
      <c r="S173" s="213"/>
      <c r="T173" s="214"/>
      <c r="AT173" s="215" t="s">
        <v>388</v>
      </c>
      <c r="AU173" s="215" t="s">
        <v>82</v>
      </c>
      <c r="AV173" s="14" t="s">
        <v>82</v>
      </c>
      <c r="AW173" s="14" t="s">
        <v>33</v>
      </c>
      <c r="AX173" s="14" t="s">
        <v>79</v>
      </c>
      <c r="AY173" s="215" t="s">
        <v>380</v>
      </c>
    </row>
    <row r="174" spans="1:65" s="2" customFormat="1" ht="16.5" customHeight="1">
      <c r="A174" s="36"/>
      <c r="B174" s="37"/>
      <c r="C174" s="227" t="s">
        <v>540</v>
      </c>
      <c r="D174" s="227" t="s">
        <v>465</v>
      </c>
      <c r="E174" s="228" t="s">
        <v>6167</v>
      </c>
      <c r="F174" s="229" t="s">
        <v>6168</v>
      </c>
      <c r="G174" s="230" t="s">
        <v>398</v>
      </c>
      <c r="H174" s="231">
        <v>7.21</v>
      </c>
      <c r="I174" s="232"/>
      <c r="J174" s="233">
        <f>ROUND(I174*H174,2)</f>
        <v>0</v>
      </c>
      <c r="K174" s="229" t="s">
        <v>399</v>
      </c>
      <c r="L174" s="234"/>
      <c r="M174" s="235" t="s">
        <v>19</v>
      </c>
      <c r="N174" s="236" t="s">
        <v>43</v>
      </c>
      <c r="O174" s="66"/>
      <c r="P174" s="190">
        <f>O174*H174</f>
        <v>0</v>
      </c>
      <c r="Q174" s="190">
        <v>0.17599999999999999</v>
      </c>
      <c r="R174" s="190">
        <f>Q174*H174</f>
        <v>1.2689599999999999</v>
      </c>
      <c r="S174" s="190">
        <v>0</v>
      </c>
      <c r="T174" s="191">
        <f>S174*H174</f>
        <v>0</v>
      </c>
      <c r="U174" s="36"/>
      <c r="V174" s="36"/>
      <c r="W174" s="36"/>
      <c r="X174" s="36"/>
      <c r="Y174" s="36"/>
      <c r="Z174" s="36"/>
      <c r="AA174" s="36"/>
      <c r="AB174" s="36"/>
      <c r="AC174" s="36"/>
      <c r="AD174" s="36"/>
      <c r="AE174" s="36"/>
      <c r="AR174" s="192" t="s">
        <v>424</v>
      </c>
      <c r="AT174" s="192" t="s">
        <v>465</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386</v>
      </c>
      <c r="BM174" s="192" t="s">
        <v>6169</v>
      </c>
    </row>
    <row r="175" spans="1:65" s="2" customFormat="1" ht="19.5">
      <c r="A175" s="36"/>
      <c r="B175" s="37"/>
      <c r="C175" s="38"/>
      <c r="D175" s="196" t="s">
        <v>1226</v>
      </c>
      <c r="E175" s="38"/>
      <c r="F175" s="248" t="s">
        <v>6170</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1226</v>
      </c>
      <c r="AU175" s="19" t="s">
        <v>82</v>
      </c>
    </row>
    <row r="176" spans="1:65" s="14" customFormat="1" ht="11.25">
      <c r="B176" s="205"/>
      <c r="C176" s="206"/>
      <c r="D176" s="196" t="s">
        <v>388</v>
      </c>
      <c r="E176" s="207" t="s">
        <v>19</v>
      </c>
      <c r="F176" s="208" t="s">
        <v>6171</v>
      </c>
      <c r="G176" s="206"/>
      <c r="H176" s="209">
        <v>7.21</v>
      </c>
      <c r="I176" s="210"/>
      <c r="J176" s="206"/>
      <c r="K176" s="206"/>
      <c r="L176" s="211"/>
      <c r="M176" s="212"/>
      <c r="N176" s="213"/>
      <c r="O176" s="213"/>
      <c r="P176" s="213"/>
      <c r="Q176" s="213"/>
      <c r="R176" s="213"/>
      <c r="S176" s="213"/>
      <c r="T176" s="214"/>
      <c r="AT176" s="215" t="s">
        <v>388</v>
      </c>
      <c r="AU176" s="215" t="s">
        <v>82</v>
      </c>
      <c r="AV176" s="14" t="s">
        <v>82</v>
      </c>
      <c r="AW176" s="14" t="s">
        <v>33</v>
      </c>
      <c r="AX176" s="14" t="s">
        <v>79</v>
      </c>
      <c r="AY176" s="215" t="s">
        <v>380</v>
      </c>
    </row>
    <row r="177" spans="1:65" s="2" customFormat="1" ht="16.5" customHeight="1">
      <c r="A177" s="36"/>
      <c r="B177" s="37"/>
      <c r="C177" s="181" t="s">
        <v>546</v>
      </c>
      <c r="D177" s="181" t="s">
        <v>382</v>
      </c>
      <c r="E177" s="182" t="s">
        <v>6172</v>
      </c>
      <c r="F177" s="183" t="s">
        <v>6156</v>
      </c>
      <c r="G177" s="184" t="s">
        <v>398</v>
      </c>
      <c r="H177" s="185">
        <v>105</v>
      </c>
      <c r="I177" s="186"/>
      <c r="J177" s="187">
        <f>ROUND(I177*H177,2)</f>
        <v>0</v>
      </c>
      <c r="K177" s="183" t="s">
        <v>399</v>
      </c>
      <c r="L177" s="41"/>
      <c r="M177" s="188" t="s">
        <v>19</v>
      </c>
      <c r="N177" s="189" t="s">
        <v>43</v>
      </c>
      <c r="O177" s="66"/>
      <c r="P177" s="190">
        <f>O177*H177</f>
        <v>0</v>
      </c>
      <c r="Q177" s="190">
        <v>0.378</v>
      </c>
      <c r="R177" s="190">
        <f>Q177*H177</f>
        <v>39.69</v>
      </c>
      <c r="S177" s="190">
        <v>0</v>
      </c>
      <c r="T177" s="191">
        <f>S177*H177</f>
        <v>0</v>
      </c>
      <c r="U177" s="36"/>
      <c r="V177" s="36"/>
      <c r="W177" s="36"/>
      <c r="X177" s="36"/>
      <c r="Y177" s="36"/>
      <c r="Z177" s="36"/>
      <c r="AA177" s="36"/>
      <c r="AB177" s="36"/>
      <c r="AC177" s="36"/>
      <c r="AD177" s="36"/>
      <c r="AE177" s="36"/>
      <c r="AR177" s="192" t="s">
        <v>386</v>
      </c>
      <c r="AT177" s="192" t="s">
        <v>382</v>
      </c>
      <c r="AU177" s="192" t="s">
        <v>82</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386</v>
      </c>
      <c r="BM177" s="192" t="s">
        <v>6173</v>
      </c>
    </row>
    <row r="178" spans="1:65" s="2" customFormat="1" ht="19.5">
      <c r="A178" s="36"/>
      <c r="B178" s="37"/>
      <c r="C178" s="38"/>
      <c r="D178" s="196" t="s">
        <v>1226</v>
      </c>
      <c r="E178" s="38"/>
      <c r="F178" s="248" t="s">
        <v>6161</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1226</v>
      </c>
      <c r="AU178" s="19" t="s">
        <v>82</v>
      </c>
    </row>
    <row r="179" spans="1:65" s="2" customFormat="1" ht="16.5" customHeight="1">
      <c r="A179" s="36"/>
      <c r="B179" s="37"/>
      <c r="C179" s="181" t="s">
        <v>552</v>
      </c>
      <c r="D179" s="181" t="s">
        <v>382</v>
      </c>
      <c r="E179" s="182" t="s">
        <v>6174</v>
      </c>
      <c r="F179" s="183" t="s">
        <v>6175</v>
      </c>
      <c r="G179" s="184" t="s">
        <v>398</v>
      </c>
      <c r="H179" s="185">
        <v>155</v>
      </c>
      <c r="I179" s="186"/>
      <c r="J179" s="187">
        <f>ROUND(I179*H179,2)</f>
        <v>0</v>
      </c>
      <c r="K179" s="183" t="s">
        <v>399</v>
      </c>
      <c r="L179" s="41"/>
      <c r="M179" s="188" t="s">
        <v>19</v>
      </c>
      <c r="N179" s="189" t="s">
        <v>43</v>
      </c>
      <c r="O179" s="66"/>
      <c r="P179" s="190">
        <f>O179*H179</f>
        <v>0</v>
      </c>
      <c r="Q179" s="190">
        <v>0.27994000000000002</v>
      </c>
      <c r="R179" s="190">
        <f>Q179*H179</f>
        <v>43.390700000000002</v>
      </c>
      <c r="S179" s="190">
        <v>0</v>
      </c>
      <c r="T179" s="191">
        <f>S179*H179</f>
        <v>0</v>
      </c>
      <c r="U179" s="36"/>
      <c r="V179" s="36"/>
      <c r="W179" s="36"/>
      <c r="X179" s="36"/>
      <c r="Y179" s="36"/>
      <c r="Z179" s="36"/>
      <c r="AA179" s="36"/>
      <c r="AB179" s="36"/>
      <c r="AC179" s="36"/>
      <c r="AD179" s="36"/>
      <c r="AE179" s="36"/>
      <c r="AR179" s="192" t="s">
        <v>386</v>
      </c>
      <c r="AT179" s="192" t="s">
        <v>382</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386</v>
      </c>
      <c r="BM179" s="192" t="s">
        <v>6176</v>
      </c>
    </row>
    <row r="180" spans="1:65" s="2" customFormat="1" ht="19.5">
      <c r="A180" s="36"/>
      <c r="B180" s="37"/>
      <c r="C180" s="38"/>
      <c r="D180" s="196" t="s">
        <v>1226</v>
      </c>
      <c r="E180" s="38"/>
      <c r="F180" s="248" t="s">
        <v>6177</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1226</v>
      </c>
      <c r="AU180" s="19" t="s">
        <v>82</v>
      </c>
    </row>
    <row r="181" spans="1:65" s="14" customFormat="1" ht="11.25">
      <c r="B181" s="205"/>
      <c r="C181" s="206"/>
      <c r="D181" s="196" t="s">
        <v>388</v>
      </c>
      <c r="E181" s="207" t="s">
        <v>19</v>
      </c>
      <c r="F181" s="208" t="s">
        <v>6178</v>
      </c>
      <c r="G181" s="206"/>
      <c r="H181" s="209">
        <v>155</v>
      </c>
      <c r="I181" s="210"/>
      <c r="J181" s="206"/>
      <c r="K181" s="206"/>
      <c r="L181" s="211"/>
      <c r="M181" s="212"/>
      <c r="N181" s="213"/>
      <c r="O181" s="213"/>
      <c r="P181" s="213"/>
      <c r="Q181" s="213"/>
      <c r="R181" s="213"/>
      <c r="S181" s="213"/>
      <c r="T181" s="214"/>
      <c r="AT181" s="215" t="s">
        <v>388</v>
      </c>
      <c r="AU181" s="215" t="s">
        <v>82</v>
      </c>
      <c r="AV181" s="14" t="s">
        <v>82</v>
      </c>
      <c r="AW181" s="14" t="s">
        <v>33</v>
      </c>
      <c r="AX181" s="14" t="s">
        <v>79</v>
      </c>
      <c r="AY181" s="215" t="s">
        <v>380</v>
      </c>
    </row>
    <row r="182" spans="1:65" s="2" customFormat="1" ht="37.9" customHeight="1">
      <c r="A182" s="36"/>
      <c r="B182" s="37"/>
      <c r="C182" s="181" t="s">
        <v>556</v>
      </c>
      <c r="D182" s="181" t="s">
        <v>382</v>
      </c>
      <c r="E182" s="182" t="s">
        <v>6179</v>
      </c>
      <c r="F182" s="183" t="s">
        <v>6180</v>
      </c>
      <c r="G182" s="184" t="s">
        <v>398</v>
      </c>
      <c r="H182" s="185">
        <v>160</v>
      </c>
      <c r="I182" s="186"/>
      <c r="J182" s="187">
        <f>ROUND(I182*H182,2)</f>
        <v>0</v>
      </c>
      <c r="K182" s="183" t="s">
        <v>399</v>
      </c>
      <c r="L182" s="41"/>
      <c r="M182" s="188" t="s">
        <v>19</v>
      </c>
      <c r="N182" s="189" t="s">
        <v>43</v>
      </c>
      <c r="O182" s="66"/>
      <c r="P182" s="190">
        <f>O182*H182</f>
        <v>0</v>
      </c>
      <c r="Q182" s="190">
        <v>8.4250000000000005E-2</v>
      </c>
      <c r="R182" s="190">
        <f>Q182*H182</f>
        <v>13.48</v>
      </c>
      <c r="S182" s="190">
        <v>0</v>
      </c>
      <c r="T182" s="191">
        <f>S182*H182</f>
        <v>0</v>
      </c>
      <c r="U182" s="36"/>
      <c r="V182" s="36"/>
      <c r="W182" s="36"/>
      <c r="X182" s="36"/>
      <c r="Y182" s="36"/>
      <c r="Z182" s="36"/>
      <c r="AA182" s="36"/>
      <c r="AB182" s="36"/>
      <c r="AC182" s="36"/>
      <c r="AD182" s="36"/>
      <c r="AE182" s="36"/>
      <c r="AR182" s="192" t="s">
        <v>386</v>
      </c>
      <c r="AT182" s="192" t="s">
        <v>382</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386</v>
      </c>
      <c r="BM182" s="192" t="s">
        <v>6181</v>
      </c>
    </row>
    <row r="183" spans="1:65" s="2" customFormat="1" ht="19.5">
      <c r="A183" s="36"/>
      <c r="B183" s="37"/>
      <c r="C183" s="38"/>
      <c r="D183" s="196" t="s">
        <v>1226</v>
      </c>
      <c r="E183" s="38"/>
      <c r="F183" s="248" t="s">
        <v>6182</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1226</v>
      </c>
      <c r="AU183" s="19" t="s">
        <v>82</v>
      </c>
    </row>
    <row r="184" spans="1:65" s="14" customFormat="1" ht="11.25">
      <c r="B184" s="205"/>
      <c r="C184" s="206"/>
      <c r="D184" s="196" t="s">
        <v>388</v>
      </c>
      <c r="E184" s="207" t="s">
        <v>19</v>
      </c>
      <c r="F184" s="208" t="s">
        <v>6183</v>
      </c>
      <c r="G184" s="206"/>
      <c r="H184" s="209">
        <v>160</v>
      </c>
      <c r="I184" s="210"/>
      <c r="J184" s="206"/>
      <c r="K184" s="206"/>
      <c r="L184" s="211"/>
      <c r="M184" s="212"/>
      <c r="N184" s="213"/>
      <c r="O184" s="213"/>
      <c r="P184" s="213"/>
      <c r="Q184" s="213"/>
      <c r="R184" s="213"/>
      <c r="S184" s="213"/>
      <c r="T184" s="214"/>
      <c r="AT184" s="215" t="s">
        <v>388</v>
      </c>
      <c r="AU184" s="215" t="s">
        <v>82</v>
      </c>
      <c r="AV184" s="14" t="s">
        <v>82</v>
      </c>
      <c r="AW184" s="14" t="s">
        <v>33</v>
      </c>
      <c r="AX184" s="14" t="s">
        <v>79</v>
      </c>
      <c r="AY184" s="215" t="s">
        <v>380</v>
      </c>
    </row>
    <row r="185" spans="1:65" s="2" customFormat="1" ht="16.5" customHeight="1">
      <c r="A185" s="36"/>
      <c r="B185" s="37"/>
      <c r="C185" s="227" t="s">
        <v>565</v>
      </c>
      <c r="D185" s="227" t="s">
        <v>465</v>
      </c>
      <c r="E185" s="228" t="s">
        <v>6184</v>
      </c>
      <c r="F185" s="229" t="s">
        <v>6185</v>
      </c>
      <c r="G185" s="230" t="s">
        <v>398</v>
      </c>
      <c r="H185" s="231">
        <v>159.65</v>
      </c>
      <c r="I185" s="232"/>
      <c r="J185" s="233">
        <f>ROUND(I185*H185,2)</f>
        <v>0</v>
      </c>
      <c r="K185" s="229" t="s">
        <v>399</v>
      </c>
      <c r="L185" s="234"/>
      <c r="M185" s="235" t="s">
        <v>19</v>
      </c>
      <c r="N185" s="236" t="s">
        <v>43</v>
      </c>
      <c r="O185" s="66"/>
      <c r="P185" s="190">
        <f>O185*H185</f>
        <v>0</v>
      </c>
      <c r="Q185" s="190">
        <v>0.13500000000000001</v>
      </c>
      <c r="R185" s="190">
        <f>Q185*H185</f>
        <v>21.552750000000003</v>
      </c>
      <c r="S185" s="190">
        <v>0</v>
      </c>
      <c r="T185" s="191">
        <f>S185*H185</f>
        <v>0</v>
      </c>
      <c r="U185" s="36"/>
      <c r="V185" s="36"/>
      <c r="W185" s="36"/>
      <c r="X185" s="36"/>
      <c r="Y185" s="36"/>
      <c r="Z185" s="36"/>
      <c r="AA185" s="36"/>
      <c r="AB185" s="36"/>
      <c r="AC185" s="36"/>
      <c r="AD185" s="36"/>
      <c r="AE185" s="36"/>
      <c r="AR185" s="192" t="s">
        <v>424</v>
      </c>
      <c r="AT185" s="192" t="s">
        <v>465</v>
      </c>
      <c r="AU185" s="192" t="s">
        <v>82</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386</v>
      </c>
      <c r="BM185" s="192" t="s">
        <v>6186</v>
      </c>
    </row>
    <row r="186" spans="1:65" s="2" customFormat="1" ht="19.5">
      <c r="A186" s="36"/>
      <c r="B186" s="37"/>
      <c r="C186" s="38"/>
      <c r="D186" s="196" t="s">
        <v>1226</v>
      </c>
      <c r="E186" s="38"/>
      <c r="F186" s="248" t="s">
        <v>6182</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1226</v>
      </c>
      <c r="AU186" s="19" t="s">
        <v>82</v>
      </c>
    </row>
    <row r="187" spans="1:65" s="14" customFormat="1" ht="11.25">
      <c r="B187" s="205"/>
      <c r="C187" s="206"/>
      <c r="D187" s="196" t="s">
        <v>388</v>
      </c>
      <c r="E187" s="207" t="s">
        <v>19</v>
      </c>
      <c r="F187" s="208" t="s">
        <v>6187</v>
      </c>
      <c r="G187" s="206"/>
      <c r="H187" s="209">
        <v>159.65</v>
      </c>
      <c r="I187" s="210"/>
      <c r="J187" s="206"/>
      <c r="K187" s="206"/>
      <c r="L187" s="211"/>
      <c r="M187" s="212"/>
      <c r="N187" s="213"/>
      <c r="O187" s="213"/>
      <c r="P187" s="213"/>
      <c r="Q187" s="213"/>
      <c r="R187" s="213"/>
      <c r="S187" s="213"/>
      <c r="T187" s="214"/>
      <c r="AT187" s="215" t="s">
        <v>388</v>
      </c>
      <c r="AU187" s="215" t="s">
        <v>82</v>
      </c>
      <c r="AV187" s="14" t="s">
        <v>82</v>
      </c>
      <c r="AW187" s="14" t="s">
        <v>33</v>
      </c>
      <c r="AX187" s="14" t="s">
        <v>79</v>
      </c>
      <c r="AY187" s="215" t="s">
        <v>380</v>
      </c>
    </row>
    <row r="188" spans="1:65" s="2" customFormat="1" ht="16.5" customHeight="1">
      <c r="A188" s="36"/>
      <c r="B188" s="37"/>
      <c r="C188" s="227" t="s">
        <v>579</v>
      </c>
      <c r="D188" s="227" t="s">
        <v>465</v>
      </c>
      <c r="E188" s="228" t="s">
        <v>6188</v>
      </c>
      <c r="F188" s="229" t="s">
        <v>6189</v>
      </c>
      <c r="G188" s="230" t="s">
        <v>398</v>
      </c>
      <c r="H188" s="231">
        <v>5.15</v>
      </c>
      <c r="I188" s="232"/>
      <c r="J188" s="233">
        <f>ROUND(I188*H188,2)</f>
        <v>0</v>
      </c>
      <c r="K188" s="229" t="s">
        <v>399</v>
      </c>
      <c r="L188" s="234"/>
      <c r="M188" s="235" t="s">
        <v>19</v>
      </c>
      <c r="N188" s="236" t="s">
        <v>43</v>
      </c>
      <c r="O188" s="66"/>
      <c r="P188" s="190">
        <f>O188*H188</f>
        <v>0</v>
      </c>
      <c r="Q188" s="190">
        <v>0.13100000000000001</v>
      </c>
      <c r="R188" s="190">
        <f>Q188*H188</f>
        <v>0.67465000000000008</v>
      </c>
      <c r="S188" s="190">
        <v>0</v>
      </c>
      <c r="T188" s="191">
        <f>S188*H188</f>
        <v>0</v>
      </c>
      <c r="U188" s="36"/>
      <c r="V188" s="36"/>
      <c r="W188" s="36"/>
      <c r="X188" s="36"/>
      <c r="Y188" s="36"/>
      <c r="Z188" s="36"/>
      <c r="AA188" s="36"/>
      <c r="AB188" s="36"/>
      <c r="AC188" s="36"/>
      <c r="AD188" s="36"/>
      <c r="AE188" s="36"/>
      <c r="AR188" s="192" t="s">
        <v>424</v>
      </c>
      <c r="AT188" s="192" t="s">
        <v>465</v>
      </c>
      <c r="AU188" s="192" t="s">
        <v>82</v>
      </c>
      <c r="AY188" s="19" t="s">
        <v>380</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386</v>
      </c>
      <c r="BM188" s="192" t="s">
        <v>6190</v>
      </c>
    </row>
    <row r="189" spans="1:65" s="2" customFormat="1" ht="19.5">
      <c r="A189" s="36"/>
      <c r="B189" s="37"/>
      <c r="C189" s="38"/>
      <c r="D189" s="196" t="s">
        <v>1226</v>
      </c>
      <c r="E189" s="38"/>
      <c r="F189" s="248" t="s">
        <v>6191</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1226</v>
      </c>
      <c r="AU189" s="19" t="s">
        <v>82</v>
      </c>
    </row>
    <row r="190" spans="1:65" s="14" customFormat="1" ht="11.25">
      <c r="B190" s="205"/>
      <c r="C190" s="206"/>
      <c r="D190" s="196" t="s">
        <v>388</v>
      </c>
      <c r="E190" s="207" t="s">
        <v>19</v>
      </c>
      <c r="F190" s="208" t="s">
        <v>6192</v>
      </c>
      <c r="G190" s="206"/>
      <c r="H190" s="209">
        <v>5.15</v>
      </c>
      <c r="I190" s="210"/>
      <c r="J190" s="206"/>
      <c r="K190" s="206"/>
      <c r="L190" s="211"/>
      <c r="M190" s="212"/>
      <c r="N190" s="213"/>
      <c r="O190" s="213"/>
      <c r="P190" s="213"/>
      <c r="Q190" s="213"/>
      <c r="R190" s="213"/>
      <c r="S190" s="213"/>
      <c r="T190" s="214"/>
      <c r="AT190" s="215" t="s">
        <v>388</v>
      </c>
      <c r="AU190" s="215" t="s">
        <v>82</v>
      </c>
      <c r="AV190" s="14" t="s">
        <v>82</v>
      </c>
      <c r="AW190" s="14" t="s">
        <v>33</v>
      </c>
      <c r="AX190" s="14" t="s">
        <v>79</v>
      </c>
      <c r="AY190" s="215" t="s">
        <v>380</v>
      </c>
    </row>
    <row r="191" spans="1:65" s="2" customFormat="1" ht="16.5" customHeight="1">
      <c r="A191" s="36"/>
      <c r="B191" s="37"/>
      <c r="C191" s="181" t="s">
        <v>600</v>
      </c>
      <c r="D191" s="181" t="s">
        <v>382</v>
      </c>
      <c r="E191" s="182" t="s">
        <v>6174</v>
      </c>
      <c r="F191" s="183" t="s">
        <v>6175</v>
      </c>
      <c r="G191" s="184" t="s">
        <v>398</v>
      </c>
      <c r="H191" s="185">
        <v>175</v>
      </c>
      <c r="I191" s="186"/>
      <c r="J191" s="187">
        <f>ROUND(I191*H191,2)</f>
        <v>0</v>
      </c>
      <c r="K191" s="183" t="s">
        <v>399</v>
      </c>
      <c r="L191" s="41"/>
      <c r="M191" s="188" t="s">
        <v>19</v>
      </c>
      <c r="N191" s="189" t="s">
        <v>43</v>
      </c>
      <c r="O191" s="66"/>
      <c r="P191" s="190">
        <f>O191*H191</f>
        <v>0</v>
      </c>
      <c r="Q191" s="190">
        <v>0.27994000000000002</v>
      </c>
      <c r="R191" s="190">
        <f>Q191*H191</f>
        <v>48.989500000000007</v>
      </c>
      <c r="S191" s="190">
        <v>0</v>
      </c>
      <c r="T191" s="191">
        <f>S191*H191</f>
        <v>0</v>
      </c>
      <c r="U191" s="36"/>
      <c r="V191" s="36"/>
      <c r="W191" s="36"/>
      <c r="X191" s="36"/>
      <c r="Y191" s="36"/>
      <c r="Z191" s="36"/>
      <c r="AA191" s="36"/>
      <c r="AB191" s="36"/>
      <c r="AC191" s="36"/>
      <c r="AD191" s="36"/>
      <c r="AE191" s="36"/>
      <c r="AR191" s="192" t="s">
        <v>386</v>
      </c>
      <c r="AT191" s="192" t="s">
        <v>382</v>
      </c>
      <c r="AU191" s="192" t="s">
        <v>82</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386</v>
      </c>
      <c r="BM191" s="192" t="s">
        <v>6193</v>
      </c>
    </row>
    <row r="192" spans="1:65" s="2" customFormat="1" ht="19.5">
      <c r="A192" s="36"/>
      <c r="B192" s="37"/>
      <c r="C192" s="38"/>
      <c r="D192" s="196" t="s">
        <v>1226</v>
      </c>
      <c r="E192" s="38"/>
      <c r="F192" s="248" t="s">
        <v>6182</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1226</v>
      </c>
      <c r="AU192" s="19" t="s">
        <v>82</v>
      </c>
    </row>
    <row r="193" spans="1:65" s="2" customFormat="1" ht="16.5" customHeight="1">
      <c r="A193" s="36"/>
      <c r="B193" s="37"/>
      <c r="C193" s="181" t="s">
        <v>619</v>
      </c>
      <c r="D193" s="181" t="s">
        <v>382</v>
      </c>
      <c r="E193" s="182" t="s">
        <v>6194</v>
      </c>
      <c r="F193" s="183" t="s">
        <v>6195</v>
      </c>
      <c r="G193" s="184" t="s">
        <v>398</v>
      </c>
      <c r="H193" s="185">
        <v>45</v>
      </c>
      <c r="I193" s="186"/>
      <c r="J193" s="187">
        <f>ROUND(I193*H193,2)</f>
        <v>0</v>
      </c>
      <c r="K193" s="183" t="s">
        <v>399</v>
      </c>
      <c r="L193" s="41"/>
      <c r="M193" s="188" t="s">
        <v>19</v>
      </c>
      <c r="N193" s="189" t="s">
        <v>43</v>
      </c>
      <c r="O193" s="66"/>
      <c r="P193" s="190">
        <f>O193*H193</f>
        <v>0</v>
      </c>
      <c r="Q193" s="190">
        <v>0.3674</v>
      </c>
      <c r="R193" s="190">
        <f>Q193*H193</f>
        <v>16.533000000000001</v>
      </c>
      <c r="S193" s="190">
        <v>0</v>
      </c>
      <c r="T193" s="191">
        <f>S193*H193</f>
        <v>0</v>
      </c>
      <c r="U193" s="36"/>
      <c r="V193" s="36"/>
      <c r="W193" s="36"/>
      <c r="X193" s="36"/>
      <c r="Y193" s="36"/>
      <c r="Z193" s="36"/>
      <c r="AA193" s="36"/>
      <c r="AB193" s="36"/>
      <c r="AC193" s="36"/>
      <c r="AD193" s="36"/>
      <c r="AE193" s="36"/>
      <c r="AR193" s="192" t="s">
        <v>386</v>
      </c>
      <c r="AT193" s="192" t="s">
        <v>382</v>
      </c>
      <c r="AU193" s="192" t="s">
        <v>82</v>
      </c>
      <c r="AY193" s="19" t="s">
        <v>380</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386</v>
      </c>
      <c r="BM193" s="192" t="s">
        <v>6196</v>
      </c>
    </row>
    <row r="194" spans="1:65" s="2" customFormat="1" ht="19.5">
      <c r="A194" s="36"/>
      <c r="B194" s="37"/>
      <c r="C194" s="38"/>
      <c r="D194" s="196" t="s">
        <v>1226</v>
      </c>
      <c r="E194" s="38"/>
      <c r="F194" s="248" t="s">
        <v>6197</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1226</v>
      </c>
      <c r="AU194" s="19" t="s">
        <v>82</v>
      </c>
    </row>
    <row r="195" spans="1:65" s="2" customFormat="1" ht="16.5" customHeight="1">
      <c r="A195" s="36"/>
      <c r="B195" s="37"/>
      <c r="C195" s="181" t="s">
        <v>623</v>
      </c>
      <c r="D195" s="181" t="s">
        <v>382</v>
      </c>
      <c r="E195" s="182" t="s">
        <v>6198</v>
      </c>
      <c r="F195" s="183" t="s">
        <v>6199</v>
      </c>
      <c r="G195" s="184" t="s">
        <v>452</v>
      </c>
      <c r="H195" s="185">
        <v>105</v>
      </c>
      <c r="I195" s="186"/>
      <c r="J195" s="187">
        <f>ROUND(I195*H195,2)</f>
        <v>0</v>
      </c>
      <c r="K195" s="183" t="s">
        <v>399</v>
      </c>
      <c r="L195" s="41"/>
      <c r="M195" s="188" t="s">
        <v>19</v>
      </c>
      <c r="N195" s="189" t="s">
        <v>43</v>
      </c>
      <c r="O195" s="66"/>
      <c r="P195" s="190">
        <f>O195*H195</f>
        <v>0</v>
      </c>
      <c r="Q195" s="190">
        <v>3.5999999999999999E-3</v>
      </c>
      <c r="R195" s="190">
        <f>Q195*H195</f>
        <v>0.378</v>
      </c>
      <c r="S195" s="190">
        <v>0</v>
      </c>
      <c r="T195" s="191">
        <f>S195*H195</f>
        <v>0</v>
      </c>
      <c r="U195" s="36"/>
      <c r="V195" s="36"/>
      <c r="W195" s="36"/>
      <c r="X195" s="36"/>
      <c r="Y195" s="36"/>
      <c r="Z195" s="36"/>
      <c r="AA195" s="36"/>
      <c r="AB195" s="36"/>
      <c r="AC195" s="36"/>
      <c r="AD195" s="36"/>
      <c r="AE195" s="36"/>
      <c r="AR195" s="192" t="s">
        <v>386</v>
      </c>
      <c r="AT195" s="192" t="s">
        <v>382</v>
      </c>
      <c r="AU195" s="192" t="s">
        <v>82</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386</v>
      </c>
      <c r="BM195" s="192" t="s">
        <v>6200</v>
      </c>
    </row>
    <row r="196" spans="1:65" s="2" customFormat="1" ht="19.5">
      <c r="A196" s="36"/>
      <c r="B196" s="37"/>
      <c r="C196" s="38"/>
      <c r="D196" s="196" t="s">
        <v>1226</v>
      </c>
      <c r="E196" s="38"/>
      <c r="F196" s="248" t="s">
        <v>6201</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1226</v>
      </c>
      <c r="AU196" s="19" t="s">
        <v>82</v>
      </c>
    </row>
    <row r="197" spans="1:65" s="12" customFormat="1" ht="22.9" customHeight="1">
      <c r="B197" s="165"/>
      <c r="C197" s="166"/>
      <c r="D197" s="167" t="s">
        <v>71</v>
      </c>
      <c r="E197" s="179" t="s">
        <v>430</v>
      </c>
      <c r="F197" s="179" t="s">
        <v>1285</v>
      </c>
      <c r="G197" s="166"/>
      <c r="H197" s="166"/>
      <c r="I197" s="169"/>
      <c r="J197" s="180">
        <f>BK197</f>
        <v>0</v>
      </c>
      <c r="K197" s="166"/>
      <c r="L197" s="171"/>
      <c r="M197" s="172"/>
      <c r="N197" s="173"/>
      <c r="O197" s="173"/>
      <c r="P197" s="174">
        <f>P198+P231</f>
        <v>0</v>
      </c>
      <c r="Q197" s="173"/>
      <c r="R197" s="174">
        <f>R198+R231</f>
        <v>55.649909800000003</v>
      </c>
      <c r="S197" s="173"/>
      <c r="T197" s="175">
        <f>T198+T231</f>
        <v>0</v>
      </c>
      <c r="AR197" s="176" t="s">
        <v>79</v>
      </c>
      <c r="AT197" s="177" t="s">
        <v>71</v>
      </c>
      <c r="AU197" s="177" t="s">
        <v>79</v>
      </c>
      <c r="AY197" s="176" t="s">
        <v>380</v>
      </c>
      <c r="BK197" s="178">
        <f>BK198+BK231</f>
        <v>0</v>
      </c>
    </row>
    <row r="198" spans="1:65" s="12" customFormat="1" ht="20.85" customHeight="1">
      <c r="B198" s="165"/>
      <c r="C198" s="166"/>
      <c r="D198" s="167" t="s">
        <v>71</v>
      </c>
      <c r="E198" s="179" t="s">
        <v>959</v>
      </c>
      <c r="F198" s="179" t="s">
        <v>6202</v>
      </c>
      <c r="G198" s="166"/>
      <c r="H198" s="166"/>
      <c r="I198" s="169"/>
      <c r="J198" s="180">
        <f>BK198</f>
        <v>0</v>
      </c>
      <c r="K198" s="166"/>
      <c r="L198" s="171"/>
      <c r="M198" s="172"/>
      <c r="N198" s="173"/>
      <c r="O198" s="173"/>
      <c r="P198" s="174">
        <f>SUM(P199:P230)</f>
        <v>0</v>
      </c>
      <c r="Q198" s="173"/>
      <c r="R198" s="174">
        <f>SUM(R199:R230)</f>
        <v>55.649909800000003</v>
      </c>
      <c r="S198" s="173"/>
      <c r="T198" s="175">
        <f>SUM(T199:T230)</f>
        <v>0</v>
      </c>
      <c r="AR198" s="176" t="s">
        <v>79</v>
      </c>
      <c r="AT198" s="177" t="s">
        <v>71</v>
      </c>
      <c r="AU198" s="177" t="s">
        <v>82</v>
      </c>
      <c r="AY198" s="176" t="s">
        <v>380</v>
      </c>
      <c r="BK198" s="178">
        <f>SUM(BK199:BK230)</f>
        <v>0</v>
      </c>
    </row>
    <row r="199" spans="1:65" s="2" customFormat="1" ht="16.5" customHeight="1">
      <c r="A199" s="36"/>
      <c r="B199" s="37"/>
      <c r="C199" s="181" t="s">
        <v>631</v>
      </c>
      <c r="D199" s="181" t="s">
        <v>382</v>
      </c>
      <c r="E199" s="182" t="s">
        <v>6203</v>
      </c>
      <c r="F199" s="183" t="s">
        <v>6204</v>
      </c>
      <c r="G199" s="184" t="s">
        <v>641</v>
      </c>
      <c r="H199" s="185">
        <v>1</v>
      </c>
      <c r="I199" s="186"/>
      <c r="J199" s="187">
        <f>ROUND(I199*H199,2)</f>
        <v>0</v>
      </c>
      <c r="K199" s="183" t="s">
        <v>399</v>
      </c>
      <c r="L199" s="41"/>
      <c r="M199" s="188" t="s">
        <v>19</v>
      </c>
      <c r="N199" s="189" t="s">
        <v>43</v>
      </c>
      <c r="O199" s="66"/>
      <c r="P199" s="190">
        <f>O199*H199</f>
        <v>0</v>
      </c>
      <c r="Q199" s="190">
        <v>6.9999999999999999E-4</v>
      </c>
      <c r="R199" s="190">
        <f>Q199*H199</f>
        <v>6.9999999999999999E-4</v>
      </c>
      <c r="S199" s="190">
        <v>0</v>
      </c>
      <c r="T199" s="191">
        <f>S199*H199</f>
        <v>0</v>
      </c>
      <c r="U199" s="36"/>
      <c r="V199" s="36"/>
      <c r="W199" s="36"/>
      <c r="X199" s="36"/>
      <c r="Y199" s="36"/>
      <c r="Z199" s="36"/>
      <c r="AA199" s="36"/>
      <c r="AB199" s="36"/>
      <c r="AC199" s="36"/>
      <c r="AD199" s="36"/>
      <c r="AE199" s="36"/>
      <c r="AR199" s="192" t="s">
        <v>386</v>
      </c>
      <c r="AT199" s="192" t="s">
        <v>382</v>
      </c>
      <c r="AU199" s="192" t="s">
        <v>99</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386</v>
      </c>
      <c r="BM199" s="192" t="s">
        <v>6205</v>
      </c>
    </row>
    <row r="200" spans="1:65" s="2" customFormat="1" ht="19.5">
      <c r="A200" s="36"/>
      <c r="B200" s="37"/>
      <c r="C200" s="38"/>
      <c r="D200" s="196" t="s">
        <v>1226</v>
      </c>
      <c r="E200" s="38"/>
      <c r="F200" s="248" t="s">
        <v>6206</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1226</v>
      </c>
      <c r="AU200" s="19" t="s">
        <v>99</v>
      </c>
    </row>
    <row r="201" spans="1:65" s="2" customFormat="1" ht="16.5" customHeight="1">
      <c r="A201" s="36"/>
      <c r="B201" s="37"/>
      <c r="C201" s="227" t="s">
        <v>638</v>
      </c>
      <c r="D201" s="227" t="s">
        <v>465</v>
      </c>
      <c r="E201" s="228" t="s">
        <v>6207</v>
      </c>
      <c r="F201" s="229" t="s">
        <v>6208</v>
      </c>
      <c r="G201" s="230" t="s">
        <v>641</v>
      </c>
      <c r="H201" s="231">
        <v>1</v>
      </c>
      <c r="I201" s="232"/>
      <c r="J201" s="233">
        <f>ROUND(I201*H201,2)</f>
        <v>0</v>
      </c>
      <c r="K201" s="229" t="s">
        <v>6209</v>
      </c>
      <c r="L201" s="234"/>
      <c r="M201" s="235" t="s">
        <v>19</v>
      </c>
      <c r="N201" s="236" t="s">
        <v>43</v>
      </c>
      <c r="O201" s="66"/>
      <c r="P201" s="190">
        <f>O201*H201</f>
        <v>0</v>
      </c>
      <c r="Q201" s="190">
        <v>3.5000000000000001E-3</v>
      </c>
      <c r="R201" s="190">
        <f>Q201*H201</f>
        <v>3.5000000000000001E-3</v>
      </c>
      <c r="S201" s="190">
        <v>0</v>
      </c>
      <c r="T201" s="191">
        <f>S201*H201</f>
        <v>0</v>
      </c>
      <c r="U201" s="36"/>
      <c r="V201" s="36"/>
      <c r="W201" s="36"/>
      <c r="X201" s="36"/>
      <c r="Y201" s="36"/>
      <c r="Z201" s="36"/>
      <c r="AA201" s="36"/>
      <c r="AB201" s="36"/>
      <c r="AC201" s="36"/>
      <c r="AD201" s="36"/>
      <c r="AE201" s="36"/>
      <c r="AR201" s="192" t="s">
        <v>424</v>
      </c>
      <c r="AT201" s="192" t="s">
        <v>465</v>
      </c>
      <c r="AU201" s="192" t="s">
        <v>99</v>
      </c>
      <c r="AY201" s="19" t="s">
        <v>380</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386</v>
      </c>
      <c r="BM201" s="192" t="s">
        <v>6210</v>
      </c>
    </row>
    <row r="202" spans="1:65" s="2" customFormat="1" ht="19.5">
      <c r="A202" s="36"/>
      <c r="B202" s="37"/>
      <c r="C202" s="38"/>
      <c r="D202" s="196" t="s">
        <v>1226</v>
      </c>
      <c r="E202" s="38"/>
      <c r="F202" s="248" t="s">
        <v>6211</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1226</v>
      </c>
      <c r="AU202" s="19" t="s">
        <v>99</v>
      </c>
    </row>
    <row r="203" spans="1:65" s="2" customFormat="1" ht="16.5" customHeight="1">
      <c r="A203" s="36"/>
      <c r="B203" s="37"/>
      <c r="C203" s="181" t="s">
        <v>644</v>
      </c>
      <c r="D203" s="181" t="s">
        <v>382</v>
      </c>
      <c r="E203" s="182" t="s">
        <v>6212</v>
      </c>
      <c r="F203" s="183" t="s">
        <v>6213</v>
      </c>
      <c r="G203" s="184" t="s">
        <v>641</v>
      </c>
      <c r="H203" s="185">
        <v>1</v>
      </c>
      <c r="I203" s="186"/>
      <c r="J203" s="187">
        <f>ROUND(I203*H203,2)</f>
        <v>0</v>
      </c>
      <c r="K203" s="183" t="s">
        <v>399</v>
      </c>
      <c r="L203" s="41"/>
      <c r="M203" s="188" t="s">
        <v>19</v>
      </c>
      <c r="N203" s="189" t="s">
        <v>43</v>
      </c>
      <c r="O203" s="66"/>
      <c r="P203" s="190">
        <f>O203*H203</f>
        <v>0</v>
      </c>
      <c r="Q203" s="190">
        <v>0.112405</v>
      </c>
      <c r="R203" s="190">
        <f>Q203*H203</f>
        <v>0.112405</v>
      </c>
      <c r="S203" s="190">
        <v>0</v>
      </c>
      <c r="T203" s="191">
        <f>S203*H203</f>
        <v>0</v>
      </c>
      <c r="U203" s="36"/>
      <c r="V203" s="36"/>
      <c r="W203" s="36"/>
      <c r="X203" s="36"/>
      <c r="Y203" s="36"/>
      <c r="Z203" s="36"/>
      <c r="AA203" s="36"/>
      <c r="AB203" s="36"/>
      <c r="AC203" s="36"/>
      <c r="AD203" s="36"/>
      <c r="AE203" s="36"/>
      <c r="AR203" s="192" t="s">
        <v>386</v>
      </c>
      <c r="AT203" s="192" t="s">
        <v>382</v>
      </c>
      <c r="AU203" s="192" t="s">
        <v>99</v>
      </c>
      <c r="AY203" s="19" t="s">
        <v>380</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386</v>
      </c>
      <c r="BM203" s="192" t="s">
        <v>6214</v>
      </c>
    </row>
    <row r="204" spans="1:65" s="2" customFormat="1" ht="19.5">
      <c r="A204" s="36"/>
      <c r="B204" s="37"/>
      <c r="C204" s="38"/>
      <c r="D204" s="196" t="s">
        <v>1226</v>
      </c>
      <c r="E204" s="38"/>
      <c r="F204" s="248" t="s">
        <v>6215</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1226</v>
      </c>
      <c r="AU204" s="19" t="s">
        <v>99</v>
      </c>
    </row>
    <row r="205" spans="1:65" s="2" customFormat="1" ht="16.5" customHeight="1">
      <c r="A205" s="36"/>
      <c r="B205" s="37"/>
      <c r="C205" s="227" t="s">
        <v>648</v>
      </c>
      <c r="D205" s="227" t="s">
        <v>465</v>
      </c>
      <c r="E205" s="228" t="s">
        <v>6216</v>
      </c>
      <c r="F205" s="229" t="s">
        <v>6217</v>
      </c>
      <c r="G205" s="230" t="s">
        <v>641</v>
      </c>
      <c r="H205" s="231">
        <v>1</v>
      </c>
      <c r="I205" s="232"/>
      <c r="J205" s="233">
        <f>ROUND(I205*H205,2)</f>
        <v>0</v>
      </c>
      <c r="K205" s="229" t="s">
        <v>399</v>
      </c>
      <c r="L205" s="234"/>
      <c r="M205" s="235" t="s">
        <v>19</v>
      </c>
      <c r="N205" s="236" t="s">
        <v>43</v>
      </c>
      <c r="O205" s="66"/>
      <c r="P205" s="190">
        <f>O205*H205</f>
        <v>0</v>
      </c>
      <c r="Q205" s="190">
        <v>2.5000000000000001E-3</v>
      </c>
      <c r="R205" s="190">
        <f>Q205*H205</f>
        <v>2.5000000000000001E-3</v>
      </c>
      <c r="S205" s="190">
        <v>0</v>
      </c>
      <c r="T205" s="191">
        <f>S205*H205</f>
        <v>0</v>
      </c>
      <c r="U205" s="36"/>
      <c r="V205" s="36"/>
      <c r="W205" s="36"/>
      <c r="X205" s="36"/>
      <c r="Y205" s="36"/>
      <c r="Z205" s="36"/>
      <c r="AA205" s="36"/>
      <c r="AB205" s="36"/>
      <c r="AC205" s="36"/>
      <c r="AD205" s="36"/>
      <c r="AE205" s="36"/>
      <c r="AR205" s="192" t="s">
        <v>424</v>
      </c>
      <c r="AT205" s="192" t="s">
        <v>465</v>
      </c>
      <c r="AU205" s="192" t="s">
        <v>99</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386</v>
      </c>
      <c r="BM205" s="192" t="s">
        <v>6218</v>
      </c>
    </row>
    <row r="206" spans="1:65" s="2" customFormat="1" ht="19.5">
      <c r="A206" s="36"/>
      <c r="B206" s="37"/>
      <c r="C206" s="38"/>
      <c r="D206" s="196" t="s">
        <v>1226</v>
      </c>
      <c r="E206" s="38"/>
      <c r="F206" s="248" t="s">
        <v>6219</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1226</v>
      </c>
      <c r="AU206" s="19" t="s">
        <v>99</v>
      </c>
    </row>
    <row r="207" spans="1:65" s="2" customFormat="1" ht="21.75" customHeight="1">
      <c r="A207" s="36"/>
      <c r="B207" s="37"/>
      <c r="C207" s="181" t="s">
        <v>652</v>
      </c>
      <c r="D207" s="181" t="s">
        <v>382</v>
      </c>
      <c r="E207" s="182" t="s">
        <v>6220</v>
      </c>
      <c r="F207" s="183" t="s">
        <v>6221</v>
      </c>
      <c r="G207" s="184" t="s">
        <v>398</v>
      </c>
      <c r="H207" s="185">
        <v>2</v>
      </c>
      <c r="I207" s="186"/>
      <c r="J207" s="187">
        <f>ROUND(I207*H207,2)</f>
        <v>0</v>
      </c>
      <c r="K207" s="183" t="s">
        <v>399</v>
      </c>
      <c r="L207" s="41"/>
      <c r="M207" s="188" t="s">
        <v>19</v>
      </c>
      <c r="N207" s="189" t="s">
        <v>43</v>
      </c>
      <c r="O207" s="66"/>
      <c r="P207" s="190">
        <f>O207*H207</f>
        <v>0</v>
      </c>
      <c r="Q207" s="190">
        <v>1.6000000000000001E-3</v>
      </c>
      <c r="R207" s="190">
        <f>Q207*H207</f>
        <v>3.2000000000000002E-3</v>
      </c>
      <c r="S207" s="190">
        <v>0</v>
      </c>
      <c r="T207" s="191">
        <f>S207*H207</f>
        <v>0</v>
      </c>
      <c r="U207" s="36"/>
      <c r="V207" s="36"/>
      <c r="W207" s="36"/>
      <c r="X207" s="36"/>
      <c r="Y207" s="36"/>
      <c r="Z207" s="36"/>
      <c r="AA207" s="36"/>
      <c r="AB207" s="36"/>
      <c r="AC207" s="36"/>
      <c r="AD207" s="36"/>
      <c r="AE207" s="36"/>
      <c r="AR207" s="192" t="s">
        <v>386</v>
      </c>
      <c r="AT207" s="192" t="s">
        <v>382</v>
      </c>
      <c r="AU207" s="192" t="s">
        <v>99</v>
      </c>
      <c r="AY207" s="19" t="s">
        <v>380</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386</v>
      </c>
      <c r="BM207" s="192" t="s">
        <v>6222</v>
      </c>
    </row>
    <row r="208" spans="1:65" s="2" customFormat="1" ht="19.5">
      <c r="A208" s="36"/>
      <c r="B208" s="37"/>
      <c r="C208" s="38"/>
      <c r="D208" s="196" t="s">
        <v>1226</v>
      </c>
      <c r="E208" s="38"/>
      <c r="F208" s="248" t="s">
        <v>6223</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1226</v>
      </c>
      <c r="AU208" s="19" t="s">
        <v>99</v>
      </c>
    </row>
    <row r="209" spans="1:65" s="2" customFormat="1" ht="24.2" customHeight="1">
      <c r="A209" s="36"/>
      <c r="B209" s="37"/>
      <c r="C209" s="181" t="s">
        <v>656</v>
      </c>
      <c r="D209" s="181" t="s">
        <v>382</v>
      </c>
      <c r="E209" s="182" t="s">
        <v>6224</v>
      </c>
      <c r="F209" s="183" t="s">
        <v>6225</v>
      </c>
      <c r="G209" s="184" t="s">
        <v>452</v>
      </c>
      <c r="H209" s="185">
        <v>115</v>
      </c>
      <c r="I209" s="186"/>
      <c r="J209" s="187">
        <f>ROUND(I209*H209,2)</f>
        <v>0</v>
      </c>
      <c r="K209" s="183" t="s">
        <v>399</v>
      </c>
      <c r="L209" s="41"/>
      <c r="M209" s="188" t="s">
        <v>19</v>
      </c>
      <c r="N209" s="189" t="s">
        <v>43</v>
      </c>
      <c r="O209" s="66"/>
      <c r="P209" s="190">
        <f>O209*H209</f>
        <v>0</v>
      </c>
      <c r="Q209" s="190">
        <v>0.15539952000000001</v>
      </c>
      <c r="R209" s="190">
        <f>Q209*H209</f>
        <v>17.8709448</v>
      </c>
      <c r="S209" s="190">
        <v>0</v>
      </c>
      <c r="T209" s="191">
        <f>S209*H209</f>
        <v>0</v>
      </c>
      <c r="U209" s="36"/>
      <c r="V209" s="36"/>
      <c r="W209" s="36"/>
      <c r="X209" s="36"/>
      <c r="Y209" s="36"/>
      <c r="Z209" s="36"/>
      <c r="AA209" s="36"/>
      <c r="AB209" s="36"/>
      <c r="AC209" s="36"/>
      <c r="AD209" s="36"/>
      <c r="AE209" s="36"/>
      <c r="AR209" s="192" t="s">
        <v>386</v>
      </c>
      <c r="AT209" s="192" t="s">
        <v>382</v>
      </c>
      <c r="AU209" s="192" t="s">
        <v>99</v>
      </c>
      <c r="AY209" s="19" t="s">
        <v>380</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386</v>
      </c>
      <c r="BM209" s="192" t="s">
        <v>6226</v>
      </c>
    </row>
    <row r="210" spans="1:65" s="2" customFormat="1" ht="19.5">
      <c r="A210" s="36"/>
      <c r="B210" s="37"/>
      <c r="C210" s="38"/>
      <c r="D210" s="196" t="s">
        <v>1226</v>
      </c>
      <c r="E210" s="38"/>
      <c r="F210" s="248" t="s">
        <v>6227</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1226</v>
      </c>
      <c r="AU210" s="19" t="s">
        <v>99</v>
      </c>
    </row>
    <row r="211" spans="1:65" s="14" customFormat="1" ht="11.25">
      <c r="B211" s="205"/>
      <c r="C211" s="206"/>
      <c r="D211" s="196" t="s">
        <v>388</v>
      </c>
      <c r="E211" s="207" t="s">
        <v>19</v>
      </c>
      <c r="F211" s="208" t="s">
        <v>6228</v>
      </c>
      <c r="G211" s="206"/>
      <c r="H211" s="209">
        <v>115</v>
      </c>
      <c r="I211" s="210"/>
      <c r="J211" s="206"/>
      <c r="K211" s="206"/>
      <c r="L211" s="211"/>
      <c r="M211" s="212"/>
      <c r="N211" s="213"/>
      <c r="O211" s="213"/>
      <c r="P211" s="213"/>
      <c r="Q211" s="213"/>
      <c r="R211" s="213"/>
      <c r="S211" s="213"/>
      <c r="T211" s="214"/>
      <c r="AT211" s="215" t="s">
        <v>388</v>
      </c>
      <c r="AU211" s="215" t="s">
        <v>99</v>
      </c>
      <c r="AV211" s="14" t="s">
        <v>82</v>
      </c>
      <c r="AW211" s="14" t="s">
        <v>33</v>
      </c>
      <c r="AX211" s="14" t="s">
        <v>79</v>
      </c>
      <c r="AY211" s="215" t="s">
        <v>380</v>
      </c>
    </row>
    <row r="212" spans="1:65" s="2" customFormat="1" ht="16.5" customHeight="1">
      <c r="A212" s="36"/>
      <c r="B212" s="37"/>
      <c r="C212" s="227" t="s">
        <v>660</v>
      </c>
      <c r="D212" s="227" t="s">
        <v>465</v>
      </c>
      <c r="E212" s="228" t="s">
        <v>6229</v>
      </c>
      <c r="F212" s="229" t="s">
        <v>6230</v>
      </c>
      <c r="G212" s="230" t="s">
        <v>452</v>
      </c>
      <c r="H212" s="231">
        <v>103</v>
      </c>
      <c r="I212" s="232"/>
      <c r="J212" s="233">
        <f>ROUND(I212*H212,2)</f>
        <v>0</v>
      </c>
      <c r="K212" s="229" t="s">
        <v>399</v>
      </c>
      <c r="L212" s="234"/>
      <c r="M212" s="235" t="s">
        <v>19</v>
      </c>
      <c r="N212" s="236" t="s">
        <v>43</v>
      </c>
      <c r="O212" s="66"/>
      <c r="P212" s="190">
        <f>O212*H212</f>
        <v>0</v>
      </c>
      <c r="Q212" s="190">
        <v>8.1000000000000003E-2</v>
      </c>
      <c r="R212" s="190">
        <f>Q212*H212</f>
        <v>8.343</v>
      </c>
      <c r="S212" s="190">
        <v>0</v>
      </c>
      <c r="T212" s="191">
        <f>S212*H212</f>
        <v>0</v>
      </c>
      <c r="U212" s="36"/>
      <c r="V212" s="36"/>
      <c r="W212" s="36"/>
      <c r="X212" s="36"/>
      <c r="Y212" s="36"/>
      <c r="Z212" s="36"/>
      <c r="AA212" s="36"/>
      <c r="AB212" s="36"/>
      <c r="AC212" s="36"/>
      <c r="AD212" s="36"/>
      <c r="AE212" s="36"/>
      <c r="AR212" s="192" t="s">
        <v>424</v>
      </c>
      <c r="AT212" s="192" t="s">
        <v>465</v>
      </c>
      <c r="AU212" s="192" t="s">
        <v>99</v>
      </c>
      <c r="AY212" s="19" t="s">
        <v>380</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386</v>
      </c>
      <c r="BM212" s="192" t="s">
        <v>6231</v>
      </c>
    </row>
    <row r="213" spans="1:65" s="2" customFormat="1" ht="19.5">
      <c r="A213" s="36"/>
      <c r="B213" s="37"/>
      <c r="C213" s="38"/>
      <c r="D213" s="196" t="s">
        <v>1226</v>
      </c>
      <c r="E213" s="38"/>
      <c r="F213" s="248" t="s">
        <v>6232</v>
      </c>
      <c r="G213" s="38"/>
      <c r="H213" s="38"/>
      <c r="I213" s="249"/>
      <c r="J213" s="38"/>
      <c r="K213" s="38"/>
      <c r="L213" s="41"/>
      <c r="M213" s="250"/>
      <c r="N213" s="251"/>
      <c r="O213" s="66"/>
      <c r="P213" s="66"/>
      <c r="Q213" s="66"/>
      <c r="R213" s="66"/>
      <c r="S213" s="66"/>
      <c r="T213" s="67"/>
      <c r="U213" s="36"/>
      <c r="V213" s="36"/>
      <c r="W213" s="36"/>
      <c r="X213" s="36"/>
      <c r="Y213" s="36"/>
      <c r="Z213" s="36"/>
      <c r="AA213" s="36"/>
      <c r="AB213" s="36"/>
      <c r="AC213" s="36"/>
      <c r="AD213" s="36"/>
      <c r="AE213" s="36"/>
      <c r="AT213" s="19" t="s">
        <v>1226</v>
      </c>
      <c r="AU213" s="19" t="s">
        <v>99</v>
      </c>
    </row>
    <row r="214" spans="1:65" s="14" customFormat="1" ht="11.25">
      <c r="B214" s="205"/>
      <c r="C214" s="206"/>
      <c r="D214" s="196" t="s">
        <v>388</v>
      </c>
      <c r="E214" s="207" t="s">
        <v>19</v>
      </c>
      <c r="F214" s="208" t="s">
        <v>6233</v>
      </c>
      <c r="G214" s="206"/>
      <c r="H214" s="209">
        <v>103</v>
      </c>
      <c r="I214" s="210"/>
      <c r="J214" s="206"/>
      <c r="K214" s="206"/>
      <c r="L214" s="211"/>
      <c r="M214" s="212"/>
      <c r="N214" s="213"/>
      <c r="O214" s="213"/>
      <c r="P214" s="213"/>
      <c r="Q214" s="213"/>
      <c r="R214" s="213"/>
      <c r="S214" s="213"/>
      <c r="T214" s="214"/>
      <c r="AT214" s="215" t="s">
        <v>388</v>
      </c>
      <c r="AU214" s="215" t="s">
        <v>99</v>
      </c>
      <c r="AV214" s="14" t="s">
        <v>82</v>
      </c>
      <c r="AW214" s="14" t="s">
        <v>33</v>
      </c>
      <c r="AX214" s="14" t="s">
        <v>79</v>
      </c>
      <c r="AY214" s="215" t="s">
        <v>380</v>
      </c>
    </row>
    <row r="215" spans="1:65" s="2" customFormat="1" ht="16.5" customHeight="1">
      <c r="A215" s="36"/>
      <c r="B215" s="37"/>
      <c r="C215" s="227" t="s">
        <v>664</v>
      </c>
      <c r="D215" s="227" t="s">
        <v>465</v>
      </c>
      <c r="E215" s="228" t="s">
        <v>6234</v>
      </c>
      <c r="F215" s="229" t="s">
        <v>6235</v>
      </c>
      <c r="G215" s="230" t="s">
        <v>452</v>
      </c>
      <c r="H215" s="231">
        <v>3.09</v>
      </c>
      <c r="I215" s="232"/>
      <c r="J215" s="233">
        <f>ROUND(I215*H215,2)</f>
        <v>0</v>
      </c>
      <c r="K215" s="229" t="s">
        <v>399</v>
      </c>
      <c r="L215" s="234"/>
      <c r="M215" s="235" t="s">
        <v>19</v>
      </c>
      <c r="N215" s="236" t="s">
        <v>43</v>
      </c>
      <c r="O215" s="66"/>
      <c r="P215" s="190">
        <f>O215*H215</f>
        <v>0</v>
      </c>
      <c r="Q215" s="190">
        <v>6.7000000000000004E-2</v>
      </c>
      <c r="R215" s="190">
        <f>Q215*H215</f>
        <v>0.20702999999999999</v>
      </c>
      <c r="S215" s="190">
        <v>0</v>
      </c>
      <c r="T215" s="191">
        <f>S215*H215</f>
        <v>0</v>
      </c>
      <c r="U215" s="36"/>
      <c r="V215" s="36"/>
      <c r="W215" s="36"/>
      <c r="X215" s="36"/>
      <c r="Y215" s="36"/>
      <c r="Z215" s="36"/>
      <c r="AA215" s="36"/>
      <c r="AB215" s="36"/>
      <c r="AC215" s="36"/>
      <c r="AD215" s="36"/>
      <c r="AE215" s="36"/>
      <c r="AR215" s="192" t="s">
        <v>424</v>
      </c>
      <c r="AT215" s="192" t="s">
        <v>465</v>
      </c>
      <c r="AU215" s="192" t="s">
        <v>99</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386</v>
      </c>
      <c r="BM215" s="192" t="s">
        <v>6236</v>
      </c>
    </row>
    <row r="216" spans="1:65" s="2" customFormat="1" ht="19.5">
      <c r="A216" s="36"/>
      <c r="B216" s="37"/>
      <c r="C216" s="38"/>
      <c r="D216" s="196" t="s">
        <v>1226</v>
      </c>
      <c r="E216" s="38"/>
      <c r="F216" s="248" t="s">
        <v>6237</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1226</v>
      </c>
      <c r="AU216" s="19" t="s">
        <v>99</v>
      </c>
    </row>
    <row r="217" spans="1:65" s="14" customFormat="1" ht="11.25">
      <c r="B217" s="205"/>
      <c r="C217" s="206"/>
      <c r="D217" s="196" t="s">
        <v>388</v>
      </c>
      <c r="E217" s="207" t="s">
        <v>19</v>
      </c>
      <c r="F217" s="208" t="s">
        <v>6238</v>
      </c>
      <c r="G217" s="206"/>
      <c r="H217" s="209">
        <v>3.09</v>
      </c>
      <c r="I217" s="210"/>
      <c r="J217" s="206"/>
      <c r="K217" s="206"/>
      <c r="L217" s="211"/>
      <c r="M217" s="212"/>
      <c r="N217" s="213"/>
      <c r="O217" s="213"/>
      <c r="P217" s="213"/>
      <c r="Q217" s="213"/>
      <c r="R217" s="213"/>
      <c r="S217" s="213"/>
      <c r="T217" s="214"/>
      <c r="AT217" s="215" t="s">
        <v>388</v>
      </c>
      <c r="AU217" s="215" t="s">
        <v>99</v>
      </c>
      <c r="AV217" s="14" t="s">
        <v>82</v>
      </c>
      <c r="AW217" s="14" t="s">
        <v>33</v>
      </c>
      <c r="AX217" s="14" t="s">
        <v>79</v>
      </c>
      <c r="AY217" s="215" t="s">
        <v>380</v>
      </c>
    </row>
    <row r="218" spans="1:65" s="2" customFormat="1" ht="16.5" customHeight="1">
      <c r="A218" s="36"/>
      <c r="B218" s="37"/>
      <c r="C218" s="227" t="s">
        <v>668</v>
      </c>
      <c r="D218" s="227" t="s">
        <v>465</v>
      </c>
      <c r="E218" s="228" t="s">
        <v>6239</v>
      </c>
      <c r="F218" s="229" t="s">
        <v>6240</v>
      </c>
      <c r="G218" s="230" t="s">
        <v>452</v>
      </c>
      <c r="H218" s="231">
        <v>12.36</v>
      </c>
      <c r="I218" s="232"/>
      <c r="J218" s="233">
        <f>ROUND(I218*H218,2)</f>
        <v>0</v>
      </c>
      <c r="K218" s="229" t="s">
        <v>399</v>
      </c>
      <c r="L218" s="234"/>
      <c r="M218" s="235" t="s">
        <v>19</v>
      </c>
      <c r="N218" s="236" t="s">
        <v>43</v>
      </c>
      <c r="O218" s="66"/>
      <c r="P218" s="190">
        <f>O218*H218</f>
        <v>0</v>
      </c>
      <c r="Q218" s="190">
        <v>4.8300000000000003E-2</v>
      </c>
      <c r="R218" s="190">
        <f>Q218*H218</f>
        <v>0.59698799999999996</v>
      </c>
      <c r="S218" s="190">
        <v>0</v>
      </c>
      <c r="T218" s="191">
        <f>S218*H218</f>
        <v>0</v>
      </c>
      <c r="U218" s="36"/>
      <c r="V218" s="36"/>
      <c r="W218" s="36"/>
      <c r="X218" s="36"/>
      <c r="Y218" s="36"/>
      <c r="Z218" s="36"/>
      <c r="AA218" s="36"/>
      <c r="AB218" s="36"/>
      <c r="AC218" s="36"/>
      <c r="AD218" s="36"/>
      <c r="AE218" s="36"/>
      <c r="AR218" s="192" t="s">
        <v>424</v>
      </c>
      <c r="AT218" s="192" t="s">
        <v>465</v>
      </c>
      <c r="AU218" s="192" t="s">
        <v>99</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386</v>
      </c>
      <c r="BM218" s="192" t="s">
        <v>6241</v>
      </c>
    </row>
    <row r="219" spans="1:65" s="2" customFormat="1" ht="19.5">
      <c r="A219" s="36"/>
      <c r="B219" s="37"/>
      <c r="C219" s="38"/>
      <c r="D219" s="196" t="s">
        <v>1226</v>
      </c>
      <c r="E219" s="38"/>
      <c r="F219" s="248" t="s">
        <v>6242</v>
      </c>
      <c r="G219" s="38"/>
      <c r="H219" s="38"/>
      <c r="I219" s="249"/>
      <c r="J219" s="38"/>
      <c r="K219" s="38"/>
      <c r="L219" s="41"/>
      <c r="M219" s="250"/>
      <c r="N219" s="251"/>
      <c r="O219" s="66"/>
      <c r="P219" s="66"/>
      <c r="Q219" s="66"/>
      <c r="R219" s="66"/>
      <c r="S219" s="66"/>
      <c r="T219" s="67"/>
      <c r="U219" s="36"/>
      <c r="V219" s="36"/>
      <c r="W219" s="36"/>
      <c r="X219" s="36"/>
      <c r="Y219" s="36"/>
      <c r="Z219" s="36"/>
      <c r="AA219" s="36"/>
      <c r="AB219" s="36"/>
      <c r="AC219" s="36"/>
      <c r="AD219" s="36"/>
      <c r="AE219" s="36"/>
      <c r="AT219" s="19" t="s">
        <v>1226</v>
      </c>
      <c r="AU219" s="19" t="s">
        <v>99</v>
      </c>
    </row>
    <row r="220" spans="1:65" s="14" customFormat="1" ht="11.25">
      <c r="B220" s="205"/>
      <c r="C220" s="206"/>
      <c r="D220" s="196" t="s">
        <v>388</v>
      </c>
      <c r="E220" s="207" t="s">
        <v>19</v>
      </c>
      <c r="F220" s="208" t="s">
        <v>6243</v>
      </c>
      <c r="G220" s="206"/>
      <c r="H220" s="209">
        <v>12.36</v>
      </c>
      <c r="I220" s="210"/>
      <c r="J220" s="206"/>
      <c r="K220" s="206"/>
      <c r="L220" s="211"/>
      <c r="M220" s="212"/>
      <c r="N220" s="213"/>
      <c r="O220" s="213"/>
      <c r="P220" s="213"/>
      <c r="Q220" s="213"/>
      <c r="R220" s="213"/>
      <c r="S220" s="213"/>
      <c r="T220" s="214"/>
      <c r="AT220" s="215" t="s">
        <v>388</v>
      </c>
      <c r="AU220" s="215" t="s">
        <v>99</v>
      </c>
      <c r="AV220" s="14" t="s">
        <v>82</v>
      </c>
      <c r="AW220" s="14" t="s">
        <v>33</v>
      </c>
      <c r="AX220" s="14" t="s">
        <v>79</v>
      </c>
      <c r="AY220" s="215" t="s">
        <v>380</v>
      </c>
    </row>
    <row r="221" spans="1:65" s="2" customFormat="1" ht="24.2" customHeight="1">
      <c r="A221" s="36"/>
      <c r="B221" s="37"/>
      <c r="C221" s="181" t="s">
        <v>672</v>
      </c>
      <c r="D221" s="181" t="s">
        <v>382</v>
      </c>
      <c r="E221" s="182" t="s">
        <v>6244</v>
      </c>
      <c r="F221" s="183" t="s">
        <v>6245</v>
      </c>
      <c r="G221" s="184" t="s">
        <v>452</v>
      </c>
      <c r="H221" s="185">
        <v>75</v>
      </c>
      <c r="I221" s="186"/>
      <c r="J221" s="187">
        <f>ROUND(I221*H221,2)</f>
        <v>0</v>
      </c>
      <c r="K221" s="183" t="s">
        <v>399</v>
      </c>
      <c r="L221" s="41"/>
      <c r="M221" s="188" t="s">
        <v>19</v>
      </c>
      <c r="N221" s="189" t="s">
        <v>43</v>
      </c>
      <c r="O221" s="66"/>
      <c r="P221" s="190">
        <f>O221*H221</f>
        <v>0</v>
      </c>
      <c r="Q221" s="190">
        <v>0.12949959999999999</v>
      </c>
      <c r="R221" s="190">
        <f>Q221*H221</f>
        <v>9.7124699999999997</v>
      </c>
      <c r="S221" s="190">
        <v>0</v>
      </c>
      <c r="T221" s="191">
        <f>S221*H221</f>
        <v>0</v>
      </c>
      <c r="U221" s="36"/>
      <c r="V221" s="36"/>
      <c r="W221" s="36"/>
      <c r="X221" s="36"/>
      <c r="Y221" s="36"/>
      <c r="Z221" s="36"/>
      <c r="AA221" s="36"/>
      <c r="AB221" s="36"/>
      <c r="AC221" s="36"/>
      <c r="AD221" s="36"/>
      <c r="AE221" s="36"/>
      <c r="AR221" s="192" t="s">
        <v>386</v>
      </c>
      <c r="AT221" s="192" t="s">
        <v>382</v>
      </c>
      <c r="AU221" s="192" t="s">
        <v>99</v>
      </c>
      <c r="AY221" s="19" t="s">
        <v>380</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386</v>
      </c>
      <c r="BM221" s="192" t="s">
        <v>6246</v>
      </c>
    </row>
    <row r="222" spans="1:65" s="2" customFormat="1" ht="19.5">
      <c r="A222" s="36"/>
      <c r="B222" s="37"/>
      <c r="C222" s="38"/>
      <c r="D222" s="196" t="s">
        <v>1226</v>
      </c>
      <c r="E222" s="38"/>
      <c r="F222" s="248" t="s">
        <v>6247</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1226</v>
      </c>
      <c r="AU222" s="19" t="s">
        <v>99</v>
      </c>
    </row>
    <row r="223" spans="1:65" s="2" customFormat="1" ht="16.5" customHeight="1">
      <c r="A223" s="36"/>
      <c r="B223" s="37"/>
      <c r="C223" s="227" t="s">
        <v>677</v>
      </c>
      <c r="D223" s="227" t="s">
        <v>465</v>
      </c>
      <c r="E223" s="228" t="s">
        <v>6248</v>
      </c>
      <c r="F223" s="229" t="s">
        <v>6249</v>
      </c>
      <c r="G223" s="230" t="s">
        <v>452</v>
      </c>
      <c r="H223" s="231">
        <v>77.25</v>
      </c>
      <c r="I223" s="232"/>
      <c r="J223" s="233">
        <f>ROUND(I223*H223,2)</f>
        <v>0</v>
      </c>
      <c r="K223" s="229" t="s">
        <v>399</v>
      </c>
      <c r="L223" s="234"/>
      <c r="M223" s="235" t="s">
        <v>19</v>
      </c>
      <c r="N223" s="236" t="s">
        <v>43</v>
      </c>
      <c r="O223" s="66"/>
      <c r="P223" s="190">
        <f>O223*H223</f>
        <v>0</v>
      </c>
      <c r="Q223" s="190">
        <v>5.5E-2</v>
      </c>
      <c r="R223" s="190">
        <f>Q223*H223</f>
        <v>4.2487500000000002</v>
      </c>
      <c r="S223" s="190">
        <v>0</v>
      </c>
      <c r="T223" s="191">
        <f>S223*H223</f>
        <v>0</v>
      </c>
      <c r="U223" s="36"/>
      <c r="V223" s="36"/>
      <c r="W223" s="36"/>
      <c r="X223" s="36"/>
      <c r="Y223" s="36"/>
      <c r="Z223" s="36"/>
      <c r="AA223" s="36"/>
      <c r="AB223" s="36"/>
      <c r="AC223" s="36"/>
      <c r="AD223" s="36"/>
      <c r="AE223" s="36"/>
      <c r="AR223" s="192" t="s">
        <v>424</v>
      </c>
      <c r="AT223" s="192" t="s">
        <v>465</v>
      </c>
      <c r="AU223" s="192" t="s">
        <v>99</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386</v>
      </c>
      <c r="BM223" s="192" t="s">
        <v>6250</v>
      </c>
    </row>
    <row r="224" spans="1:65" s="2" customFormat="1" ht="19.5">
      <c r="A224" s="36"/>
      <c r="B224" s="37"/>
      <c r="C224" s="38"/>
      <c r="D224" s="196" t="s">
        <v>1226</v>
      </c>
      <c r="E224" s="38"/>
      <c r="F224" s="248" t="s">
        <v>6251</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1226</v>
      </c>
      <c r="AU224" s="19" t="s">
        <v>99</v>
      </c>
    </row>
    <row r="225" spans="1:65" s="14" customFormat="1" ht="11.25">
      <c r="B225" s="205"/>
      <c r="C225" s="206"/>
      <c r="D225" s="196" t="s">
        <v>388</v>
      </c>
      <c r="E225" s="207" t="s">
        <v>19</v>
      </c>
      <c r="F225" s="208" t="s">
        <v>6252</v>
      </c>
      <c r="G225" s="206"/>
      <c r="H225" s="209">
        <v>77.25</v>
      </c>
      <c r="I225" s="210"/>
      <c r="J225" s="206"/>
      <c r="K225" s="206"/>
      <c r="L225" s="211"/>
      <c r="M225" s="212"/>
      <c r="N225" s="213"/>
      <c r="O225" s="213"/>
      <c r="P225" s="213"/>
      <c r="Q225" s="213"/>
      <c r="R225" s="213"/>
      <c r="S225" s="213"/>
      <c r="T225" s="214"/>
      <c r="AT225" s="215" t="s">
        <v>388</v>
      </c>
      <c r="AU225" s="215" t="s">
        <v>99</v>
      </c>
      <c r="AV225" s="14" t="s">
        <v>82</v>
      </c>
      <c r="AW225" s="14" t="s">
        <v>33</v>
      </c>
      <c r="AX225" s="14" t="s">
        <v>79</v>
      </c>
      <c r="AY225" s="215" t="s">
        <v>380</v>
      </c>
    </row>
    <row r="226" spans="1:65" s="2" customFormat="1" ht="37.9" customHeight="1">
      <c r="A226" s="36"/>
      <c r="B226" s="37"/>
      <c r="C226" s="181" t="s">
        <v>688</v>
      </c>
      <c r="D226" s="181" t="s">
        <v>382</v>
      </c>
      <c r="E226" s="182" t="s">
        <v>6253</v>
      </c>
      <c r="F226" s="183" t="s">
        <v>6254</v>
      </c>
      <c r="G226" s="184" t="s">
        <v>452</v>
      </c>
      <c r="H226" s="185">
        <v>105</v>
      </c>
      <c r="I226" s="186"/>
      <c r="J226" s="187">
        <f>ROUND(I226*H226,2)</f>
        <v>0</v>
      </c>
      <c r="K226" s="183" t="s">
        <v>399</v>
      </c>
      <c r="L226" s="41"/>
      <c r="M226" s="188" t="s">
        <v>19</v>
      </c>
      <c r="N226" s="189" t="s">
        <v>43</v>
      </c>
      <c r="O226" s="66"/>
      <c r="P226" s="190">
        <f>O226*H226</f>
        <v>0</v>
      </c>
      <c r="Q226" s="190">
        <v>8.0876400000000001E-2</v>
      </c>
      <c r="R226" s="190">
        <f>Q226*H226</f>
        <v>8.4920220000000004</v>
      </c>
      <c r="S226" s="190">
        <v>0</v>
      </c>
      <c r="T226" s="191">
        <f>S226*H226</f>
        <v>0</v>
      </c>
      <c r="U226" s="36"/>
      <c r="V226" s="36"/>
      <c r="W226" s="36"/>
      <c r="X226" s="36"/>
      <c r="Y226" s="36"/>
      <c r="Z226" s="36"/>
      <c r="AA226" s="36"/>
      <c r="AB226" s="36"/>
      <c r="AC226" s="36"/>
      <c r="AD226" s="36"/>
      <c r="AE226" s="36"/>
      <c r="AR226" s="192" t="s">
        <v>386</v>
      </c>
      <c r="AT226" s="192" t="s">
        <v>382</v>
      </c>
      <c r="AU226" s="192" t="s">
        <v>99</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386</v>
      </c>
      <c r="BM226" s="192" t="s">
        <v>6255</v>
      </c>
    </row>
    <row r="227" spans="1:65" s="2" customFormat="1" ht="19.5">
      <c r="A227" s="36"/>
      <c r="B227" s="37"/>
      <c r="C227" s="38"/>
      <c r="D227" s="196" t="s">
        <v>1226</v>
      </c>
      <c r="E227" s="38"/>
      <c r="F227" s="248" t="s">
        <v>6256</v>
      </c>
      <c r="G227" s="38"/>
      <c r="H227" s="38"/>
      <c r="I227" s="249"/>
      <c r="J227" s="38"/>
      <c r="K227" s="38"/>
      <c r="L227" s="41"/>
      <c r="M227" s="250"/>
      <c r="N227" s="251"/>
      <c r="O227" s="66"/>
      <c r="P227" s="66"/>
      <c r="Q227" s="66"/>
      <c r="R227" s="66"/>
      <c r="S227" s="66"/>
      <c r="T227" s="67"/>
      <c r="U227" s="36"/>
      <c r="V227" s="36"/>
      <c r="W227" s="36"/>
      <c r="X227" s="36"/>
      <c r="Y227" s="36"/>
      <c r="Z227" s="36"/>
      <c r="AA227" s="36"/>
      <c r="AB227" s="36"/>
      <c r="AC227" s="36"/>
      <c r="AD227" s="36"/>
      <c r="AE227" s="36"/>
      <c r="AT227" s="19" t="s">
        <v>1226</v>
      </c>
      <c r="AU227" s="19" t="s">
        <v>99</v>
      </c>
    </row>
    <row r="228" spans="1:65" s="2" customFormat="1" ht="16.5" customHeight="1">
      <c r="A228" s="36"/>
      <c r="B228" s="37"/>
      <c r="C228" s="227" t="s">
        <v>699</v>
      </c>
      <c r="D228" s="227" t="s">
        <v>465</v>
      </c>
      <c r="E228" s="228" t="s">
        <v>6257</v>
      </c>
      <c r="F228" s="229" t="s">
        <v>6258</v>
      </c>
      <c r="G228" s="230" t="s">
        <v>452</v>
      </c>
      <c r="H228" s="231">
        <v>108.15</v>
      </c>
      <c r="I228" s="232"/>
      <c r="J228" s="233">
        <f>ROUND(I228*H228,2)</f>
        <v>0</v>
      </c>
      <c r="K228" s="229" t="s">
        <v>399</v>
      </c>
      <c r="L228" s="234"/>
      <c r="M228" s="235" t="s">
        <v>19</v>
      </c>
      <c r="N228" s="236" t="s">
        <v>43</v>
      </c>
      <c r="O228" s="66"/>
      <c r="P228" s="190">
        <f>O228*H228</f>
        <v>0</v>
      </c>
      <c r="Q228" s="190">
        <v>5.6000000000000001E-2</v>
      </c>
      <c r="R228" s="190">
        <f>Q228*H228</f>
        <v>6.0564</v>
      </c>
      <c r="S228" s="190">
        <v>0</v>
      </c>
      <c r="T228" s="191">
        <f>S228*H228</f>
        <v>0</v>
      </c>
      <c r="U228" s="36"/>
      <c r="V228" s="36"/>
      <c r="W228" s="36"/>
      <c r="X228" s="36"/>
      <c r="Y228" s="36"/>
      <c r="Z228" s="36"/>
      <c r="AA228" s="36"/>
      <c r="AB228" s="36"/>
      <c r="AC228" s="36"/>
      <c r="AD228" s="36"/>
      <c r="AE228" s="36"/>
      <c r="AR228" s="192" t="s">
        <v>424</v>
      </c>
      <c r="AT228" s="192" t="s">
        <v>465</v>
      </c>
      <c r="AU228" s="192" t="s">
        <v>99</v>
      </c>
      <c r="AY228" s="19" t="s">
        <v>380</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386</v>
      </c>
      <c r="BM228" s="192" t="s">
        <v>6259</v>
      </c>
    </row>
    <row r="229" spans="1:65" s="2" customFormat="1" ht="19.5">
      <c r="A229" s="36"/>
      <c r="B229" s="37"/>
      <c r="C229" s="38"/>
      <c r="D229" s="196" t="s">
        <v>1226</v>
      </c>
      <c r="E229" s="38"/>
      <c r="F229" s="248" t="s">
        <v>6256</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1226</v>
      </c>
      <c r="AU229" s="19" t="s">
        <v>99</v>
      </c>
    </row>
    <row r="230" spans="1:65" s="14" customFormat="1" ht="11.25">
      <c r="B230" s="205"/>
      <c r="C230" s="206"/>
      <c r="D230" s="196" t="s">
        <v>388</v>
      </c>
      <c r="E230" s="207" t="s">
        <v>19</v>
      </c>
      <c r="F230" s="208" t="s">
        <v>6260</v>
      </c>
      <c r="G230" s="206"/>
      <c r="H230" s="209">
        <v>108.15</v>
      </c>
      <c r="I230" s="210"/>
      <c r="J230" s="206"/>
      <c r="K230" s="206"/>
      <c r="L230" s="211"/>
      <c r="M230" s="212"/>
      <c r="N230" s="213"/>
      <c r="O230" s="213"/>
      <c r="P230" s="213"/>
      <c r="Q230" s="213"/>
      <c r="R230" s="213"/>
      <c r="S230" s="213"/>
      <c r="T230" s="214"/>
      <c r="AT230" s="215" t="s">
        <v>388</v>
      </c>
      <c r="AU230" s="215" t="s">
        <v>99</v>
      </c>
      <c r="AV230" s="14" t="s">
        <v>82</v>
      </c>
      <c r="AW230" s="14" t="s">
        <v>33</v>
      </c>
      <c r="AX230" s="14" t="s">
        <v>79</v>
      </c>
      <c r="AY230" s="215" t="s">
        <v>380</v>
      </c>
    </row>
    <row r="231" spans="1:65" s="12" customFormat="1" ht="20.85" customHeight="1">
      <c r="B231" s="165"/>
      <c r="C231" s="166"/>
      <c r="D231" s="167" t="s">
        <v>71</v>
      </c>
      <c r="E231" s="179" t="s">
        <v>271</v>
      </c>
      <c r="F231" s="179" t="s">
        <v>6261</v>
      </c>
      <c r="G231" s="166"/>
      <c r="H231" s="166"/>
      <c r="I231" s="169"/>
      <c r="J231" s="180">
        <f>BK231</f>
        <v>0</v>
      </c>
      <c r="K231" s="166"/>
      <c r="L231" s="171"/>
      <c r="M231" s="172"/>
      <c r="N231" s="173"/>
      <c r="O231" s="173"/>
      <c r="P231" s="174">
        <f>SUM(P232:P233)</f>
        <v>0</v>
      </c>
      <c r="Q231" s="173"/>
      <c r="R231" s="174">
        <f>SUM(R232:R233)</f>
        <v>0</v>
      </c>
      <c r="S231" s="173"/>
      <c r="T231" s="175">
        <f>SUM(T232:T233)</f>
        <v>0</v>
      </c>
      <c r="AR231" s="176" t="s">
        <v>79</v>
      </c>
      <c r="AT231" s="177" t="s">
        <v>71</v>
      </c>
      <c r="AU231" s="177" t="s">
        <v>82</v>
      </c>
      <c r="AY231" s="176" t="s">
        <v>380</v>
      </c>
      <c r="BK231" s="178">
        <f>SUM(BK232:BK233)</f>
        <v>0</v>
      </c>
    </row>
    <row r="232" spans="1:65" s="2" customFormat="1" ht="24.2" customHeight="1">
      <c r="A232" s="36"/>
      <c r="B232" s="37"/>
      <c r="C232" s="181" t="s">
        <v>703</v>
      </c>
      <c r="D232" s="181" t="s">
        <v>382</v>
      </c>
      <c r="E232" s="182" t="s">
        <v>6262</v>
      </c>
      <c r="F232" s="183" t="s">
        <v>6263</v>
      </c>
      <c r="G232" s="184" t="s">
        <v>437</v>
      </c>
      <c r="H232" s="185">
        <v>137.83000000000001</v>
      </c>
      <c r="I232" s="186"/>
      <c r="J232" s="187">
        <f>ROUND(I232*H232,2)</f>
        <v>0</v>
      </c>
      <c r="K232" s="183" t="s">
        <v>399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386</v>
      </c>
      <c r="AT232" s="192" t="s">
        <v>382</v>
      </c>
      <c r="AU232" s="192" t="s">
        <v>99</v>
      </c>
      <c r="AY232" s="19" t="s">
        <v>380</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386</v>
      </c>
      <c r="BM232" s="192" t="s">
        <v>6264</v>
      </c>
    </row>
    <row r="233" spans="1:65" s="14" customFormat="1" ht="11.25">
      <c r="B233" s="205"/>
      <c r="C233" s="206"/>
      <c r="D233" s="196" t="s">
        <v>388</v>
      </c>
      <c r="E233" s="207" t="s">
        <v>19</v>
      </c>
      <c r="F233" s="208" t="s">
        <v>6265</v>
      </c>
      <c r="G233" s="206"/>
      <c r="H233" s="209">
        <v>137.83000000000001</v>
      </c>
      <c r="I233" s="210"/>
      <c r="J233" s="206"/>
      <c r="K233" s="206"/>
      <c r="L233" s="211"/>
      <c r="M233" s="261"/>
      <c r="N233" s="262"/>
      <c r="O233" s="262"/>
      <c r="P233" s="262"/>
      <c r="Q233" s="262"/>
      <c r="R233" s="262"/>
      <c r="S233" s="262"/>
      <c r="T233" s="263"/>
      <c r="AT233" s="215" t="s">
        <v>388</v>
      </c>
      <c r="AU233" s="215" t="s">
        <v>99</v>
      </c>
      <c r="AV233" s="14" t="s">
        <v>82</v>
      </c>
      <c r="AW233" s="14" t="s">
        <v>33</v>
      </c>
      <c r="AX233" s="14" t="s">
        <v>79</v>
      </c>
      <c r="AY233" s="215" t="s">
        <v>380</v>
      </c>
    </row>
    <row r="234" spans="1:65" s="2" customFormat="1" ht="6.95" customHeight="1">
      <c r="A234" s="36"/>
      <c r="B234" s="49"/>
      <c r="C234" s="50"/>
      <c r="D234" s="50"/>
      <c r="E234" s="50"/>
      <c r="F234" s="50"/>
      <c r="G234" s="50"/>
      <c r="H234" s="50"/>
      <c r="I234" s="50"/>
      <c r="J234" s="50"/>
      <c r="K234" s="50"/>
      <c r="L234" s="41"/>
      <c r="M234" s="36"/>
      <c r="O234" s="36"/>
      <c r="P234" s="36"/>
      <c r="Q234" s="36"/>
      <c r="R234" s="36"/>
      <c r="S234" s="36"/>
      <c r="T234" s="36"/>
      <c r="U234" s="36"/>
      <c r="V234" s="36"/>
      <c r="W234" s="36"/>
      <c r="X234" s="36"/>
      <c r="Y234" s="36"/>
      <c r="Z234" s="36"/>
      <c r="AA234" s="36"/>
      <c r="AB234" s="36"/>
      <c r="AC234" s="36"/>
      <c r="AD234" s="36"/>
      <c r="AE234" s="36"/>
    </row>
  </sheetData>
  <sheetProtection algorithmName="SHA-512" hashValue="kwjyUxTMnIB/1CL6eMBdRRbNRjIBylGDcDfRKAwC4BEamo9MJpBoc/r+9li5BnlJErGKsSzDJzIXHKKpeunTSA==" saltValue="DXvBtsfiuymUuHfHwBhaoepaDGyQUOrx4fEZqFG3wy1D3GYscCG8+/A7eoGVqWmHQVHs7NGV3Tu5SlbM8K8GWg==" spinCount="100000" sheet="1" objects="1" scenarios="1" formatColumns="0" formatRows="0" autoFilter="0"/>
  <autoFilter ref="C88:K233" xr:uid="{00000000-0009-0000-0000-000033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3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6266</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ROUND((SUM(BE84:BE301)),  2)</f>
        <v>0</v>
      </c>
      <c r="G33" s="36"/>
      <c r="H33" s="36"/>
      <c r="I33" s="127">
        <v>0.21</v>
      </c>
      <c r="J33" s="126">
        <f>ROUND(((SUM(BE84:BE301))*I33),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ROUND((SUM(BF84:BF301)),  2)</f>
        <v>0</v>
      </c>
      <c r="G34" s="36"/>
      <c r="H34" s="36"/>
      <c r="I34" s="127">
        <v>0.15</v>
      </c>
      <c r="J34" s="126">
        <f>ROUND(((SUM(BF84:BF301))*I34),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ROUND((SUM(BG84:BG301)),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ROUND((SUM(BH84:BH301)),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ROUND((SUM(BI84:BI301)),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02 - KANALIZACE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2821</v>
      </c>
      <c r="E60" s="146"/>
      <c r="F60" s="146"/>
      <c r="G60" s="146"/>
      <c r="H60" s="146"/>
      <c r="I60" s="146"/>
      <c r="J60" s="147">
        <f>J85</f>
        <v>0</v>
      </c>
      <c r="K60" s="144"/>
      <c r="L60" s="148"/>
    </row>
    <row r="61" spans="1:47" s="10" customFormat="1" ht="19.899999999999999" customHeight="1">
      <c r="B61" s="149"/>
      <c r="C61" s="99"/>
      <c r="D61" s="150" t="s">
        <v>2822</v>
      </c>
      <c r="E61" s="151"/>
      <c r="F61" s="151"/>
      <c r="G61" s="151"/>
      <c r="H61" s="151"/>
      <c r="I61" s="151"/>
      <c r="J61" s="152">
        <f>J86</f>
        <v>0</v>
      </c>
      <c r="K61" s="99"/>
      <c r="L61" s="153"/>
    </row>
    <row r="62" spans="1:47" s="10" customFormat="1" ht="19.899999999999999" customHeight="1">
      <c r="B62" s="149"/>
      <c r="C62" s="99"/>
      <c r="D62" s="150" t="s">
        <v>6267</v>
      </c>
      <c r="E62" s="151"/>
      <c r="F62" s="151"/>
      <c r="G62" s="151"/>
      <c r="H62" s="151"/>
      <c r="I62" s="151"/>
      <c r="J62" s="152">
        <f>J190</f>
        <v>0</v>
      </c>
      <c r="K62" s="99"/>
      <c r="L62" s="153"/>
    </row>
    <row r="63" spans="1:47" s="10" customFormat="1" ht="19.899999999999999" customHeight="1">
      <c r="B63" s="149"/>
      <c r="C63" s="99"/>
      <c r="D63" s="150" t="s">
        <v>6268</v>
      </c>
      <c r="E63" s="151"/>
      <c r="F63" s="151"/>
      <c r="G63" s="151"/>
      <c r="H63" s="151"/>
      <c r="I63" s="151"/>
      <c r="J63" s="152">
        <f>J195</f>
        <v>0</v>
      </c>
      <c r="K63" s="99"/>
      <c r="L63" s="153"/>
    </row>
    <row r="64" spans="1:47" s="10" customFormat="1" ht="19.899999999999999" customHeight="1">
      <c r="B64" s="149"/>
      <c r="C64" s="99"/>
      <c r="D64" s="150" t="s">
        <v>2823</v>
      </c>
      <c r="E64" s="151"/>
      <c r="F64" s="151"/>
      <c r="G64" s="151"/>
      <c r="H64" s="151"/>
      <c r="I64" s="151"/>
      <c r="J64" s="152">
        <f>J226</f>
        <v>0</v>
      </c>
      <c r="K64" s="99"/>
      <c r="L64" s="153"/>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365</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282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02 - KANALIZACE</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4. 8. 2021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366</v>
      </c>
      <c r="D83" s="157" t="s">
        <v>57</v>
      </c>
      <c r="E83" s="157" t="s">
        <v>53</v>
      </c>
      <c r="F83" s="157" t="s">
        <v>54</v>
      </c>
      <c r="G83" s="157" t="s">
        <v>367</v>
      </c>
      <c r="H83" s="157" t="s">
        <v>368</v>
      </c>
      <c r="I83" s="157" t="s">
        <v>369</v>
      </c>
      <c r="J83" s="157" t="s">
        <v>334</v>
      </c>
      <c r="K83" s="158" t="s">
        <v>370</v>
      </c>
      <c r="L83" s="159"/>
      <c r="M83" s="70" t="s">
        <v>19</v>
      </c>
      <c r="N83" s="71" t="s">
        <v>42</v>
      </c>
      <c r="O83" s="71" t="s">
        <v>371</v>
      </c>
      <c r="P83" s="71" t="s">
        <v>372</v>
      </c>
      <c r="Q83" s="71" t="s">
        <v>373</v>
      </c>
      <c r="R83" s="71" t="s">
        <v>374</v>
      </c>
      <c r="S83" s="71" t="s">
        <v>375</v>
      </c>
      <c r="T83" s="72" t="s">
        <v>376</v>
      </c>
      <c r="U83" s="154"/>
      <c r="V83" s="154"/>
      <c r="W83" s="154"/>
      <c r="X83" s="154"/>
      <c r="Y83" s="154"/>
      <c r="Z83" s="154"/>
      <c r="AA83" s="154"/>
      <c r="AB83" s="154"/>
      <c r="AC83" s="154"/>
      <c r="AD83" s="154"/>
      <c r="AE83" s="154"/>
    </row>
    <row r="84" spans="1:65" s="2" customFormat="1" ht="22.9" customHeight="1">
      <c r="A84" s="36"/>
      <c r="B84" s="37"/>
      <c r="C84" s="77" t="s">
        <v>377</v>
      </c>
      <c r="D84" s="38"/>
      <c r="E84" s="38"/>
      <c r="F84" s="38"/>
      <c r="G84" s="38"/>
      <c r="H84" s="38"/>
      <c r="I84" s="38"/>
      <c r="J84" s="160">
        <f>BK84</f>
        <v>0</v>
      </c>
      <c r="K84" s="38"/>
      <c r="L84" s="41"/>
      <c r="M84" s="73"/>
      <c r="N84" s="161"/>
      <c r="O84" s="74"/>
      <c r="P84" s="162">
        <f>P85</f>
        <v>0</v>
      </c>
      <c r="Q84" s="74"/>
      <c r="R84" s="162">
        <f>R85</f>
        <v>0</v>
      </c>
      <c r="S84" s="74"/>
      <c r="T84" s="163">
        <f>T85</f>
        <v>0</v>
      </c>
      <c r="U84" s="36"/>
      <c r="V84" s="36"/>
      <c r="W84" s="36"/>
      <c r="X84" s="36"/>
      <c r="Y84" s="36"/>
      <c r="Z84" s="36"/>
      <c r="AA84" s="36"/>
      <c r="AB84" s="36"/>
      <c r="AC84" s="36"/>
      <c r="AD84" s="36"/>
      <c r="AE84" s="36"/>
      <c r="AT84" s="19" t="s">
        <v>71</v>
      </c>
      <c r="AU84" s="19" t="s">
        <v>335</v>
      </c>
      <c r="BK84" s="164">
        <f>BK85</f>
        <v>0</v>
      </c>
    </row>
    <row r="85" spans="1:65" s="12" customFormat="1" ht="25.9" customHeight="1">
      <c r="B85" s="165"/>
      <c r="C85" s="166"/>
      <c r="D85" s="167" t="s">
        <v>71</v>
      </c>
      <c r="E85" s="168" t="s">
        <v>378</v>
      </c>
      <c r="F85" s="168" t="s">
        <v>2831</v>
      </c>
      <c r="G85" s="166"/>
      <c r="H85" s="166"/>
      <c r="I85" s="169"/>
      <c r="J85" s="170">
        <f>BK85</f>
        <v>0</v>
      </c>
      <c r="K85" s="166"/>
      <c r="L85" s="171"/>
      <c r="M85" s="172"/>
      <c r="N85" s="173"/>
      <c r="O85" s="173"/>
      <c r="P85" s="174">
        <f>P86+P190+P195+P226</f>
        <v>0</v>
      </c>
      <c r="Q85" s="173"/>
      <c r="R85" s="174">
        <f>R86+R190+R195+R226</f>
        <v>0</v>
      </c>
      <c r="S85" s="173"/>
      <c r="T85" s="175">
        <f>T86+T190+T195+T226</f>
        <v>0</v>
      </c>
      <c r="AR85" s="176" t="s">
        <v>79</v>
      </c>
      <c r="AT85" s="177" t="s">
        <v>71</v>
      </c>
      <c r="AU85" s="177" t="s">
        <v>72</v>
      </c>
      <c r="AY85" s="176" t="s">
        <v>380</v>
      </c>
      <c r="BK85" s="178">
        <f>BK86+BK190+BK195+BK226</f>
        <v>0</v>
      </c>
    </row>
    <row r="86" spans="1:65" s="12" customFormat="1" ht="22.9" customHeight="1">
      <c r="B86" s="165"/>
      <c r="C86" s="166"/>
      <c r="D86" s="167" t="s">
        <v>71</v>
      </c>
      <c r="E86" s="179" t="s">
        <v>79</v>
      </c>
      <c r="F86" s="179" t="s">
        <v>2832</v>
      </c>
      <c r="G86" s="166"/>
      <c r="H86" s="166"/>
      <c r="I86" s="169"/>
      <c r="J86" s="180">
        <f>BK86</f>
        <v>0</v>
      </c>
      <c r="K86" s="166"/>
      <c r="L86" s="171"/>
      <c r="M86" s="172"/>
      <c r="N86" s="173"/>
      <c r="O86" s="173"/>
      <c r="P86" s="174">
        <f>SUM(P87:P189)</f>
        <v>0</v>
      </c>
      <c r="Q86" s="173"/>
      <c r="R86" s="174">
        <f>SUM(R87:R189)</f>
        <v>0</v>
      </c>
      <c r="S86" s="173"/>
      <c r="T86" s="175">
        <f>SUM(T87:T189)</f>
        <v>0</v>
      </c>
      <c r="AR86" s="176" t="s">
        <v>79</v>
      </c>
      <c r="AT86" s="177" t="s">
        <v>71</v>
      </c>
      <c r="AU86" s="177" t="s">
        <v>79</v>
      </c>
      <c r="AY86" s="176" t="s">
        <v>380</v>
      </c>
      <c r="BK86" s="178">
        <f>SUM(BK87:BK189)</f>
        <v>0</v>
      </c>
    </row>
    <row r="87" spans="1:65" s="2" customFormat="1" ht="16.5" customHeight="1">
      <c r="A87" s="36"/>
      <c r="B87" s="37"/>
      <c r="C87" s="181" t="s">
        <v>79</v>
      </c>
      <c r="D87" s="181" t="s">
        <v>382</v>
      </c>
      <c r="E87" s="182" t="s">
        <v>2833</v>
      </c>
      <c r="F87" s="183" t="s">
        <v>6269</v>
      </c>
      <c r="G87" s="184" t="s">
        <v>385</v>
      </c>
      <c r="H87" s="185">
        <v>312.17700000000002</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386</v>
      </c>
      <c r="AT87" s="192" t="s">
        <v>382</v>
      </c>
      <c r="AU87" s="192" t="s">
        <v>82</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386</v>
      </c>
      <c r="BM87" s="192" t="s">
        <v>82</v>
      </c>
    </row>
    <row r="88" spans="1:65" s="13" customFormat="1" ht="11.25">
      <c r="B88" s="194"/>
      <c r="C88" s="195"/>
      <c r="D88" s="196" t="s">
        <v>388</v>
      </c>
      <c r="E88" s="197" t="s">
        <v>19</v>
      </c>
      <c r="F88" s="198" t="s">
        <v>6270</v>
      </c>
      <c r="G88" s="195"/>
      <c r="H88" s="197" t="s">
        <v>19</v>
      </c>
      <c r="I88" s="199"/>
      <c r="J88" s="195"/>
      <c r="K88" s="195"/>
      <c r="L88" s="200"/>
      <c r="M88" s="201"/>
      <c r="N88" s="202"/>
      <c r="O88" s="202"/>
      <c r="P88" s="202"/>
      <c r="Q88" s="202"/>
      <c r="R88" s="202"/>
      <c r="S88" s="202"/>
      <c r="T88" s="203"/>
      <c r="AT88" s="204" t="s">
        <v>388</v>
      </c>
      <c r="AU88" s="204" t="s">
        <v>82</v>
      </c>
      <c r="AV88" s="13" t="s">
        <v>79</v>
      </c>
      <c r="AW88" s="13" t="s">
        <v>33</v>
      </c>
      <c r="AX88" s="13" t="s">
        <v>72</v>
      </c>
      <c r="AY88" s="204" t="s">
        <v>380</v>
      </c>
    </row>
    <row r="89" spans="1:65" s="14" customFormat="1" ht="11.25">
      <c r="B89" s="205"/>
      <c r="C89" s="206"/>
      <c r="D89" s="196" t="s">
        <v>388</v>
      </c>
      <c r="E89" s="207" t="s">
        <v>19</v>
      </c>
      <c r="F89" s="208" t="s">
        <v>6271</v>
      </c>
      <c r="G89" s="206"/>
      <c r="H89" s="209">
        <v>20.5</v>
      </c>
      <c r="I89" s="210"/>
      <c r="J89" s="206"/>
      <c r="K89" s="206"/>
      <c r="L89" s="211"/>
      <c r="M89" s="212"/>
      <c r="N89" s="213"/>
      <c r="O89" s="213"/>
      <c r="P89" s="213"/>
      <c r="Q89" s="213"/>
      <c r="R89" s="213"/>
      <c r="S89" s="213"/>
      <c r="T89" s="214"/>
      <c r="AT89" s="215" t="s">
        <v>388</v>
      </c>
      <c r="AU89" s="215" t="s">
        <v>82</v>
      </c>
      <c r="AV89" s="14" t="s">
        <v>82</v>
      </c>
      <c r="AW89" s="14" t="s">
        <v>33</v>
      </c>
      <c r="AX89" s="14" t="s">
        <v>72</v>
      </c>
      <c r="AY89" s="215" t="s">
        <v>380</v>
      </c>
    </row>
    <row r="90" spans="1:65" s="13" customFormat="1" ht="11.25">
      <c r="B90" s="194"/>
      <c r="C90" s="195"/>
      <c r="D90" s="196" t="s">
        <v>388</v>
      </c>
      <c r="E90" s="197" t="s">
        <v>19</v>
      </c>
      <c r="F90" s="198" t="s">
        <v>6272</v>
      </c>
      <c r="G90" s="195"/>
      <c r="H90" s="197" t="s">
        <v>19</v>
      </c>
      <c r="I90" s="199"/>
      <c r="J90" s="195"/>
      <c r="K90" s="195"/>
      <c r="L90" s="200"/>
      <c r="M90" s="201"/>
      <c r="N90" s="202"/>
      <c r="O90" s="202"/>
      <c r="P90" s="202"/>
      <c r="Q90" s="202"/>
      <c r="R90" s="202"/>
      <c r="S90" s="202"/>
      <c r="T90" s="203"/>
      <c r="AT90" s="204" t="s">
        <v>388</v>
      </c>
      <c r="AU90" s="204" t="s">
        <v>82</v>
      </c>
      <c r="AV90" s="13" t="s">
        <v>79</v>
      </c>
      <c r="AW90" s="13" t="s">
        <v>33</v>
      </c>
      <c r="AX90" s="13" t="s">
        <v>72</v>
      </c>
      <c r="AY90" s="204" t="s">
        <v>380</v>
      </c>
    </row>
    <row r="91" spans="1:65" s="14" customFormat="1" ht="11.25">
      <c r="B91" s="205"/>
      <c r="C91" s="206"/>
      <c r="D91" s="196" t="s">
        <v>388</v>
      </c>
      <c r="E91" s="207" t="s">
        <v>19</v>
      </c>
      <c r="F91" s="208" t="s">
        <v>6273</v>
      </c>
      <c r="G91" s="206"/>
      <c r="H91" s="209">
        <v>56.48</v>
      </c>
      <c r="I91" s="210"/>
      <c r="J91" s="206"/>
      <c r="K91" s="206"/>
      <c r="L91" s="211"/>
      <c r="M91" s="212"/>
      <c r="N91" s="213"/>
      <c r="O91" s="213"/>
      <c r="P91" s="213"/>
      <c r="Q91" s="213"/>
      <c r="R91" s="213"/>
      <c r="S91" s="213"/>
      <c r="T91" s="214"/>
      <c r="AT91" s="215" t="s">
        <v>388</v>
      </c>
      <c r="AU91" s="215" t="s">
        <v>82</v>
      </c>
      <c r="AV91" s="14" t="s">
        <v>82</v>
      </c>
      <c r="AW91" s="14" t="s">
        <v>33</v>
      </c>
      <c r="AX91" s="14" t="s">
        <v>72</v>
      </c>
      <c r="AY91" s="215" t="s">
        <v>380</v>
      </c>
    </row>
    <row r="92" spans="1:65" s="13" customFormat="1" ht="11.25">
      <c r="B92" s="194"/>
      <c r="C92" s="195"/>
      <c r="D92" s="196" t="s">
        <v>388</v>
      </c>
      <c r="E92" s="197" t="s">
        <v>19</v>
      </c>
      <c r="F92" s="198" t="s">
        <v>6274</v>
      </c>
      <c r="G92" s="195"/>
      <c r="H92" s="197" t="s">
        <v>19</v>
      </c>
      <c r="I92" s="199"/>
      <c r="J92" s="195"/>
      <c r="K92" s="195"/>
      <c r="L92" s="200"/>
      <c r="M92" s="201"/>
      <c r="N92" s="202"/>
      <c r="O92" s="202"/>
      <c r="P92" s="202"/>
      <c r="Q92" s="202"/>
      <c r="R92" s="202"/>
      <c r="S92" s="202"/>
      <c r="T92" s="203"/>
      <c r="AT92" s="204" t="s">
        <v>388</v>
      </c>
      <c r="AU92" s="204" t="s">
        <v>82</v>
      </c>
      <c r="AV92" s="13" t="s">
        <v>79</v>
      </c>
      <c r="AW92" s="13" t="s">
        <v>33</v>
      </c>
      <c r="AX92" s="13" t="s">
        <v>72</v>
      </c>
      <c r="AY92" s="204" t="s">
        <v>380</v>
      </c>
    </row>
    <row r="93" spans="1:65" s="14" customFormat="1" ht="11.25">
      <c r="B93" s="205"/>
      <c r="C93" s="206"/>
      <c r="D93" s="196" t="s">
        <v>388</v>
      </c>
      <c r="E93" s="207" t="s">
        <v>19</v>
      </c>
      <c r="F93" s="208" t="s">
        <v>6275</v>
      </c>
      <c r="G93" s="206"/>
      <c r="H93" s="209">
        <v>8</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3" customFormat="1" ht="11.25">
      <c r="B94" s="194"/>
      <c r="C94" s="195"/>
      <c r="D94" s="196" t="s">
        <v>388</v>
      </c>
      <c r="E94" s="197" t="s">
        <v>19</v>
      </c>
      <c r="F94" s="198" t="s">
        <v>6276</v>
      </c>
      <c r="G94" s="195"/>
      <c r="H94" s="197" t="s">
        <v>19</v>
      </c>
      <c r="I94" s="199"/>
      <c r="J94" s="195"/>
      <c r="K94" s="195"/>
      <c r="L94" s="200"/>
      <c r="M94" s="201"/>
      <c r="N94" s="202"/>
      <c r="O94" s="202"/>
      <c r="P94" s="202"/>
      <c r="Q94" s="202"/>
      <c r="R94" s="202"/>
      <c r="S94" s="202"/>
      <c r="T94" s="203"/>
      <c r="AT94" s="204" t="s">
        <v>388</v>
      </c>
      <c r="AU94" s="204" t="s">
        <v>82</v>
      </c>
      <c r="AV94" s="13" t="s">
        <v>79</v>
      </c>
      <c r="AW94" s="13" t="s">
        <v>33</v>
      </c>
      <c r="AX94" s="13" t="s">
        <v>72</v>
      </c>
      <c r="AY94" s="204" t="s">
        <v>380</v>
      </c>
    </row>
    <row r="95" spans="1:65" s="14" customFormat="1" ht="11.25">
      <c r="B95" s="205"/>
      <c r="C95" s="206"/>
      <c r="D95" s="196" t="s">
        <v>388</v>
      </c>
      <c r="E95" s="207" t="s">
        <v>19</v>
      </c>
      <c r="F95" s="208" t="s">
        <v>6277</v>
      </c>
      <c r="G95" s="206"/>
      <c r="H95" s="209">
        <v>4</v>
      </c>
      <c r="I95" s="210"/>
      <c r="J95" s="206"/>
      <c r="K95" s="206"/>
      <c r="L95" s="211"/>
      <c r="M95" s="212"/>
      <c r="N95" s="213"/>
      <c r="O95" s="213"/>
      <c r="P95" s="213"/>
      <c r="Q95" s="213"/>
      <c r="R95" s="213"/>
      <c r="S95" s="213"/>
      <c r="T95" s="214"/>
      <c r="AT95" s="215" t="s">
        <v>388</v>
      </c>
      <c r="AU95" s="215" t="s">
        <v>82</v>
      </c>
      <c r="AV95" s="14" t="s">
        <v>82</v>
      </c>
      <c r="AW95" s="14" t="s">
        <v>33</v>
      </c>
      <c r="AX95" s="14" t="s">
        <v>72</v>
      </c>
      <c r="AY95" s="215" t="s">
        <v>380</v>
      </c>
    </row>
    <row r="96" spans="1:65" s="13" customFormat="1" ht="11.25">
      <c r="B96" s="194"/>
      <c r="C96" s="195"/>
      <c r="D96" s="196" t="s">
        <v>388</v>
      </c>
      <c r="E96" s="197" t="s">
        <v>19</v>
      </c>
      <c r="F96" s="198" t="s">
        <v>6278</v>
      </c>
      <c r="G96" s="195"/>
      <c r="H96" s="197" t="s">
        <v>19</v>
      </c>
      <c r="I96" s="199"/>
      <c r="J96" s="195"/>
      <c r="K96" s="195"/>
      <c r="L96" s="200"/>
      <c r="M96" s="201"/>
      <c r="N96" s="202"/>
      <c r="O96" s="202"/>
      <c r="P96" s="202"/>
      <c r="Q96" s="202"/>
      <c r="R96" s="202"/>
      <c r="S96" s="202"/>
      <c r="T96" s="203"/>
      <c r="AT96" s="204" t="s">
        <v>388</v>
      </c>
      <c r="AU96" s="204" t="s">
        <v>82</v>
      </c>
      <c r="AV96" s="13" t="s">
        <v>79</v>
      </c>
      <c r="AW96" s="13" t="s">
        <v>33</v>
      </c>
      <c r="AX96" s="13" t="s">
        <v>72</v>
      </c>
      <c r="AY96" s="204" t="s">
        <v>380</v>
      </c>
    </row>
    <row r="97" spans="1:65" s="14" customFormat="1" ht="11.25">
      <c r="B97" s="205"/>
      <c r="C97" s="206"/>
      <c r="D97" s="196" t="s">
        <v>388</v>
      </c>
      <c r="E97" s="207" t="s">
        <v>19</v>
      </c>
      <c r="F97" s="208" t="s">
        <v>6279</v>
      </c>
      <c r="G97" s="206"/>
      <c r="H97" s="209">
        <v>6.8310000000000004</v>
      </c>
      <c r="I97" s="210"/>
      <c r="J97" s="206"/>
      <c r="K97" s="206"/>
      <c r="L97" s="211"/>
      <c r="M97" s="212"/>
      <c r="N97" s="213"/>
      <c r="O97" s="213"/>
      <c r="P97" s="213"/>
      <c r="Q97" s="213"/>
      <c r="R97" s="213"/>
      <c r="S97" s="213"/>
      <c r="T97" s="214"/>
      <c r="AT97" s="215" t="s">
        <v>388</v>
      </c>
      <c r="AU97" s="215" t="s">
        <v>82</v>
      </c>
      <c r="AV97" s="14" t="s">
        <v>82</v>
      </c>
      <c r="AW97" s="14" t="s">
        <v>33</v>
      </c>
      <c r="AX97" s="14" t="s">
        <v>72</v>
      </c>
      <c r="AY97" s="215" t="s">
        <v>380</v>
      </c>
    </row>
    <row r="98" spans="1:65" s="13" customFormat="1" ht="11.25">
      <c r="B98" s="194"/>
      <c r="C98" s="195"/>
      <c r="D98" s="196" t="s">
        <v>388</v>
      </c>
      <c r="E98" s="197" t="s">
        <v>19</v>
      </c>
      <c r="F98" s="198" t="s">
        <v>6280</v>
      </c>
      <c r="G98" s="195"/>
      <c r="H98" s="197" t="s">
        <v>19</v>
      </c>
      <c r="I98" s="199"/>
      <c r="J98" s="195"/>
      <c r="K98" s="195"/>
      <c r="L98" s="200"/>
      <c r="M98" s="201"/>
      <c r="N98" s="202"/>
      <c r="O98" s="202"/>
      <c r="P98" s="202"/>
      <c r="Q98" s="202"/>
      <c r="R98" s="202"/>
      <c r="S98" s="202"/>
      <c r="T98" s="203"/>
      <c r="AT98" s="204" t="s">
        <v>388</v>
      </c>
      <c r="AU98" s="204" t="s">
        <v>82</v>
      </c>
      <c r="AV98" s="13" t="s">
        <v>79</v>
      </c>
      <c r="AW98" s="13" t="s">
        <v>33</v>
      </c>
      <c r="AX98" s="13" t="s">
        <v>72</v>
      </c>
      <c r="AY98" s="204" t="s">
        <v>380</v>
      </c>
    </row>
    <row r="99" spans="1:65" s="14" customFormat="1" ht="11.25">
      <c r="B99" s="205"/>
      <c r="C99" s="206"/>
      <c r="D99" s="196" t="s">
        <v>388</v>
      </c>
      <c r="E99" s="207" t="s">
        <v>19</v>
      </c>
      <c r="F99" s="208" t="s">
        <v>6281</v>
      </c>
      <c r="G99" s="206"/>
      <c r="H99" s="209">
        <v>68.59</v>
      </c>
      <c r="I99" s="210"/>
      <c r="J99" s="206"/>
      <c r="K99" s="206"/>
      <c r="L99" s="211"/>
      <c r="M99" s="212"/>
      <c r="N99" s="213"/>
      <c r="O99" s="213"/>
      <c r="P99" s="213"/>
      <c r="Q99" s="213"/>
      <c r="R99" s="213"/>
      <c r="S99" s="213"/>
      <c r="T99" s="214"/>
      <c r="AT99" s="215" t="s">
        <v>388</v>
      </c>
      <c r="AU99" s="215" t="s">
        <v>82</v>
      </c>
      <c r="AV99" s="14" t="s">
        <v>82</v>
      </c>
      <c r="AW99" s="14" t="s">
        <v>33</v>
      </c>
      <c r="AX99" s="14" t="s">
        <v>72</v>
      </c>
      <c r="AY99" s="215" t="s">
        <v>380</v>
      </c>
    </row>
    <row r="100" spans="1:65" s="13" customFormat="1" ht="11.25">
      <c r="B100" s="194"/>
      <c r="C100" s="195"/>
      <c r="D100" s="196" t="s">
        <v>388</v>
      </c>
      <c r="E100" s="197" t="s">
        <v>19</v>
      </c>
      <c r="F100" s="198" t="s">
        <v>6282</v>
      </c>
      <c r="G100" s="195"/>
      <c r="H100" s="197" t="s">
        <v>19</v>
      </c>
      <c r="I100" s="199"/>
      <c r="J100" s="195"/>
      <c r="K100" s="195"/>
      <c r="L100" s="200"/>
      <c r="M100" s="201"/>
      <c r="N100" s="202"/>
      <c r="O100" s="202"/>
      <c r="P100" s="202"/>
      <c r="Q100" s="202"/>
      <c r="R100" s="202"/>
      <c r="S100" s="202"/>
      <c r="T100" s="203"/>
      <c r="AT100" s="204" t="s">
        <v>388</v>
      </c>
      <c r="AU100" s="204" t="s">
        <v>82</v>
      </c>
      <c r="AV100" s="13" t="s">
        <v>79</v>
      </c>
      <c r="AW100" s="13" t="s">
        <v>33</v>
      </c>
      <c r="AX100" s="13" t="s">
        <v>72</v>
      </c>
      <c r="AY100" s="204" t="s">
        <v>380</v>
      </c>
    </row>
    <row r="101" spans="1:65" s="14" customFormat="1" ht="11.25">
      <c r="B101" s="205"/>
      <c r="C101" s="206"/>
      <c r="D101" s="196" t="s">
        <v>388</v>
      </c>
      <c r="E101" s="207" t="s">
        <v>19</v>
      </c>
      <c r="F101" s="208" t="s">
        <v>6283</v>
      </c>
      <c r="G101" s="206"/>
      <c r="H101" s="209">
        <v>139.77600000000001</v>
      </c>
      <c r="I101" s="210"/>
      <c r="J101" s="206"/>
      <c r="K101" s="206"/>
      <c r="L101" s="211"/>
      <c r="M101" s="212"/>
      <c r="N101" s="213"/>
      <c r="O101" s="213"/>
      <c r="P101" s="213"/>
      <c r="Q101" s="213"/>
      <c r="R101" s="213"/>
      <c r="S101" s="213"/>
      <c r="T101" s="214"/>
      <c r="AT101" s="215" t="s">
        <v>388</v>
      </c>
      <c r="AU101" s="215" t="s">
        <v>82</v>
      </c>
      <c r="AV101" s="14" t="s">
        <v>82</v>
      </c>
      <c r="AW101" s="14" t="s">
        <v>33</v>
      </c>
      <c r="AX101" s="14" t="s">
        <v>72</v>
      </c>
      <c r="AY101" s="215" t="s">
        <v>380</v>
      </c>
    </row>
    <row r="102" spans="1:65" s="13" customFormat="1" ht="11.25">
      <c r="B102" s="194"/>
      <c r="C102" s="195"/>
      <c r="D102" s="196" t="s">
        <v>388</v>
      </c>
      <c r="E102" s="197" t="s">
        <v>19</v>
      </c>
      <c r="F102" s="198" t="s">
        <v>6284</v>
      </c>
      <c r="G102" s="195"/>
      <c r="H102" s="197" t="s">
        <v>19</v>
      </c>
      <c r="I102" s="199"/>
      <c r="J102" s="195"/>
      <c r="K102" s="195"/>
      <c r="L102" s="200"/>
      <c r="M102" s="201"/>
      <c r="N102" s="202"/>
      <c r="O102" s="202"/>
      <c r="P102" s="202"/>
      <c r="Q102" s="202"/>
      <c r="R102" s="202"/>
      <c r="S102" s="202"/>
      <c r="T102" s="203"/>
      <c r="AT102" s="204" t="s">
        <v>388</v>
      </c>
      <c r="AU102" s="204" t="s">
        <v>82</v>
      </c>
      <c r="AV102" s="13" t="s">
        <v>79</v>
      </c>
      <c r="AW102" s="13" t="s">
        <v>33</v>
      </c>
      <c r="AX102" s="13" t="s">
        <v>72</v>
      </c>
      <c r="AY102" s="204" t="s">
        <v>380</v>
      </c>
    </row>
    <row r="103" spans="1:65" s="14" customFormat="1" ht="11.25">
      <c r="B103" s="205"/>
      <c r="C103" s="206"/>
      <c r="D103" s="196" t="s">
        <v>388</v>
      </c>
      <c r="E103" s="207" t="s">
        <v>19</v>
      </c>
      <c r="F103" s="208" t="s">
        <v>6285</v>
      </c>
      <c r="G103" s="206"/>
      <c r="H103" s="209">
        <v>8</v>
      </c>
      <c r="I103" s="210"/>
      <c r="J103" s="206"/>
      <c r="K103" s="206"/>
      <c r="L103" s="211"/>
      <c r="M103" s="212"/>
      <c r="N103" s="213"/>
      <c r="O103" s="213"/>
      <c r="P103" s="213"/>
      <c r="Q103" s="213"/>
      <c r="R103" s="213"/>
      <c r="S103" s="213"/>
      <c r="T103" s="214"/>
      <c r="AT103" s="215" t="s">
        <v>388</v>
      </c>
      <c r="AU103" s="215" t="s">
        <v>82</v>
      </c>
      <c r="AV103" s="14" t="s">
        <v>82</v>
      </c>
      <c r="AW103" s="14" t="s">
        <v>33</v>
      </c>
      <c r="AX103" s="14" t="s">
        <v>72</v>
      </c>
      <c r="AY103" s="215" t="s">
        <v>380</v>
      </c>
    </row>
    <row r="104" spans="1:65" s="15" customFormat="1" ht="11.25">
      <c r="B104" s="216"/>
      <c r="C104" s="217"/>
      <c r="D104" s="196" t="s">
        <v>388</v>
      </c>
      <c r="E104" s="218" t="s">
        <v>19</v>
      </c>
      <c r="F104" s="219" t="s">
        <v>2544</v>
      </c>
      <c r="G104" s="217"/>
      <c r="H104" s="220">
        <v>312.17700000000002</v>
      </c>
      <c r="I104" s="221"/>
      <c r="J104" s="217"/>
      <c r="K104" s="217"/>
      <c r="L104" s="222"/>
      <c r="M104" s="223"/>
      <c r="N104" s="224"/>
      <c r="O104" s="224"/>
      <c r="P104" s="224"/>
      <c r="Q104" s="224"/>
      <c r="R104" s="224"/>
      <c r="S104" s="224"/>
      <c r="T104" s="225"/>
      <c r="AT104" s="226" t="s">
        <v>388</v>
      </c>
      <c r="AU104" s="226" t="s">
        <v>82</v>
      </c>
      <c r="AV104" s="15" t="s">
        <v>386</v>
      </c>
      <c r="AW104" s="15" t="s">
        <v>33</v>
      </c>
      <c r="AX104" s="15" t="s">
        <v>79</v>
      </c>
      <c r="AY104" s="226" t="s">
        <v>380</v>
      </c>
    </row>
    <row r="105" spans="1:65" s="2" customFormat="1" ht="16.5" customHeight="1">
      <c r="A105" s="36"/>
      <c r="B105" s="37"/>
      <c r="C105" s="181" t="s">
        <v>82</v>
      </c>
      <c r="D105" s="181" t="s">
        <v>382</v>
      </c>
      <c r="E105" s="182" t="s">
        <v>6111</v>
      </c>
      <c r="F105" s="183" t="s">
        <v>6286</v>
      </c>
      <c r="G105" s="184" t="s">
        <v>385</v>
      </c>
      <c r="H105" s="185">
        <v>218.64500000000001</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386</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386</v>
      </c>
      <c r="BM105" s="192" t="s">
        <v>386</v>
      </c>
    </row>
    <row r="106" spans="1:65" s="13" customFormat="1" ht="11.25">
      <c r="B106" s="194"/>
      <c r="C106" s="195"/>
      <c r="D106" s="196" t="s">
        <v>388</v>
      </c>
      <c r="E106" s="197" t="s">
        <v>19</v>
      </c>
      <c r="F106" s="198" t="s">
        <v>6270</v>
      </c>
      <c r="G106" s="195"/>
      <c r="H106" s="197" t="s">
        <v>19</v>
      </c>
      <c r="I106" s="199"/>
      <c r="J106" s="195"/>
      <c r="K106" s="195"/>
      <c r="L106" s="200"/>
      <c r="M106" s="201"/>
      <c r="N106" s="202"/>
      <c r="O106" s="202"/>
      <c r="P106" s="202"/>
      <c r="Q106" s="202"/>
      <c r="R106" s="202"/>
      <c r="S106" s="202"/>
      <c r="T106" s="203"/>
      <c r="AT106" s="204" t="s">
        <v>388</v>
      </c>
      <c r="AU106" s="204" t="s">
        <v>82</v>
      </c>
      <c r="AV106" s="13" t="s">
        <v>79</v>
      </c>
      <c r="AW106" s="13" t="s">
        <v>33</v>
      </c>
      <c r="AX106" s="13" t="s">
        <v>72</v>
      </c>
      <c r="AY106" s="204" t="s">
        <v>380</v>
      </c>
    </row>
    <row r="107" spans="1:65" s="14" customFormat="1" ht="11.25">
      <c r="B107" s="205"/>
      <c r="C107" s="206"/>
      <c r="D107" s="196" t="s">
        <v>388</v>
      </c>
      <c r="E107" s="207" t="s">
        <v>19</v>
      </c>
      <c r="F107" s="208" t="s">
        <v>6271</v>
      </c>
      <c r="G107" s="206"/>
      <c r="H107" s="209">
        <v>20.5</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3" customFormat="1" ht="11.25">
      <c r="B108" s="194"/>
      <c r="C108" s="195"/>
      <c r="D108" s="196" t="s">
        <v>388</v>
      </c>
      <c r="E108" s="197" t="s">
        <v>19</v>
      </c>
      <c r="F108" s="198" t="s">
        <v>6272</v>
      </c>
      <c r="G108" s="195"/>
      <c r="H108" s="197" t="s">
        <v>19</v>
      </c>
      <c r="I108" s="199"/>
      <c r="J108" s="195"/>
      <c r="K108" s="195"/>
      <c r="L108" s="200"/>
      <c r="M108" s="201"/>
      <c r="N108" s="202"/>
      <c r="O108" s="202"/>
      <c r="P108" s="202"/>
      <c r="Q108" s="202"/>
      <c r="R108" s="202"/>
      <c r="S108" s="202"/>
      <c r="T108" s="203"/>
      <c r="AT108" s="204" t="s">
        <v>388</v>
      </c>
      <c r="AU108" s="204" t="s">
        <v>82</v>
      </c>
      <c r="AV108" s="13" t="s">
        <v>79</v>
      </c>
      <c r="AW108" s="13" t="s">
        <v>33</v>
      </c>
      <c r="AX108" s="13" t="s">
        <v>72</v>
      </c>
      <c r="AY108" s="204" t="s">
        <v>380</v>
      </c>
    </row>
    <row r="109" spans="1:65" s="14" customFormat="1" ht="11.25">
      <c r="B109" s="205"/>
      <c r="C109" s="206"/>
      <c r="D109" s="196" t="s">
        <v>388</v>
      </c>
      <c r="E109" s="207" t="s">
        <v>19</v>
      </c>
      <c r="F109" s="208" t="s">
        <v>6287</v>
      </c>
      <c r="G109" s="206"/>
      <c r="H109" s="209">
        <v>33.887999999999998</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6274</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4" customFormat="1" ht="11.25">
      <c r="B111" s="205"/>
      <c r="C111" s="206"/>
      <c r="D111" s="196" t="s">
        <v>388</v>
      </c>
      <c r="E111" s="207" t="s">
        <v>19</v>
      </c>
      <c r="F111" s="208" t="s">
        <v>6288</v>
      </c>
      <c r="G111" s="206"/>
      <c r="H111" s="209">
        <v>4</v>
      </c>
      <c r="I111" s="210"/>
      <c r="J111" s="206"/>
      <c r="K111" s="206"/>
      <c r="L111" s="211"/>
      <c r="M111" s="212"/>
      <c r="N111" s="213"/>
      <c r="O111" s="213"/>
      <c r="P111" s="213"/>
      <c r="Q111" s="213"/>
      <c r="R111" s="213"/>
      <c r="S111" s="213"/>
      <c r="T111" s="214"/>
      <c r="AT111" s="215" t="s">
        <v>388</v>
      </c>
      <c r="AU111" s="215" t="s">
        <v>82</v>
      </c>
      <c r="AV111" s="14" t="s">
        <v>82</v>
      </c>
      <c r="AW111" s="14" t="s">
        <v>33</v>
      </c>
      <c r="AX111" s="14" t="s">
        <v>72</v>
      </c>
      <c r="AY111" s="215" t="s">
        <v>380</v>
      </c>
    </row>
    <row r="112" spans="1:65" s="13" customFormat="1" ht="11.25">
      <c r="B112" s="194"/>
      <c r="C112" s="195"/>
      <c r="D112" s="196" t="s">
        <v>388</v>
      </c>
      <c r="E112" s="197" t="s">
        <v>19</v>
      </c>
      <c r="F112" s="198" t="s">
        <v>6276</v>
      </c>
      <c r="G112" s="195"/>
      <c r="H112" s="197" t="s">
        <v>19</v>
      </c>
      <c r="I112" s="199"/>
      <c r="J112" s="195"/>
      <c r="K112" s="195"/>
      <c r="L112" s="200"/>
      <c r="M112" s="201"/>
      <c r="N112" s="202"/>
      <c r="O112" s="202"/>
      <c r="P112" s="202"/>
      <c r="Q112" s="202"/>
      <c r="R112" s="202"/>
      <c r="S112" s="202"/>
      <c r="T112" s="203"/>
      <c r="AT112" s="204" t="s">
        <v>388</v>
      </c>
      <c r="AU112" s="204" t="s">
        <v>82</v>
      </c>
      <c r="AV112" s="13" t="s">
        <v>79</v>
      </c>
      <c r="AW112" s="13" t="s">
        <v>33</v>
      </c>
      <c r="AX112" s="13" t="s">
        <v>72</v>
      </c>
      <c r="AY112" s="204" t="s">
        <v>380</v>
      </c>
    </row>
    <row r="113" spans="1:65" s="14" customFormat="1" ht="11.25">
      <c r="B113" s="205"/>
      <c r="C113" s="206"/>
      <c r="D113" s="196" t="s">
        <v>388</v>
      </c>
      <c r="E113" s="207" t="s">
        <v>19</v>
      </c>
      <c r="F113" s="208" t="s">
        <v>6289</v>
      </c>
      <c r="G113" s="206"/>
      <c r="H113" s="209">
        <v>2</v>
      </c>
      <c r="I113" s="210"/>
      <c r="J113" s="206"/>
      <c r="K113" s="206"/>
      <c r="L113" s="211"/>
      <c r="M113" s="212"/>
      <c r="N113" s="213"/>
      <c r="O113" s="213"/>
      <c r="P113" s="213"/>
      <c r="Q113" s="213"/>
      <c r="R113" s="213"/>
      <c r="S113" s="213"/>
      <c r="T113" s="214"/>
      <c r="AT113" s="215" t="s">
        <v>388</v>
      </c>
      <c r="AU113" s="215" t="s">
        <v>82</v>
      </c>
      <c r="AV113" s="14" t="s">
        <v>82</v>
      </c>
      <c r="AW113" s="14" t="s">
        <v>33</v>
      </c>
      <c r="AX113" s="14" t="s">
        <v>72</v>
      </c>
      <c r="AY113" s="215" t="s">
        <v>380</v>
      </c>
    </row>
    <row r="114" spans="1:65" s="13" customFormat="1" ht="11.25">
      <c r="B114" s="194"/>
      <c r="C114" s="195"/>
      <c r="D114" s="196" t="s">
        <v>388</v>
      </c>
      <c r="E114" s="197" t="s">
        <v>19</v>
      </c>
      <c r="F114" s="198" t="s">
        <v>6278</v>
      </c>
      <c r="G114" s="195"/>
      <c r="H114" s="197" t="s">
        <v>19</v>
      </c>
      <c r="I114" s="199"/>
      <c r="J114" s="195"/>
      <c r="K114" s="195"/>
      <c r="L114" s="200"/>
      <c r="M114" s="201"/>
      <c r="N114" s="202"/>
      <c r="O114" s="202"/>
      <c r="P114" s="202"/>
      <c r="Q114" s="202"/>
      <c r="R114" s="202"/>
      <c r="S114" s="202"/>
      <c r="T114" s="203"/>
      <c r="AT114" s="204" t="s">
        <v>388</v>
      </c>
      <c r="AU114" s="204" t="s">
        <v>82</v>
      </c>
      <c r="AV114" s="13" t="s">
        <v>79</v>
      </c>
      <c r="AW114" s="13" t="s">
        <v>33</v>
      </c>
      <c r="AX114" s="13" t="s">
        <v>72</v>
      </c>
      <c r="AY114" s="204" t="s">
        <v>380</v>
      </c>
    </row>
    <row r="115" spans="1:65" s="14" customFormat="1" ht="11.25">
      <c r="B115" s="205"/>
      <c r="C115" s="206"/>
      <c r="D115" s="196" t="s">
        <v>388</v>
      </c>
      <c r="E115" s="207" t="s">
        <v>19</v>
      </c>
      <c r="F115" s="208" t="s">
        <v>6290</v>
      </c>
      <c r="G115" s="206"/>
      <c r="H115" s="209">
        <v>3.105</v>
      </c>
      <c r="I115" s="210"/>
      <c r="J115" s="206"/>
      <c r="K115" s="206"/>
      <c r="L115" s="211"/>
      <c r="M115" s="212"/>
      <c r="N115" s="213"/>
      <c r="O115" s="213"/>
      <c r="P115" s="213"/>
      <c r="Q115" s="213"/>
      <c r="R115" s="213"/>
      <c r="S115" s="213"/>
      <c r="T115" s="214"/>
      <c r="AT115" s="215" t="s">
        <v>388</v>
      </c>
      <c r="AU115" s="215" t="s">
        <v>82</v>
      </c>
      <c r="AV115" s="14" t="s">
        <v>82</v>
      </c>
      <c r="AW115" s="14" t="s">
        <v>33</v>
      </c>
      <c r="AX115" s="14" t="s">
        <v>72</v>
      </c>
      <c r="AY115" s="215" t="s">
        <v>380</v>
      </c>
    </row>
    <row r="116" spans="1:65" s="13" customFormat="1" ht="11.25">
      <c r="B116" s="194"/>
      <c r="C116" s="195"/>
      <c r="D116" s="196" t="s">
        <v>388</v>
      </c>
      <c r="E116" s="197" t="s">
        <v>19</v>
      </c>
      <c r="F116" s="198" t="s">
        <v>6280</v>
      </c>
      <c r="G116" s="195"/>
      <c r="H116" s="197" t="s">
        <v>19</v>
      </c>
      <c r="I116" s="199"/>
      <c r="J116" s="195"/>
      <c r="K116" s="195"/>
      <c r="L116" s="200"/>
      <c r="M116" s="201"/>
      <c r="N116" s="202"/>
      <c r="O116" s="202"/>
      <c r="P116" s="202"/>
      <c r="Q116" s="202"/>
      <c r="R116" s="202"/>
      <c r="S116" s="202"/>
      <c r="T116" s="203"/>
      <c r="AT116" s="204" t="s">
        <v>388</v>
      </c>
      <c r="AU116" s="204" t="s">
        <v>82</v>
      </c>
      <c r="AV116" s="13" t="s">
        <v>79</v>
      </c>
      <c r="AW116" s="13" t="s">
        <v>33</v>
      </c>
      <c r="AX116" s="13" t="s">
        <v>72</v>
      </c>
      <c r="AY116" s="204" t="s">
        <v>380</v>
      </c>
    </row>
    <row r="117" spans="1:65" s="14" customFormat="1" ht="11.25">
      <c r="B117" s="205"/>
      <c r="C117" s="206"/>
      <c r="D117" s="196" t="s">
        <v>388</v>
      </c>
      <c r="E117" s="207" t="s">
        <v>19</v>
      </c>
      <c r="F117" s="208" t="s">
        <v>6291</v>
      </c>
      <c r="G117" s="206"/>
      <c r="H117" s="209">
        <v>28.88</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6282</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4" customFormat="1" ht="11.25">
      <c r="B119" s="205"/>
      <c r="C119" s="206"/>
      <c r="D119" s="196" t="s">
        <v>388</v>
      </c>
      <c r="E119" s="207" t="s">
        <v>19</v>
      </c>
      <c r="F119" s="208" t="s">
        <v>6292</v>
      </c>
      <c r="G119" s="206"/>
      <c r="H119" s="209">
        <v>118.27200000000001</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6284</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6285</v>
      </c>
      <c r="G121" s="206"/>
      <c r="H121" s="209">
        <v>8</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5" customFormat="1" ht="11.25">
      <c r="B122" s="216"/>
      <c r="C122" s="217"/>
      <c r="D122" s="196" t="s">
        <v>388</v>
      </c>
      <c r="E122" s="218" t="s">
        <v>19</v>
      </c>
      <c r="F122" s="219" t="s">
        <v>2544</v>
      </c>
      <c r="G122" s="217"/>
      <c r="H122" s="220">
        <v>218.64499999999998</v>
      </c>
      <c r="I122" s="221"/>
      <c r="J122" s="217"/>
      <c r="K122" s="217"/>
      <c r="L122" s="222"/>
      <c r="M122" s="223"/>
      <c r="N122" s="224"/>
      <c r="O122" s="224"/>
      <c r="P122" s="224"/>
      <c r="Q122" s="224"/>
      <c r="R122" s="224"/>
      <c r="S122" s="224"/>
      <c r="T122" s="225"/>
      <c r="AT122" s="226" t="s">
        <v>388</v>
      </c>
      <c r="AU122" s="226" t="s">
        <v>82</v>
      </c>
      <c r="AV122" s="15" t="s">
        <v>386</v>
      </c>
      <c r="AW122" s="15" t="s">
        <v>33</v>
      </c>
      <c r="AX122" s="15" t="s">
        <v>79</v>
      </c>
      <c r="AY122" s="226" t="s">
        <v>380</v>
      </c>
    </row>
    <row r="123" spans="1:65" s="2" customFormat="1" ht="16.5" customHeight="1">
      <c r="A123" s="36"/>
      <c r="B123" s="37"/>
      <c r="C123" s="181" t="s">
        <v>99</v>
      </c>
      <c r="D123" s="181" t="s">
        <v>382</v>
      </c>
      <c r="E123" s="182" t="s">
        <v>6293</v>
      </c>
      <c r="F123" s="183" t="s">
        <v>6294</v>
      </c>
      <c r="G123" s="184" t="s">
        <v>385</v>
      </c>
      <c r="H123" s="185">
        <v>218.64500000000001</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386</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386</v>
      </c>
      <c r="BM123" s="192" t="s">
        <v>411</v>
      </c>
    </row>
    <row r="124" spans="1:65" s="13" customFormat="1" ht="11.25">
      <c r="B124" s="194"/>
      <c r="C124" s="195"/>
      <c r="D124" s="196" t="s">
        <v>388</v>
      </c>
      <c r="E124" s="197" t="s">
        <v>19</v>
      </c>
      <c r="F124" s="198" t="s">
        <v>6270</v>
      </c>
      <c r="G124" s="195"/>
      <c r="H124" s="197" t="s">
        <v>19</v>
      </c>
      <c r="I124" s="199"/>
      <c r="J124" s="195"/>
      <c r="K124" s="195"/>
      <c r="L124" s="200"/>
      <c r="M124" s="201"/>
      <c r="N124" s="202"/>
      <c r="O124" s="202"/>
      <c r="P124" s="202"/>
      <c r="Q124" s="202"/>
      <c r="R124" s="202"/>
      <c r="S124" s="202"/>
      <c r="T124" s="203"/>
      <c r="AT124" s="204" t="s">
        <v>388</v>
      </c>
      <c r="AU124" s="204" t="s">
        <v>82</v>
      </c>
      <c r="AV124" s="13" t="s">
        <v>79</v>
      </c>
      <c r="AW124" s="13" t="s">
        <v>33</v>
      </c>
      <c r="AX124" s="13" t="s">
        <v>72</v>
      </c>
      <c r="AY124" s="204" t="s">
        <v>380</v>
      </c>
    </row>
    <row r="125" spans="1:65" s="14" customFormat="1" ht="11.25">
      <c r="B125" s="205"/>
      <c r="C125" s="206"/>
      <c r="D125" s="196" t="s">
        <v>388</v>
      </c>
      <c r="E125" s="207" t="s">
        <v>19</v>
      </c>
      <c r="F125" s="208" t="s">
        <v>6271</v>
      </c>
      <c r="G125" s="206"/>
      <c r="H125" s="209">
        <v>20.5</v>
      </c>
      <c r="I125" s="210"/>
      <c r="J125" s="206"/>
      <c r="K125" s="206"/>
      <c r="L125" s="211"/>
      <c r="M125" s="212"/>
      <c r="N125" s="213"/>
      <c r="O125" s="213"/>
      <c r="P125" s="213"/>
      <c r="Q125" s="213"/>
      <c r="R125" s="213"/>
      <c r="S125" s="213"/>
      <c r="T125" s="214"/>
      <c r="AT125" s="215" t="s">
        <v>388</v>
      </c>
      <c r="AU125" s="215" t="s">
        <v>82</v>
      </c>
      <c r="AV125" s="14" t="s">
        <v>82</v>
      </c>
      <c r="AW125" s="14" t="s">
        <v>33</v>
      </c>
      <c r="AX125" s="14" t="s">
        <v>72</v>
      </c>
      <c r="AY125" s="215" t="s">
        <v>380</v>
      </c>
    </row>
    <row r="126" spans="1:65" s="13" customFormat="1" ht="11.25">
      <c r="B126" s="194"/>
      <c r="C126" s="195"/>
      <c r="D126" s="196" t="s">
        <v>388</v>
      </c>
      <c r="E126" s="197" t="s">
        <v>19</v>
      </c>
      <c r="F126" s="198" t="s">
        <v>6272</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6287</v>
      </c>
      <c r="G127" s="206"/>
      <c r="H127" s="209">
        <v>33.887999999999998</v>
      </c>
      <c r="I127" s="210"/>
      <c r="J127" s="206"/>
      <c r="K127" s="206"/>
      <c r="L127" s="211"/>
      <c r="M127" s="212"/>
      <c r="N127" s="213"/>
      <c r="O127" s="213"/>
      <c r="P127" s="213"/>
      <c r="Q127" s="213"/>
      <c r="R127" s="213"/>
      <c r="S127" s="213"/>
      <c r="T127" s="214"/>
      <c r="AT127" s="215" t="s">
        <v>388</v>
      </c>
      <c r="AU127" s="215" t="s">
        <v>82</v>
      </c>
      <c r="AV127" s="14" t="s">
        <v>82</v>
      </c>
      <c r="AW127" s="14" t="s">
        <v>33</v>
      </c>
      <c r="AX127" s="14" t="s">
        <v>72</v>
      </c>
      <c r="AY127" s="215" t="s">
        <v>380</v>
      </c>
    </row>
    <row r="128" spans="1:65" s="13" customFormat="1" ht="11.25">
      <c r="B128" s="194"/>
      <c r="C128" s="195"/>
      <c r="D128" s="196" t="s">
        <v>388</v>
      </c>
      <c r="E128" s="197" t="s">
        <v>19</v>
      </c>
      <c r="F128" s="198" t="s">
        <v>6274</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6288</v>
      </c>
      <c r="G129" s="206"/>
      <c r="H129" s="209">
        <v>4</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6276</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6289</v>
      </c>
      <c r="G131" s="206"/>
      <c r="H131" s="209">
        <v>2</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6278</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6290</v>
      </c>
      <c r="G133" s="206"/>
      <c r="H133" s="209">
        <v>3.105</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3" customFormat="1" ht="11.25">
      <c r="B134" s="194"/>
      <c r="C134" s="195"/>
      <c r="D134" s="196" t="s">
        <v>388</v>
      </c>
      <c r="E134" s="197" t="s">
        <v>19</v>
      </c>
      <c r="F134" s="198" t="s">
        <v>6280</v>
      </c>
      <c r="G134" s="195"/>
      <c r="H134" s="197" t="s">
        <v>19</v>
      </c>
      <c r="I134" s="199"/>
      <c r="J134" s="195"/>
      <c r="K134" s="195"/>
      <c r="L134" s="200"/>
      <c r="M134" s="201"/>
      <c r="N134" s="202"/>
      <c r="O134" s="202"/>
      <c r="P134" s="202"/>
      <c r="Q134" s="202"/>
      <c r="R134" s="202"/>
      <c r="S134" s="202"/>
      <c r="T134" s="203"/>
      <c r="AT134" s="204" t="s">
        <v>388</v>
      </c>
      <c r="AU134" s="204" t="s">
        <v>82</v>
      </c>
      <c r="AV134" s="13" t="s">
        <v>79</v>
      </c>
      <c r="AW134" s="13" t="s">
        <v>33</v>
      </c>
      <c r="AX134" s="13" t="s">
        <v>72</v>
      </c>
      <c r="AY134" s="204" t="s">
        <v>380</v>
      </c>
    </row>
    <row r="135" spans="1:65" s="14" customFormat="1" ht="11.25">
      <c r="B135" s="205"/>
      <c r="C135" s="206"/>
      <c r="D135" s="196" t="s">
        <v>388</v>
      </c>
      <c r="E135" s="207" t="s">
        <v>19</v>
      </c>
      <c r="F135" s="208" t="s">
        <v>6291</v>
      </c>
      <c r="G135" s="206"/>
      <c r="H135" s="209">
        <v>28.88</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3" customFormat="1" ht="11.25">
      <c r="B136" s="194"/>
      <c r="C136" s="195"/>
      <c r="D136" s="196" t="s">
        <v>388</v>
      </c>
      <c r="E136" s="197" t="s">
        <v>19</v>
      </c>
      <c r="F136" s="198" t="s">
        <v>6282</v>
      </c>
      <c r="G136" s="195"/>
      <c r="H136" s="197" t="s">
        <v>19</v>
      </c>
      <c r="I136" s="199"/>
      <c r="J136" s="195"/>
      <c r="K136" s="195"/>
      <c r="L136" s="200"/>
      <c r="M136" s="201"/>
      <c r="N136" s="202"/>
      <c r="O136" s="202"/>
      <c r="P136" s="202"/>
      <c r="Q136" s="202"/>
      <c r="R136" s="202"/>
      <c r="S136" s="202"/>
      <c r="T136" s="203"/>
      <c r="AT136" s="204" t="s">
        <v>388</v>
      </c>
      <c r="AU136" s="204" t="s">
        <v>82</v>
      </c>
      <c r="AV136" s="13" t="s">
        <v>79</v>
      </c>
      <c r="AW136" s="13" t="s">
        <v>33</v>
      </c>
      <c r="AX136" s="13" t="s">
        <v>72</v>
      </c>
      <c r="AY136" s="204" t="s">
        <v>380</v>
      </c>
    </row>
    <row r="137" spans="1:65" s="14" customFormat="1" ht="11.25">
      <c r="B137" s="205"/>
      <c r="C137" s="206"/>
      <c r="D137" s="196" t="s">
        <v>388</v>
      </c>
      <c r="E137" s="207" t="s">
        <v>19</v>
      </c>
      <c r="F137" s="208" t="s">
        <v>6292</v>
      </c>
      <c r="G137" s="206"/>
      <c r="H137" s="209">
        <v>118.27200000000001</v>
      </c>
      <c r="I137" s="210"/>
      <c r="J137" s="206"/>
      <c r="K137" s="206"/>
      <c r="L137" s="211"/>
      <c r="M137" s="212"/>
      <c r="N137" s="213"/>
      <c r="O137" s="213"/>
      <c r="P137" s="213"/>
      <c r="Q137" s="213"/>
      <c r="R137" s="213"/>
      <c r="S137" s="213"/>
      <c r="T137" s="214"/>
      <c r="AT137" s="215" t="s">
        <v>388</v>
      </c>
      <c r="AU137" s="215" t="s">
        <v>82</v>
      </c>
      <c r="AV137" s="14" t="s">
        <v>82</v>
      </c>
      <c r="AW137" s="14" t="s">
        <v>33</v>
      </c>
      <c r="AX137" s="14" t="s">
        <v>72</v>
      </c>
      <c r="AY137" s="215" t="s">
        <v>380</v>
      </c>
    </row>
    <row r="138" spans="1:65" s="13" customFormat="1" ht="11.25">
      <c r="B138" s="194"/>
      <c r="C138" s="195"/>
      <c r="D138" s="196" t="s">
        <v>388</v>
      </c>
      <c r="E138" s="197" t="s">
        <v>19</v>
      </c>
      <c r="F138" s="198" t="s">
        <v>6284</v>
      </c>
      <c r="G138" s="195"/>
      <c r="H138" s="197" t="s">
        <v>19</v>
      </c>
      <c r="I138" s="199"/>
      <c r="J138" s="195"/>
      <c r="K138" s="195"/>
      <c r="L138" s="200"/>
      <c r="M138" s="201"/>
      <c r="N138" s="202"/>
      <c r="O138" s="202"/>
      <c r="P138" s="202"/>
      <c r="Q138" s="202"/>
      <c r="R138" s="202"/>
      <c r="S138" s="202"/>
      <c r="T138" s="203"/>
      <c r="AT138" s="204" t="s">
        <v>388</v>
      </c>
      <c r="AU138" s="204" t="s">
        <v>82</v>
      </c>
      <c r="AV138" s="13" t="s">
        <v>79</v>
      </c>
      <c r="AW138" s="13" t="s">
        <v>33</v>
      </c>
      <c r="AX138" s="13" t="s">
        <v>72</v>
      </c>
      <c r="AY138" s="204" t="s">
        <v>380</v>
      </c>
    </row>
    <row r="139" spans="1:65" s="14" customFormat="1" ht="11.25">
      <c r="B139" s="205"/>
      <c r="C139" s="206"/>
      <c r="D139" s="196" t="s">
        <v>388</v>
      </c>
      <c r="E139" s="207" t="s">
        <v>19</v>
      </c>
      <c r="F139" s="208" t="s">
        <v>6285</v>
      </c>
      <c r="G139" s="206"/>
      <c r="H139" s="209">
        <v>8</v>
      </c>
      <c r="I139" s="210"/>
      <c r="J139" s="206"/>
      <c r="K139" s="206"/>
      <c r="L139" s="211"/>
      <c r="M139" s="212"/>
      <c r="N139" s="213"/>
      <c r="O139" s="213"/>
      <c r="P139" s="213"/>
      <c r="Q139" s="213"/>
      <c r="R139" s="213"/>
      <c r="S139" s="213"/>
      <c r="T139" s="214"/>
      <c r="AT139" s="215" t="s">
        <v>388</v>
      </c>
      <c r="AU139" s="215" t="s">
        <v>82</v>
      </c>
      <c r="AV139" s="14" t="s">
        <v>82</v>
      </c>
      <c r="AW139" s="14" t="s">
        <v>33</v>
      </c>
      <c r="AX139" s="14" t="s">
        <v>72</v>
      </c>
      <c r="AY139" s="215" t="s">
        <v>380</v>
      </c>
    </row>
    <row r="140" spans="1:65" s="15" customFormat="1" ht="11.25">
      <c r="B140" s="216"/>
      <c r="C140" s="217"/>
      <c r="D140" s="196" t="s">
        <v>388</v>
      </c>
      <c r="E140" s="218" t="s">
        <v>19</v>
      </c>
      <c r="F140" s="219" t="s">
        <v>2544</v>
      </c>
      <c r="G140" s="217"/>
      <c r="H140" s="220">
        <v>218.64499999999998</v>
      </c>
      <c r="I140" s="221"/>
      <c r="J140" s="217"/>
      <c r="K140" s="217"/>
      <c r="L140" s="222"/>
      <c r="M140" s="223"/>
      <c r="N140" s="224"/>
      <c r="O140" s="224"/>
      <c r="P140" s="224"/>
      <c r="Q140" s="224"/>
      <c r="R140" s="224"/>
      <c r="S140" s="224"/>
      <c r="T140" s="225"/>
      <c r="AT140" s="226" t="s">
        <v>388</v>
      </c>
      <c r="AU140" s="226" t="s">
        <v>82</v>
      </c>
      <c r="AV140" s="15" t="s">
        <v>386</v>
      </c>
      <c r="AW140" s="15" t="s">
        <v>33</v>
      </c>
      <c r="AX140" s="15" t="s">
        <v>79</v>
      </c>
      <c r="AY140" s="226" t="s">
        <v>380</v>
      </c>
    </row>
    <row r="141" spans="1:65" s="2" customFormat="1" ht="16.5" customHeight="1">
      <c r="A141" s="36"/>
      <c r="B141" s="37"/>
      <c r="C141" s="181" t="s">
        <v>386</v>
      </c>
      <c r="D141" s="181" t="s">
        <v>382</v>
      </c>
      <c r="E141" s="182" t="s">
        <v>431</v>
      </c>
      <c r="F141" s="183" t="s">
        <v>432</v>
      </c>
      <c r="G141" s="184" t="s">
        <v>385</v>
      </c>
      <c r="H141" s="185">
        <v>218.64500000000001</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386</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386</v>
      </c>
      <c r="BM141" s="192" t="s">
        <v>424</v>
      </c>
    </row>
    <row r="142" spans="1:65" s="13" customFormat="1" ht="11.25">
      <c r="B142" s="194"/>
      <c r="C142" s="195"/>
      <c r="D142" s="196" t="s">
        <v>388</v>
      </c>
      <c r="E142" s="197" t="s">
        <v>19</v>
      </c>
      <c r="F142" s="198" t="s">
        <v>6270</v>
      </c>
      <c r="G142" s="195"/>
      <c r="H142" s="197" t="s">
        <v>19</v>
      </c>
      <c r="I142" s="199"/>
      <c r="J142" s="195"/>
      <c r="K142" s="195"/>
      <c r="L142" s="200"/>
      <c r="M142" s="201"/>
      <c r="N142" s="202"/>
      <c r="O142" s="202"/>
      <c r="P142" s="202"/>
      <c r="Q142" s="202"/>
      <c r="R142" s="202"/>
      <c r="S142" s="202"/>
      <c r="T142" s="203"/>
      <c r="AT142" s="204" t="s">
        <v>388</v>
      </c>
      <c r="AU142" s="204" t="s">
        <v>82</v>
      </c>
      <c r="AV142" s="13" t="s">
        <v>79</v>
      </c>
      <c r="AW142" s="13" t="s">
        <v>33</v>
      </c>
      <c r="AX142" s="13" t="s">
        <v>72</v>
      </c>
      <c r="AY142" s="204" t="s">
        <v>380</v>
      </c>
    </row>
    <row r="143" spans="1:65" s="14" customFormat="1" ht="11.25">
      <c r="B143" s="205"/>
      <c r="C143" s="206"/>
      <c r="D143" s="196" t="s">
        <v>388</v>
      </c>
      <c r="E143" s="207" t="s">
        <v>19</v>
      </c>
      <c r="F143" s="208" t="s">
        <v>6271</v>
      </c>
      <c r="G143" s="206"/>
      <c r="H143" s="209">
        <v>20.5</v>
      </c>
      <c r="I143" s="210"/>
      <c r="J143" s="206"/>
      <c r="K143" s="206"/>
      <c r="L143" s="211"/>
      <c r="M143" s="212"/>
      <c r="N143" s="213"/>
      <c r="O143" s="213"/>
      <c r="P143" s="213"/>
      <c r="Q143" s="213"/>
      <c r="R143" s="213"/>
      <c r="S143" s="213"/>
      <c r="T143" s="214"/>
      <c r="AT143" s="215" t="s">
        <v>388</v>
      </c>
      <c r="AU143" s="215" t="s">
        <v>82</v>
      </c>
      <c r="AV143" s="14" t="s">
        <v>82</v>
      </c>
      <c r="AW143" s="14" t="s">
        <v>33</v>
      </c>
      <c r="AX143" s="14" t="s">
        <v>72</v>
      </c>
      <c r="AY143" s="215" t="s">
        <v>380</v>
      </c>
    </row>
    <row r="144" spans="1:65" s="13" customFormat="1" ht="11.25">
      <c r="B144" s="194"/>
      <c r="C144" s="195"/>
      <c r="D144" s="196" t="s">
        <v>388</v>
      </c>
      <c r="E144" s="197" t="s">
        <v>19</v>
      </c>
      <c r="F144" s="198" t="s">
        <v>6272</v>
      </c>
      <c r="G144" s="195"/>
      <c r="H144" s="197" t="s">
        <v>19</v>
      </c>
      <c r="I144" s="199"/>
      <c r="J144" s="195"/>
      <c r="K144" s="195"/>
      <c r="L144" s="200"/>
      <c r="M144" s="201"/>
      <c r="N144" s="202"/>
      <c r="O144" s="202"/>
      <c r="P144" s="202"/>
      <c r="Q144" s="202"/>
      <c r="R144" s="202"/>
      <c r="S144" s="202"/>
      <c r="T144" s="203"/>
      <c r="AT144" s="204" t="s">
        <v>388</v>
      </c>
      <c r="AU144" s="204" t="s">
        <v>82</v>
      </c>
      <c r="AV144" s="13" t="s">
        <v>79</v>
      </c>
      <c r="AW144" s="13" t="s">
        <v>33</v>
      </c>
      <c r="AX144" s="13" t="s">
        <v>72</v>
      </c>
      <c r="AY144" s="204" t="s">
        <v>380</v>
      </c>
    </row>
    <row r="145" spans="1:65" s="14" customFormat="1" ht="11.25">
      <c r="B145" s="205"/>
      <c r="C145" s="206"/>
      <c r="D145" s="196" t="s">
        <v>388</v>
      </c>
      <c r="E145" s="207" t="s">
        <v>19</v>
      </c>
      <c r="F145" s="208" t="s">
        <v>6287</v>
      </c>
      <c r="G145" s="206"/>
      <c r="H145" s="209">
        <v>33.887999999999998</v>
      </c>
      <c r="I145" s="210"/>
      <c r="J145" s="206"/>
      <c r="K145" s="206"/>
      <c r="L145" s="211"/>
      <c r="M145" s="212"/>
      <c r="N145" s="213"/>
      <c r="O145" s="213"/>
      <c r="P145" s="213"/>
      <c r="Q145" s="213"/>
      <c r="R145" s="213"/>
      <c r="S145" s="213"/>
      <c r="T145" s="214"/>
      <c r="AT145" s="215" t="s">
        <v>388</v>
      </c>
      <c r="AU145" s="215" t="s">
        <v>82</v>
      </c>
      <c r="AV145" s="14" t="s">
        <v>82</v>
      </c>
      <c r="AW145" s="14" t="s">
        <v>33</v>
      </c>
      <c r="AX145" s="14" t="s">
        <v>72</v>
      </c>
      <c r="AY145" s="215" t="s">
        <v>380</v>
      </c>
    </row>
    <row r="146" spans="1:65" s="13" customFormat="1" ht="11.25">
      <c r="B146" s="194"/>
      <c r="C146" s="195"/>
      <c r="D146" s="196" t="s">
        <v>388</v>
      </c>
      <c r="E146" s="197" t="s">
        <v>19</v>
      </c>
      <c r="F146" s="198" t="s">
        <v>6274</v>
      </c>
      <c r="G146" s="195"/>
      <c r="H146" s="197" t="s">
        <v>19</v>
      </c>
      <c r="I146" s="199"/>
      <c r="J146" s="195"/>
      <c r="K146" s="195"/>
      <c r="L146" s="200"/>
      <c r="M146" s="201"/>
      <c r="N146" s="202"/>
      <c r="O146" s="202"/>
      <c r="P146" s="202"/>
      <c r="Q146" s="202"/>
      <c r="R146" s="202"/>
      <c r="S146" s="202"/>
      <c r="T146" s="203"/>
      <c r="AT146" s="204" t="s">
        <v>388</v>
      </c>
      <c r="AU146" s="204" t="s">
        <v>82</v>
      </c>
      <c r="AV146" s="13" t="s">
        <v>79</v>
      </c>
      <c r="AW146" s="13" t="s">
        <v>33</v>
      </c>
      <c r="AX146" s="13" t="s">
        <v>72</v>
      </c>
      <c r="AY146" s="204" t="s">
        <v>380</v>
      </c>
    </row>
    <row r="147" spans="1:65" s="14" customFormat="1" ht="11.25">
      <c r="B147" s="205"/>
      <c r="C147" s="206"/>
      <c r="D147" s="196" t="s">
        <v>388</v>
      </c>
      <c r="E147" s="207" t="s">
        <v>19</v>
      </c>
      <c r="F147" s="208" t="s">
        <v>6288</v>
      </c>
      <c r="G147" s="206"/>
      <c r="H147" s="209">
        <v>4</v>
      </c>
      <c r="I147" s="210"/>
      <c r="J147" s="206"/>
      <c r="K147" s="206"/>
      <c r="L147" s="211"/>
      <c r="M147" s="212"/>
      <c r="N147" s="213"/>
      <c r="O147" s="213"/>
      <c r="P147" s="213"/>
      <c r="Q147" s="213"/>
      <c r="R147" s="213"/>
      <c r="S147" s="213"/>
      <c r="T147" s="214"/>
      <c r="AT147" s="215" t="s">
        <v>388</v>
      </c>
      <c r="AU147" s="215" t="s">
        <v>82</v>
      </c>
      <c r="AV147" s="14" t="s">
        <v>82</v>
      </c>
      <c r="AW147" s="14" t="s">
        <v>33</v>
      </c>
      <c r="AX147" s="14" t="s">
        <v>72</v>
      </c>
      <c r="AY147" s="215" t="s">
        <v>380</v>
      </c>
    </row>
    <row r="148" spans="1:65" s="13" customFormat="1" ht="11.25">
      <c r="B148" s="194"/>
      <c r="C148" s="195"/>
      <c r="D148" s="196" t="s">
        <v>388</v>
      </c>
      <c r="E148" s="197" t="s">
        <v>19</v>
      </c>
      <c r="F148" s="198" t="s">
        <v>6276</v>
      </c>
      <c r="G148" s="195"/>
      <c r="H148" s="197" t="s">
        <v>19</v>
      </c>
      <c r="I148" s="199"/>
      <c r="J148" s="195"/>
      <c r="K148" s="195"/>
      <c r="L148" s="200"/>
      <c r="M148" s="201"/>
      <c r="N148" s="202"/>
      <c r="O148" s="202"/>
      <c r="P148" s="202"/>
      <c r="Q148" s="202"/>
      <c r="R148" s="202"/>
      <c r="S148" s="202"/>
      <c r="T148" s="203"/>
      <c r="AT148" s="204" t="s">
        <v>388</v>
      </c>
      <c r="AU148" s="204" t="s">
        <v>82</v>
      </c>
      <c r="AV148" s="13" t="s">
        <v>79</v>
      </c>
      <c r="AW148" s="13" t="s">
        <v>33</v>
      </c>
      <c r="AX148" s="13" t="s">
        <v>72</v>
      </c>
      <c r="AY148" s="204" t="s">
        <v>380</v>
      </c>
    </row>
    <row r="149" spans="1:65" s="14" customFormat="1" ht="11.25">
      <c r="B149" s="205"/>
      <c r="C149" s="206"/>
      <c r="D149" s="196" t="s">
        <v>388</v>
      </c>
      <c r="E149" s="207" t="s">
        <v>19</v>
      </c>
      <c r="F149" s="208" t="s">
        <v>6289</v>
      </c>
      <c r="G149" s="206"/>
      <c r="H149" s="209">
        <v>2</v>
      </c>
      <c r="I149" s="210"/>
      <c r="J149" s="206"/>
      <c r="K149" s="206"/>
      <c r="L149" s="211"/>
      <c r="M149" s="212"/>
      <c r="N149" s="213"/>
      <c r="O149" s="213"/>
      <c r="P149" s="213"/>
      <c r="Q149" s="213"/>
      <c r="R149" s="213"/>
      <c r="S149" s="213"/>
      <c r="T149" s="214"/>
      <c r="AT149" s="215" t="s">
        <v>388</v>
      </c>
      <c r="AU149" s="215" t="s">
        <v>82</v>
      </c>
      <c r="AV149" s="14" t="s">
        <v>82</v>
      </c>
      <c r="AW149" s="14" t="s">
        <v>33</v>
      </c>
      <c r="AX149" s="14" t="s">
        <v>72</v>
      </c>
      <c r="AY149" s="215" t="s">
        <v>380</v>
      </c>
    </row>
    <row r="150" spans="1:65" s="13" customFormat="1" ht="11.25">
      <c r="B150" s="194"/>
      <c r="C150" s="195"/>
      <c r="D150" s="196" t="s">
        <v>388</v>
      </c>
      <c r="E150" s="197" t="s">
        <v>19</v>
      </c>
      <c r="F150" s="198" t="s">
        <v>6278</v>
      </c>
      <c r="G150" s="195"/>
      <c r="H150" s="197" t="s">
        <v>19</v>
      </c>
      <c r="I150" s="199"/>
      <c r="J150" s="195"/>
      <c r="K150" s="195"/>
      <c r="L150" s="200"/>
      <c r="M150" s="201"/>
      <c r="N150" s="202"/>
      <c r="O150" s="202"/>
      <c r="P150" s="202"/>
      <c r="Q150" s="202"/>
      <c r="R150" s="202"/>
      <c r="S150" s="202"/>
      <c r="T150" s="203"/>
      <c r="AT150" s="204" t="s">
        <v>388</v>
      </c>
      <c r="AU150" s="204" t="s">
        <v>82</v>
      </c>
      <c r="AV150" s="13" t="s">
        <v>79</v>
      </c>
      <c r="AW150" s="13" t="s">
        <v>33</v>
      </c>
      <c r="AX150" s="13" t="s">
        <v>72</v>
      </c>
      <c r="AY150" s="204" t="s">
        <v>380</v>
      </c>
    </row>
    <row r="151" spans="1:65" s="14" customFormat="1" ht="11.25">
      <c r="B151" s="205"/>
      <c r="C151" s="206"/>
      <c r="D151" s="196" t="s">
        <v>388</v>
      </c>
      <c r="E151" s="207" t="s">
        <v>19</v>
      </c>
      <c r="F151" s="208" t="s">
        <v>6290</v>
      </c>
      <c r="G151" s="206"/>
      <c r="H151" s="209">
        <v>3.105</v>
      </c>
      <c r="I151" s="210"/>
      <c r="J151" s="206"/>
      <c r="K151" s="206"/>
      <c r="L151" s="211"/>
      <c r="M151" s="212"/>
      <c r="N151" s="213"/>
      <c r="O151" s="213"/>
      <c r="P151" s="213"/>
      <c r="Q151" s="213"/>
      <c r="R151" s="213"/>
      <c r="S151" s="213"/>
      <c r="T151" s="214"/>
      <c r="AT151" s="215" t="s">
        <v>388</v>
      </c>
      <c r="AU151" s="215" t="s">
        <v>82</v>
      </c>
      <c r="AV151" s="14" t="s">
        <v>82</v>
      </c>
      <c r="AW151" s="14" t="s">
        <v>33</v>
      </c>
      <c r="AX151" s="14" t="s">
        <v>72</v>
      </c>
      <c r="AY151" s="215" t="s">
        <v>380</v>
      </c>
    </row>
    <row r="152" spans="1:65" s="13" customFormat="1" ht="11.25">
      <c r="B152" s="194"/>
      <c r="C152" s="195"/>
      <c r="D152" s="196" t="s">
        <v>388</v>
      </c>
      <c r="E152" s="197" t="s">
        <v>19</v>
      </c>
      <c r="F152" s="198" t="s">
        <v>6280</v>
      </c>
      <c r="G152" s="195"/>
      <c r="H152" s="197" t="s">
        <v>19</v>
      </c>
      <c r="I152" s="199"/>
      <c r="J152" s="195"/>
      <c r="K152" s="195"/>
      <c r="L152" s="200"/>
      <c r="M152" s="201"/>
      <c r="N152" s="202"/>
      <c r="O152" s="202"/>
      <c r="P152" s="202"/>
      <c r="Q152" s="202"/>
      <c r="R152" s="202"/>
      <c r="S152" s="202"/>
      <c r="T152" s="203"/>
      <c r="AT152" s="204" t="s">
        <v>388</v>
      </c>
      <c r="AU152" s="204" t="s">
        <v>82</v>
      </c>
      <c r="AV152" s="13" t="s">
        <v>79</v>
      </c>
      <c r="AW152" s="13" t="s">
        <v>33</v>
      </c>
      <c r="AX152" s="13" t="s">
        <v>72</v>
      </c>
      <c r="AY152" s="204" t="s">
        <v>380</v>
      </c>
    </row>
    <row r="153" spans="1:65" s="14" customFormat="1" ht="11.25">
      <c r="B153" s="205"/>
      <c r="C153" s="206"/>
      <c r="D153" s="196" t="s">
        <v>388</v>
      </c>
      <c r="E153" s="207" t="s">
        <v>19</v>
      </c>
      <c r="F153" s="208" t="s">
        <v>6291</v>
      </c>
      <c r="G153" s="206"/>
      <c r="H153" s="209">
        <v>28.88</v>
      </c>
      <c r="I153" s="210"/>
      <c r="J153" s="206"/>
      <c r="K153" s="206"/>
      <c r="L153" s="211"/>
      <c r="M153" s="212"/>
      <c r="N153" s="213"/>
      <c r="O153" s="213"/>
      <c r="P153" s="213"/>
      <c r="Q153" s="213"/>
      <c r="R153" s="213"/>
      <c r="S153" s="213"/>
      <c r="T153" s="214"/>
      <c r="AT153" s="215" t="s">
        <v>388</v>
      </c>
      <c r="AU153" s="215" t="s">
        <v>82</v>
      </c>
      <c r="AV153" s="14" t="s">
        <v>82</v>
      </c>
      <c r="AW153" s="14" t="s">
        <v>33</v>
      </c>
      <c r="AX153" s="14" t="s">
        <v>72</v>
      </c>
      <c r="AY153" s="215" t="s">
        <v>380</v>
      </c>
    </row>
    <row r="154" spans="1:65" s="13" customFormat="1" ht="11.25">
      <c r="B154" s="194"/>
      <c r="C154" s="195"/>
      <c r="D154" s="196" t="s">
        <v>388</v>
      </c>
      <c r="E154" s="197" t="s">
        <v>19</v>
      </c>
      <c r="F154" s="198" t="s">
        <v>6282</v>
      </c>
      <c r="G154" s="195"/>
      <c r="H154" s="197" t="s">
        <v>19</v>
      </c>
      <c r="I154" s="199"/>
      <c r="J154" s="195"/>
      <c r="K154" s="195"/>
      <c r="L154" s="200"/>
      <c r="M154" s="201"/>
      <c r="N154" s="202"/>
      <c r="O154" s="202"/>
      <c r="P154" s="202"/>
      <c r="Q154" s="202"/>
      <c r="R154" s="202"/>
      <c r="S154" s="202"/>
      <c r="T154" s="203"/>
      <c r="AT154" s="204" t="s">
        <v>388</v>
      </c>
      <c r="AU154" s="204" t="s">
        <v>82</v>
      </c>
      <c r="AV154" s="13" t="s">
        <v>79</v>
      </c>
      <c r="AW154" s="13" t="s">
        <v>33</v>
      </c>
      <c r="AX154" s="13" t="s">
        <v>72</v>
      </c>
      <c r="AY154" s="204" t="s">
        <v>380</v>
      </c>
    </row>
    <row r="155" spans="1:65" s="14" customFormat="1" ht="11.25">
      <c r="B155" s="205"/>
      <c r="C155" s="206"/>
      <c r="D155" s="196" t="s">
        <v>388</v>
      </c>
      <c r="E155" s="207" t="s">
        <v>19</v>
      </c>
      <c r="F155" s="208" t="s">
        <v>6292</v>
      </c>
      <c r="G155" s="206"/>
      <c r="H155" s="209">
        <v>118.27200000000001</v>
      </c>
      <c r="I155" s="210"/>
      <c r="J155" s="206"/>
      <c r="K155" s="206"/>
      <c r="L155" s="211"/>
      <c r="M155" s="212"/>
      <c r="N155" s="213"/>
      <c r="O155" s="213"/>
      <c r="P155" s="213"/>
      <c r="Q155" s="213"/>
      <c r="R155" s="213"/>
      <c r="S155" s="213"/>
      <c r="T155" s="214"/>
      <c r="AT155" s="215" t="s">
        <v>388</v>
      </c>
      <c r="AU155" s="215" t="s">
        <v>82</v>
      </c>
      <c r="AV155" s="14" t="s">
        <v>82</v>
      </c>
      <c r="AW155" s="14" t="s">
        <v>33</v>
      </c>
      <c r="AX155" s="14" t="s">
        <v>72</v>
      </c>
      <c r="AY155" s="215" t="s">
        <v>380</v>
      </c>
    </row>
    <row r="156" spans="1:65" s="13" customFormat="1" ht="11.25">
      <c r="B156" s="194"/>
      <c r="C156" s="195"/>
      <c r="D156" s="196" t="s">
        <v>388</v>
      </c>
      <c r="E156" s="197" t="s">
        <v>19</v>
      </c>
      <c r="F156" s="198" t="s">
        <v>6284</v>
      </c>
      <c r="G156" s="195"/>
      <c r="H156" s="197" t="s">
        <v>19</v>
      </c>
      <c r="I156" s="199"/>
      <c r="J156" s="195"/>
      <c r="K156" s="195"/>
      <c r="L156" s="200"/>
      <c r="M156" s="201"/>
      <c r="N156" s="202"/>
      <c r="O156" s="202"/>
      <c r="P156" s="202"/>
      <c r="Q156" s="202"/>
      <c r="R156" s="202"/>
      <c r="S156" s="202"/>
      <c r="T156" s="203"/>
      <c r="AT156" s="204" t="s">
        <v>388</v>
      </c>
      <c r="AU156" s="204" t="s">
        <v>82</v>
      </c>
      <c r="AV156" s="13" t="s">
        <v>79</v>
      </c>
      <c r="AW156" s="13" t="s">
        <v>33</v>
      </c>
      <c r="AX156" s="13" t="s">
        <v>72</v>
      </c>
      <c r="AY156" s="204" t="s">
        <v>380</v>
      </c>
    </row>
    <row r="157" spans="1:65" s="14" customFormat="1" ht="11.25">
      <c r="B157" s="205"/>
      <c r="C157" s="206"/>
      <c r="D157" s="196" t="s">
        <v>388</v>
      </c>
      <c r="E157" s="207" t="s">
        <v>19</v>
      </c>
      <c r="F157" s="208" t="s">
        <v>6285</v>
      </c>
      <c r="G157" s="206"/>
      <c r="H157" s="209">
        <v>8</v>
      </c>
      <c r="I157" s="210"/>
      <c r="J157" s="206"/>
      <c r="K157" s="206"/>
      <c r="L157" s="211"/>
      <c r="M157" s="212"/>
      <c r="N157" s="213"/>
      <c r="O157" s="213"/>
      <c r="P157" s="213"/>
      <c r="Q157" s="213"/>
      <c r="R157" s="213"/>
      <c r="S157" s="213"/>
      <c r="T157" s="214"/>
      <c r="AT157" s="215" t="s">
        <v>388</v>
      </c>
      <c r="AU157" s="215" t="s">
        <v>82</v>
      </c>
      <c r="AV157" s="14" t="s">
        <v>82</v>
      </c>
      <c r="AW157" s="14" t="s">
        <v>33</v>
      </c>
      <c r="AX157" s="14" t="s">
        <v>72</v>
      </c>
      <c r="AY157" s="215" t="s">
        <v>380</v>
      </c>
    </row>
    <row r="158" spans="1:65" s="15" customFormat="1" ht="11.25">
      <c r="B158" s="216"/>
      <c r="C158" s="217"/>
      <c r="D158" s="196" t="s">
        <v>388</v>
      </c>
      <c r="E158" s="218" t="s">
        <v>19</v>
      </c>
      <c r="F158" s="219" t="s">
        <v>2544</v>
      </c>
      <c r="G158" s="217"/>
      <c r="H158" s="220">
        <v>218.64499999999998</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16.5" customHeight="1">
      <c r="A159" s="36"/>
      <c r="B159" s="37"/>
      <c r="C159" s="181" t="s">
        <v>405</v>
      </c>
      <c r="D159" s="181" t="s">
        <v>382</v>
      </c>
      <c r="E159" s="182" t="s">
        <v>435</v>
      </c>
      <c r="F159" s="183" t="s">
        <v>6295</v>
      </c>
      <c r="G159" s="184" t="s">
        <v>437</v>
      </c>
      <c r="H159" s="185">
        <v>393.3</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386</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386</v>
      </c>
      <c r="BM159" s="192" t="s">
        <v>122</v>
      </c>
    </row>
    <row r="160" spans="1:65" s="14" customFormat="1" ht="11.25">
      <c r="B160" s="205"/>
      <c r="C160" s="206"/>
      <c r="D160" s="196" t="s">
        <v>388</v>
      </c>
      <c r="E160" s="207" t="s">
        <v>19</v>
      </c>
      <c r="F160" s="208" t="s">
        <v>6296</v>
      </c>
      <c r="G160" s="206"/>
      <c r="H160" s="209">
        <v>393.3</v>
      </c>
      <c r="I160" s="210"/>
      <c r="J160" s="206"/>
      <c r="K160" s="206"/>
      <c r="L160" s="211"/>
      <c r="M160" s="212"/>
      <c r="N160" s="213"/>
      <c r="O160" s="213"/>
      <c r="P160" s="213"/>
      <c r="Q160" s="213"/>
      <c r="R160" s="213"/>
      <c r="S160" s="213"/>
      <c r="T160" s="214"/>
      <c r="AT160" s="215" t="s">
        <v>388</v>
      </c>
      <c r="AU160" s="215" t="s">
        <v>82</v>
      </c>
      <c r="AV160" s="14" t="s">
        <v>82</v>
      </c>
      <c r="AW160" s="14" t="s">
        <v>33</v>
      </c>
      <c r="AX160" s="14" t="s">
        <v>72</v>
      </c>
      <c r="AY160" s="215" t="s">
        <v>380</v>
      </c>
    </row>
    <row r="161" spans="1:65" s="15" customFormat="1" ht="11.25">
      <c r="B161" s="216"/>
      <c r="C161" s="217"/>
      <c r="D161" s="196" t="s">
        <v>388</v>
      </c>
      <c r="E161" s="218" t="s">
        <v>19</v>
      </c>
      <c r="F161" s="219" t="s">
        <v>419</v>
      </c>
      <c r="G161" s="217"/>
      <c r="H161" s="220">
        <v>393.3</v>
      </c>
      <c r="I161" s="221"/>
      <c r="J161" s="217"/>
      <c r="K161" s="217"/>
      <c r="L161" s="222"/>
      <c r="M161" s="223"/>
      <c r="N161" s="224"/>
      <c r="O161" s="224"/>
      <c r="P161" s="224"/>
      <c r="Q161" s="224"/>
      <c r="R161" s="224"/>
      <c r="S161" s="224"/>
      <c r="T161" s="225"/>
      <c r="AT161" s="226" t="s">
        <v>388</v>
      </c>
      <c r="AU161" s="226" t="s">
        <v>82</v>
      </c>
      <c r="AV161" s="15" t="s">
        <v>386</v>
      </c>
      <c r="AW161" s="15" t="s">
        <v>33</v>
      </c>
      <c r="AX161" s="15" t="s">
        <v>79</v>
      </c>
      <c r="AY161" s="226" t="s">
        <v>380</v>
      </c>
    </row>
    <row r="162" spans="1:65" s="2" customFormat="1" ht="16.5" customHeight="1">
      <c r="A162" s="36"/>
      <c r="B162" s="37"/>
      <c r="C162" s="181" t="s">
        <v>411</v>
      </c>
      <c r="D162" s="181" t="s">
        <v>382</v>
      </c>
      <c r="E162" s="182" t="s">
        <v>440</v>
      </c>
      <c r="F162" s="183" t="s">
        <v>6297</v>
      </c>
      <c r="G162" s="184" t="s">
        <v>385</v>
      </c>
      <c r="H162" s="185">
        <v>102.997</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386</v>
      </c>
      <c r="AT162" s="192" t="s">
        <v>382</v>
      </c>
      <c r="AU162" s="192" t="s">
        <v>82</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386</v>
      </c>
      <c r="BM162" s="192" t="s">
        <v>128</v>
      </c>
    </row>
    <row r="163" spans="1:65" s="13" customFormat="1" ht="11.25">
      <c r="B163" s="194"/>
      <c r="C163" s="195"/>
      <c r="D163" s="196" t="s">
        <v>388</v>
      </c>
      <c r="E163" s="197" t="s">
        <v>19</v>
      </c>
      <c r="F163" s="198" t="s">
        <v>6272</v>
      </c>
      <c r="G163" s="195"/>
      <c r="H163" s="197" t="s">
        <v>19</v>
      </c>
      <c r="I163" s="199"/>
      <c r="J163" s="195"/>
      <c r="K163" s="195"/>
      <c r="L163" s="200"/>
      <c r="M163" s="201"/>
      <c r="N163" s="202"/>
      <c r="O163" s="202"/>
      <c r="P163" s="202"/>
      <c r="Q163" s="202"/>
      <c r="R163" s="202"/>
      <c r="S163" s="202"/>
      <c r="T163" s="203"/>
      <c r="AT163" s="204" t="s">
        <v>388</v>
      </c>
      <c r="AU163" s="204" t="s">
        <v>82</v>
      </c>
      <c r="AV163" s="13" t="s">
        <v>79</v>
      </c>
      <c r="AW163" s="13" t="s">
        <v>33</v>
      </c>
      <c r="AX163" s="13" t="s">
        <v>72</v>
      </c>
      <c r="AY163" s="204" t="s">
        <v>380</v>
      </c>
    </row>
    <row r="164" spans="1:65" s="14" customFormat="1" ht="11.25">
      <c r="B164" s="205"/>
      <c r="C164" s="206"/>
      <c r="D164" s="196" t="s">
        <v>388</v>
      </c>
      <c r="E164" s="207" t="s">
        <v>19</v>
      </c>
      <c r="F164" s="208" t="s">
        <v>6298</v>
      </c>
      <c r="G164" s="206"/>
      <c r="H164" s="209">
        <v>28.24</v>
      </c>
      <c r="I164" s="210"/>
      <c r="J164" s="206"/>
      <c r="K164" s="206"/>
      <c r="L164" s="211"/>
      <c r="M164" s="212"/>
      <c r="N164" s="213"/>
      <c r="O164" s="213"/>
      <c r="P164" s="213"/>
      <c r="Q164" s="213"/>
      <c r="R164" s="213"/>
      <c r="S164" s="213"/>
      <c r="T164" s="214"/>
      <c r="AT164" s="215" t="s">
        <v>388</v>
      </c>
      <c r="AU164" s="215" t="s">
        <v>82</v>
      </c>
      <c r="AV164" s="14" t="s">
        <v>82</v>
      </c>
      <c r="AW164" s="14" t="s">
        <v>33</v>
      </c>
      <c r="AX164" s="14" t="s">
        <v>72</v>
      </c>
      <c r="AY164" s="215" t="s">
        <v>380</v>
      </c>
    </row>
    <row r="165" spans="1:65" s="13" customFormat="1" ht="11.25">
      <c r="B165" s="194"/>
      <c r="C165" s="195"/>
      <c r="D165" s="196" t="s">
        <v>388</v>
      </c>
      <c r="E165" s="197" t="s">
        <v>19</v>
      </c>
      <c r="F165" s="198" t="s">
        <v>6274</v>
      </c>
      <c r="G165" s="195"/>
      <c r="H165" s="197" t="s">
        <v>19</v>
      </c>
      <c r="I165" s="199"/>
      <c r="J165" s="195"/>
      <c r="K165" s="195"/>
      <c r="L165" s="200"/>
      <c r="M165" s="201"/>
      <c r="N165" s="202"/>
      <c r="O165" s="202"/>
      <c r="P165" s="202"/>
      <c r="Q165" s="202"/>
      <c r="R165" s="202"/>
      <c r="S165" s="202"/>
      <c r="T165" s="203"/>
      <c r="AT165" s="204" t="s">
        <v>388</v>
      </c>
      <c r="AU165" s="204" t="s">
        <v>82</v>
      </c>
      <c r="AV165" s="13" t="s">
        <v>79</v>
      </c>
      <c r="AW165" s="13" t="s">
        <v>33</v>
      </c>
      <c r="AX165" s="13" t="s">
        <v>72</v>
      </c>
      <c r="AY165" s="204" t="s">
        <v>380</v>
      </c>
    </row>
    <row r="166" spans="1:65" s="14" customFormat="1" ht="11.25">
      <c r="B166" s="205"/>
      <c r="C166" s="206"/>
      <c r="D166" s="196" t="s">
        <v>388</v>
      </c>
      <c r="E166" s="207" t="s">
        <v>19</v>
      </c>
      <c r="F166" s="208" t="s">
        <v>6288</v>
      </c>
      <c r="G166" s="206"/>
      <c r="H166" s="209">
        <v>4</v>
      </c>
      <c r="I166" s="210"/>
      <c r="J166" s="206"/>
      <c r="K166" s="206"/>
      <c r="L166" s="211"/>
      <c r="M166" s="212"/>
      <c r="N166" s="213"/>
      <c r="O166" s="213"/>
      <c r="P166" s="213"/>
      <c r="Q166" s="213"/>
      <c r="R166" s="213"/>
      <c r="S166" s="213"/>
      <c r="T166" s="214"/>
      <c r="AT166" s="215" t="s">
        <v>388</v>
      </c>
      <c r="AU166" s="215" t="s">
        <v>82</v>
      </c>
      <c r="AV166" s="14" t="s">
        <v>82</v>
      </c>
      <c r="AW166" s="14" t="s">
        <v>33</v>
      </c>
      <c r="AX166" s="14" t="s">
        <v>72</v>
      </c>
      <c r="AY166" s="215" t="s">
        <v>380</v>
      </c>
    </row>
    <row r="167" spans="1:65" s="13" customFormat="1" ht="11.25">
      <c r="B167" s="194"/>
      <c r="C167" s="195"/>
      <c r="D167" s="196" t="s">
        <v>388</v>
      </c>
      <c r="E167" s="197" t="s">
        <v>19</v>
      </c>
      <c r="F167" s="198" t="s">
        <v>6276</v>
      </c>
      <c r="G167" s="195"/>
      <c r="H167" s="197" t="s">
        <v>19</v>
      </c>
      <c r="I167" s="199"/>
      <c r="J167" s="195"/>
      <c r="K167" s="195"/>
      <c r="L167" s="200"/>
      <c r="M167" s="201"/>
      <c r="N167" s="202"/>
      <c r="O167" s="202"/>
      <c r="P167" s="202"/>
      <c r="Q167" s="202"/>
      <c r="R167" s="202"/>
      <c r="S167" s="202"/>
      <c r="T167" s="203"/>
      <c r="AT167" s="204" t="s">
        <v>388</v>
      </c>
      <c r="AU167" s="204" t="s">
        <v>82</v>
      </c>
      <c r="AV167" s="13" t="s">
        <v>79</v>
      </c>
      <c r="AW167" s="13" t="s">
        <v>33</v>
      </c>
      <c r="AX167" s="13" t="s">
        <v>72</v>
      </c>
      <c r="AY167" s="204" t="s">
        <v>380</v>
      </c>
    </row>
    <row r="168" spans="1:65" s="14" customFormat="1" ht="11.25">
      <c r="B168" s="205"/>
      <c r="C168" s="206"/>
      <c r="D168" s="196" t="s">
        <v>388</v>
      </c>
      <c r="E168" s="207" t="s">
        <v>19</v>
      </c>
      <c r="F168" s="208" t="s">
        <v>6289</v>
      </c>
      <c r="G168" s="206"/>
      <c r="H168" s="209">
        <v>2</v>
      </c>
      <c r="I168" s="210"/>
      <c r="J168" s="206"/>
      <c r="K168" s="206"/>
      <c r="L168" s="211"/>
      <c r="M168" s="212"/>
      <c r="N168" s="213"/>
      <c r="O168" s="213"/>
      <c r="P168" s="213"/>
      <c r="Q168" s="213"/>
      <c r="R168" s="213"/>
      <c r="S168" s="213"/>
      <c r="T168" s="214"/>
      <c r="AT168" s="215" t="s">
        <v>388</v>
      </c>
      <c r="AU168" s="215" t="s">
        <v>82</v>
      </c>
      <c r="AV168" s="14" t="s">
        <v>82</v>
      </c>
      <c r="AW168" s="14" t="s">
        <v>33</v>
      </c>
      <c r="AX168" s="14" t="s">
        <v>72</v>
      </c>
      <c r="AY168" s="215" t="s">
        <v>380</v>
      </c>
    </row>
    <row r="169" spans="1:65" s="13" customFormat="1" ht="11.25">
      <c r="B169" s="194"/>
      <c r="C169" s="195"/>
      <c r="D169" s="196" t="s">
        <v>388</v>
      </c>
      <c r="E169" s="197" t="s">
        <v>19</v>
      </c>
      <c r="F169" s="198" t="s">
        <v>6278</v>
      </c>
      <c r="G169" s="195"/>
      <c r="H169" s="197" t="s">
        <v>19</v>
      </c>
      <c r="I169" s="199"/>
      <c r="J169" s="195"/>
      <c r="K169" s="195"/>
      <c r="L169" s="200"/>
      <c r="M169" s="201"/>
      <c r="N169" s="202"/>
      <c r="O169" s="202"/>
      <c r="P169" s="202"/>
      <c r="Q169" s="202"/>
      <c r="R169" s="202"/>
      <c r="S169" s="202"/>
      <c r="T169" s="203"/>
      <c r="AT169" s="204" t="s">
        <v>388</v>
      </c>
      <c r="AU169" s="204" t="s">
        <v>82</v>
      </c>
      <c r="AV169" s="13" t="s">
        <v>79</v>
      </c>
      <c r="AW169" s="13" t="s">
        <v>33</v>
      </c>
      <c r="AX169" s="13" t="s">
        <v>72</v>
      </c>
      <c r="AY169" s="204" t="s">
        <v>380</v>
      </c>
    </row>
    <row r="170" spans="1:65" s="14" customFormat="1" ht="11.25">
      <c r="B170" s="205"/>
      <c r="C170" s="206"/>
      <c r="D170" s="196" t="s">
        <v>388</v>
      </c>
      <c r="E170" s="207" t="s">
        <v>19</v>
      </c>
      <c r="F170" s="208" t="s">
        <v>6299</v>
      </c>
      <c r="G170" s="206"/>
      <c r="H170" s="209">
        <v>3.9329999999999998</v>
      </c>
      <c r="I170" s="210"/>
      <c r="J170" s="206"/>
      <c r="K170" s="206"/>
      <c r="L170" s="211"/>
      <c r="M170" s="212"/>
      <c r="N170" s="213"/>
      <c r="O170" s="213"/>
      <c r="P170" s="213"/>
      <c r="Q170" s="213"/>
      <c r="R170" s="213"/>
      <c r="S170" s="213"/>
      <c r="T170" s="214"/>
      <c r="AT170" s="215" t="s">
        <v>388</v>
      </c>
      <c r="AU170" s="215" t="s">
        <v>82</v>
      </c>
      <c r="AV170" s="14" t="s">
        <v>82</v>
      </c>
      <c r="AW170" s="14" t="s">
        <v>33</v>
      </c>
      <c r="AX170" s="14" t="s">
        <v>72</v>
      </c>
      <c r="AY170" s="215" t="s">
        <v>380</v>
      </c>
    </row>
    <row r="171" spans="1:65" s="13" customFormat="1" ht="11.25">
      <c r="B171" s="194"/>
      <c r="C171" s="195"/>
      <c r="D171" s="196" t="s">
        <v>388</v>
      </c>
      <c r="E171" s="197" t="s">
        <v>19</v>
      </c>
      <c r="F171" s="198" t="s">
        <v>6280</v>
      </c>
      <c r="G171" s="195"/>
      <c r="H171" s="197" t="s">
        <v>19</v>
      </c>
      <c r="I171" s="199"/>
      <c r="J171" s="195"/>
      <c r="K171" s="195"/>
      <c r="L171" s="200"/>
      <c r="M171" s="201"/>
      <c r="N171" s="202"/>
      <c r="O171" s="202"/>
      <c r="P171" s="202"/>
      <c r="Q171" s="202"/>
      <c r="R171" s="202"/>
      <c r="S171" s="202"/>
      <c r="T171" s="203"/>
      <c r="AT171" s="204" t="s">
        <v>388</v>
      </c>
      <c r="AU171" s="204" t="s">
        <v>82</v>
      </c>
      <c r="AV171" s="13" t="s">
        <v>79</v>
      </c>
      <c r="AW171" s="13" t="s">
        <v>33</v>
      </c>
      <c r="AX171" s="13" t="s">
        <v>72</v>
      </c>
      <c r="AY171" s="204" t="s">
        <v>380</v>
      </c>
    </row>
    <row r="172" spans="1:65" s="14" customFormat="1" ht="11.25">
      <c r="B172" s="205"/>
      <c r="C172" s="206"/>
      <c r="D172" s="196" t="s">
        <v>388</v>
      </c>
      <c r="E172" s="207" t="s">
        <v>19</v>
      </c>
      <c r="F172" s="208" t="s">
        <v>6300</v>
      </c>
      <c r="G172" s="206"/>
      <c r="H172" s="209">
        <v>43.32</v>
      </c>
      <c r="I172" s="210"/>
      <c r="J172" s="206"/>
      <c r="K172" s="206"/>
      <c r="L172" s="211"/>
      <c r="M172" s="212"/>
      <c r="N172" s="213"/>
      <c r="O172" s="213"/>
      <c r="P172" s="213"/>
      <c r="Q172" s="213"/>
      <c r="R172" s="213"/>
      <c r="S172" s="213"/>
      <c r="T172" s="214"/>
      <c r="AT172" s="215" t="s">
        <v>388</v>
      </c>
      <c r="AU172" s="215" t="s">
        <v>82</v>
      </c>
      <c r="AV172" s="14" t="s">
        <v>82</v>
      </c>
      <c r="AW172" s="14" t="s">
        <v>33</v>
      </c>
      <c r="AX172" s="14" t="s">
        <v>72</v>
      </c>
      <c r="AY172" s="215" t="s">
        <v>380</v>
      </c>
    </row>
    <row r="173" spans="1:65" s="13" customFormat="1" ht="11.25">
      <c r="B173" s="194"/>
      <c r="C173" s="195"/>
      <c r="D173" s="196" t="s">
        <v>388</v>
      </c>
      <c r="E173" s="197" t="s">
        <v>19</v>
      </c>
      <c r="F173" s="198" t="s">
        <v>6282</v>
      </c>
      <c r="G173" s="195"/>
      <c r="H173" s="197" t="s">
        <v>19</v>
      </c>
      <c r="I173" s="199"/>
      <c r="J173" s="195"/>
      <c r="K173" s="195"/>
      <c r="L173" s="200"/>
      <c r="M173" s="201"/>
      <c r="N173" s="202"/>
      <c r="O173" s="202"/>
      <c r="P173" s="202"/>
      <c r="Q173" s="202"/>
      <c r="R173" s="202"/>
      <c r="S173" s="202"/>
      <c r="T173" s="203"/>
      <c r="AT173" s="204" t="s">
        <v>388</v>
      </c>
      <c r="AU173" s="204" t="s">
        <v>82</v>
      </c>
      <c r="AV173" s="13" t="s">
        <v>79</v>
      </c>
      <c r="AW173" s="13" t="s">
        <v>33</v>
      </c>
      <c r="AX173" s="13" t="s">
        <v>72</v>
      </c>
      <c r="AY173" s="204" t="s">
        <v>380</v>
      </c>
    </row>
    <row r="174" spans="1:65" s="14" customFormat="1" ht="11.25">
      <c r="B174" s="205"/>
      <c r="C174" s="206"/>
      <c r="D174" s="196" t="s">
        <v>388</v>
      </c>
      <c r="E174" s="207" t="s">
        <v>19</v>
      </c>
      <c r="F174" s="208" t="s">
        <v>6301</v>
      </c>
      <c r="G174" s="206"/>
      <c r="H174" s="209">
        <v>21.504000000000001</v>
      </c>
      <c r="I174" s="210"/>
      <c r="J174" s="206"/>
      <c r="K174" s="206"/>
      <c r="L174" s="211"/>
      <c r="M174" s="212"/>
      <c r="N174" s="213"/>
      <c r="O174" s="213"/>
      <c r="P174" s="213"/>
      <c r="Q174" s="213"/>
      <c r="R174" s="213"/>
      <c r="S174" s="213"/>
      <c r="T174" s="214"/>
      <c r="AT174" s="215" t="s">
        <v>388</v>
      </c>
      <c r="AU174" s="215" t="s">
        <v>82</v>
      </c>
      <c r="AV174" s="14" t="s">
        <v>82</v>
      </c>
      <c r="AW174" s="14" t="s">
        <v>33</v>
      </c>
      <c r="AX174" s="14" t="s">
        <v>72</v>
      </c>
      <c r="AY174" s="215" t="s">
        <v>380</v>
      </c>
    </row>
    <row r="175" spans="1:65" s="15" customFormat="1" ht="11.25">
      <c r="B175" s="216"/>
      <c r="C175" s="217"/>
      <c r="D175" s="196" t="s">
        <v>388</v>
      </c>
      <c r="E175" s="218" t="s">
        <v>19</v>
      </c>
      <c r="F175" s="219" t="s">
        <v>2544</v>
      </c>
      <c r="G175" s="217"/>
      <c r="H175" s="220">
        <v>102.997</v>
      </c>
      <c r="I175" s="221"/>
      <c r="J175" s="217"/>
      <c r="K175" s="217"/>
      <c r="L175" s="222"/>
      <c r="M175" s="223"/>
      <c r="N175" s="224"/>
      <c r="O175" s="224"/>
      <c r="P175" s="224"/>
      <c r="Q175" s="224"/>
      <c r="R175" s="224"/>
      <c r="S175" s="224"/>
      <c r="T175" s="225"/>
      <c r="AT175" s="226" t="s">
        <v>388</v>
      </c>
      <c r="AU175" s="226" t="s">
        <v>82</v>
      </c>
      <c r="AV175" s="15" t="s">
        <v>386</v>
      </c>
      <c r="AW175" s="15" t="s">
        <v>33</v>
      </c>
      <c r="AX175" s="15" t="s">
        <v>79</v>
      </c>
      <c r="AY175" s="226" t="s">
        <v>380</v>
      </c>
    </row>
    <row r="176" spans="1:65" s="2" customFormat="1" ht="16.5" customHeight="1">
      <c r="A176" s="36"/>
      <c r="B176" s="37"/>
      <c r="C176" s="181" t="s">
        <v>420</v>
      </c>
      <c r="D176" s="181" t="s">
        <v>382</v>
      </c>
      <c r="E176" s="182" t="s">
        <v>6134</v>
      </c>
      <c r="F176" s="183" t="s">
        <v>6302</v>
      </c>
      <c r="G176" s="184" t="s">
        <v>398</v>
      </c>
      <c r="H176" s="185">
        <v>216.24</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386</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386</v>
      </c>
      <c r="BM176" s="192" t="s">
        <v>134</v>
      </c>
    </row>
    <row r="177" spans="1:65" s="13" customFormat="1" ht="11.25">
      <c r="B177" s="194"/>
      <c r="C177" s="195"/>
      <c r="D177" s="196" t="s">
        <v>388</v>
      </c>
      <c r="E177" s="197" t="s">
        <v>19</v>
      </c>
      <c r="F177" s="198" t="s">
        <v>6272</v>
      </c>
      <c r="G177" s="195"/>
      <c r="H177" s="197" t="s">
        <v>19</v>
      </c>
      <c r="I177" s="199"/>
      <c r="J177" s="195"/>
      <c r="K177" s="195"/>
      <c r="L177" s="200"/>
      <c r="M177" s="201"/>
      <c r="N177" s="202"/>
      <c r="O177" s="202"/>
      <c r="P177" s="202"/>
      <c r="Q177" s="202"/>
      <c r="R177" s="202"/>
      <c r="S177" s="202"/>
      <c r="T177" s="203"/>
      <c r="AT177" s="204" t="s">
        <v>388</v>
      </c>
      <c r="AU177" s="204" t="s">
        <v>82</v>
      </c>
      <c r="AV177" s="13" t="s">
        <v>79</v>
      </c>
      <c r="AW177" s="13" t="s">
        <v>33</v>
      </c>
      <c r="AX177" s="13" t="s">
        <v>72</v>
      </c>
      <c r="AY177" s="204" t="s">
        <v>380</v>
      </c>
    </row>
    <row r="178" spans="1:65" s="14" customFormat="1" ht="11.25">
      <c r="B178" s="205"/>
      <c r="C178" s="206"/>
      <c r="D178" s="196" t="s">
        <v>388</v>
      </c>
      <c r="E178" s="207" t="s">
        <v>19</v>
      </c>
      <c r="F178" s="208" t="s">
        <v>6303</v>
      </c>
      <c r="G178" s="206"/>
      <c r="H178" s="209">
        <v>56.48</v>
      </c>
      <c r="I178" s="210"/>
      <c r="J178" s="206"/>
      <c r="K178" s="206"/>
      <c r="L178" s="211"/>
      <c r="M178" s="212"/>
      <c r="N178" s="213"/>
      <c r="O178" s="213"/>
      <c r="P178" s="213"/>
      <c r="Q178" s="213"/>
      <c r="R178" s="213"/>
      <c r="S178" s="213"/>
      <c r="T178" s="214"/>
      <c r="AT178" s="215" t="s">
        <v>388</v>
      </c>
      <c r="AU178" s="215" t="s">
        <v>82</v>
      </c>
      <c r="AV178" s="14" t="s">
        <v>82</v>
      </c>
      <c r="AW178" s="14" t="s">
        <v>33</v>
      </c>
      <c r="AX178" s="14" t="s">
        <v>72</v>
      </c>
      <c r="AY178" s="215" t="s">
        <v>380</v>
      </c>
    </row>
    <row r="179" spans="1:65" s="13" customFormat="1" ht="11.25">
      <c r="B179" s="194"/>
      <c r="C179" s="195"/>
      <c r="D179" s="196" t="s">
        <v>388</v>
      </c>
      <c r="E179" s="197" t="s">
        <v>19</v>
      </c>
      <c r="F179" s="198" t="s">
        <v>6274</v>
      </c>
      <c r="G179" s="195"/>
      <c r="H179" s="197" t="s">
        <v>19</v>
      </c>
      <c r="I179" s="199"/>
      <c r="J179" s="195"/>
      <c r="K179" s="195"/>
      <c r="L179" s="200"/>
      <c r="M179" s="201"/>
      <c r="N179" s="202"/>
      <c r="O179" s="202"/>
      <c r="P179" s="202"/>
      <c r="Q179" s="202"/>
      <c r="R179" s="202"/>
      <c r="S179" s="202"/>
      <c r="T179" s="203"/>
      <c r="AT179" s="204" t="s">
        <v>388</v>
      </c>
      <c r="AU179" s="204" t="s">
        <v>82</v>
      </c>
      <c r="AV179" s="13" t="s">
        <v>79</v>
      </c>
      <c r="AW179" s="13" t="s">
        <v>33</v>
      </c>
      <c r="AX179" s="13" t="s">
        <v>72</v>
      </c>
      <c r="AY179" s="204" t="s">
        <v>380</v>
      </c>
    </row>
    <row r="180" spans="1:65" s="14" customFormat="1" ht="11.25">
      <c r="B180" s="205"/>
      <c r="C180" s="206"/>
      <c r="D180" s="196" t="s">
        <v>388</v>
      </c>
      <c r="E180" s="207" t="s">
        <v>19</v>
      </c>
      <c r="F180" s="208" t="s">
        <v>6304</v>
      </c>
      <c r="G180" s="206"/>
      <c r="H180" s="209">
        <v>8</v>
      </c>
      <c r="I180" s="210"/>
      <c r="J180" s="206"/>
      <c r="K180" s="206"/>
      <c r="L180" s="211"/>
      <c r="M180" s="212"/>
      <c r="N180" s="213"/>
      <c r="O180" s="213"/>
      <c r="P180" s="213"/>
      <c r="Q180" s="213"/>
      <c r="R180" s="213"/>
      <c r="S180" s="213"/>
      <c r="T180" s="214"/>
      <c r="AT180" s="215" t="s">
        <v>388</v>
      </c>
      <c r="AU180" s="215" t="s">
        <v>82</v>
      </c>
      <c r="AV180" s="14" t="s">
        <v>82</v>
      </c>
      <c r="AW180" s="14" t="s">
        <v>33</v>
      </c>
      <c r="AX180" s="14" t="s">
        <v>72</v>
      </c>
      <c r="AY180" s="215" t="s">
        <v>380</v>
      </c>
    </row>
    <row r="181" spans="1:65" s="13" customFormat="1" ht="11.25">
      <c r="B181" s="194"/>
      <c r="C181" s="195"/>
      <c r="D181" s="196" t="s">
        <v>388</v>
      </c>
      <c r="E181" s="197" t="s">
        <v>19</v>
      </c>
      <c r="F181" s="198" t="s">
        <v>6276</v>
      </c>
      <c r="G181" s="195"/>
      <c r="H181" s="197" t="s">
        <v>19</v>
      </c>
      <c r="I181" s="199"/>
      <c r="J181" s="195"/>
      <c r="K181" s="195"/>
      <c r="L181" s="200"/>
      <c r="M181" s="201"/>
      <c r="N181" s="202"/>
      <c r="O181" s="202"/>
      <c r="P181" s="202"/>
      <c r="Q181" s="202"/>
      <c r="R181" s="202"/>
      <c r="S181" s="202"/>
      <c r="T181" s="203"/>
      <c r="AT181" s="204" t="s">
        <v>388</v>
      </c>
      <c r="AU181" s="204" t="s">
        <v>82</v>
      </c>
      <c r="AV181" s="13" t="s">
        <v>79</v>
      </c>
      <c r="AW181" s="13" t="s">
        <v>33</v>
      </c>
      <c r="AX181" s="13" t="s">
        <v>72</v>
      </c>
      <c r="AY181" s="204" t="s">
        <v>380</v>
      </c>
    </row>
    <row r="182" spans="1:65" s="14" customFormat="1" ht="11.25">
      <c r="B182" s="205"/>
      <c r="C182" s="206"/>
      <c r="D182" s="196" t="s">
        <v>388</v>
      </c>
      <c r="E182" s="207" t="s">
        <v>19</v>
      </c>
      <c r="F182" s="208" t="s">
        <v>6305</v>
      </c>
      <c r="G182" s="206"/>
      <c r="H182" s="209">
        <v>4</v>
      </c>
      <c r="I182" s="210"/>
      <c r="J182" s="206"/>
      <c r="K182" s="206"/>
      <c r="L182" s="211"/>
      <c r="M182" s="212"/>
      <c r="N182" s="213"/>
      <c r="O182" s="213"/>
      <c r="P182" s="213"/>
      <c r="Q182" s="213"/>
      <c r="R182" s="213"/>
      <c r="S182" s="213"/>
      <c r="T182" s="214"/>
      <c r="AT182" s="215" t="s">
        <v>388</v>
      </c>
      <c r="AU182" s="215" t="s">
        <v>82</v>
      </c>
      <c r="AV182" s="14" t="s">
        <v>82</v>
      </c>
      <c r="AW182" s="14" t="s">
        <v>33</v>
      </c>
      <c r="AX182" s="14" t="s">
        <v>72</v>
      </c>
      <c r="AY182" s="215" t="s">
        <v>380</v>
      </c>
    </row>
    <row r="183" spans="1:65" s="13" customFormat="1" ht="11.25">
      <c r="B183" s="194"/>
      <c r="C183" s="195"/>
      <c r="D183" s="196" t="s">
        <v>388</v>
      </c>
      <c r="E183" s="197" t="s">
        <v>19</v>
      </c>
      <c r="F183" s="198" t="s">
        <v>6278</v>
      </c>
      <c r="G183" s="195"/>
      <c r="H183" s="197" t="s">
        <v>19</v>
      </c>
      <c r="I183" s="199"/>
      <c r="J183" s="195"/>
      <c r="K183" s="195"/>
      <c r="L183" s="200"/>
      <c r="M183" s="201"/>
      <c r="N183" s="202"/>
      <c r="O183" s="202"/>
      <c r="P183" s="202"/>
      <c r="Q183" s="202"/>
      <c r="R183" s="202"/>
      <c r="S183" s="202"/>
      <c r="T183" s="203"/>
      <c r="AT183" s="204" t="s">
        <v>388</v>
      </c>
      <c r="AU183" s="204" t="s">
        <v>82</v>
      </c>
      <c r="AV183" s="13" t="s">
        <v>79</v>
      </c>
      <c r="AW183" s="13" t="s">
        <v>33</v>
      </c>
      <c r="AX183" s="13" t="s">
        <v>72</v>
      </c>
      <c r="AY183" s="204" t="s">
        <v>380</v>
      </c>
    </row>
    <row r="184" spans="1:65" s="14" customFormat="1" ht="11.25">
      <c r="B184" s="205"/>
      <c r="C184" s="206"/>
      <c r="D184" s="196" t="s">
        <v>388</v>
      </c>
      <c r="E184" s="207" t="s">
        <v>19</v>
      </c>
      <c r="F184" s="208" t="s">
        <v>6306</v>
      </c>
      <c r="G184" s="206"/>
      <c r="H184" s="209">
        <v>4.1399999999999997</v>
      </c>
      <c r="I184" s="210"/>
      <c r="J184" s="206"/>
      <c r="K184" s="206"/>
      <c r="L184" s="211"/>
      <c r="M184" s="212"/>
      <c r="N184" s="213"/>
      <c r="O184" s="213"/>
      <c r="P184" s="213"/>
      <c r="Q184" s="213"/>
      <c r="R184" s="213"/>
      <c r="S184" s="213"/>
      <c r="T184" s="214"/>
      <c r="AT184" s="215" t="s">
        <v>388</v>
      </c>
      <c r="AU184" s="215" t="s">
        <v>82</v>
      </c>
      <c r="AV184" s="14" t="s">
        <v>82</v>
      </c>
      <c r="AW184" s="14" t="s">
        <v>33</v>
      </c>
      <c r="AX184" s="14" t="s">
        <v>72</v>
      </c>
      <c r="AY184" s="215" t="s">
        <v>380</v>
      </c>
    </row>
    <row r="185" spans="1:65" s="13" customFormat="1" ht="11.25">
      <c r="B185" s="194"/>
      <c r="C185" s="195"/>
      <c r="D185" s="196" t="s">
        <v>388</v>
      </c>
      <c r="E185" s="197" t="s">
        <v>19</v>
      </c>
      <c r="F185" s="198" t="s">
        <v>6280</v>
      </c>
      <c r="G185" s="195"/>
      <c r="H185" s="197" t="s">
        <v>19</v>
      </c>
      <c r="I185" s="199"/>
      <c r="J185" s="195"/>
      <c r="K185" s="195"/>
      <c r="L185" s="200"/>
      <c r="M185" s="201"/>
      <c r="N185" s="202"/>
      <c r="O185" s="202"/>
      <c r="P185" s="202"/>
      <c r="Q185" s="202"/>
      <c r="R185" s="202"/>
      <c r="S185" s="202"/>
      <c r="T185" s="203"/>
      <c r="AT185" s="204" t="s">
        <v>388</v>
      </c>
      <c r="AU185" s="204" t="s">
        <v>82</v>
      </c>
      <c r="AV185" s="13" t="s">
        <v>79</v>
      </c>
      <c r="AW185" s="13" t="s">
        <v>33</v>
      </c>
      <c r="AX185" s="13" t="s">
        <v>72</v>
      </c>
      <c r="AY185" s="204" t="s">
        <v>380</v>
      </c>
    </row>
    <row r="186" spans="1:65" s="14" customFormat="1" ht="11.25">
      <c r="B186" s="205"/>
      <c r="C186" s="206"/>
      <c r="D186" s="196" t="s">
        <v>388</v>
      </c>
      <c r="E186" s="207" t="s">
        <v>19</v>
      </c>
      <c r="F186" s="208" t="s">
        <v>6307</v>
      </c>
      <c r="G186" s="206"/>
      <c r="H186" s="209">
        <v>36.1</v>
      </c>
      <c r="I186" s="210"/>
      <c r="J186" s="206"/>
      <c r="K186" s="206"/>
      <c r="L186" s="211"/>
      <c r="M186" s="212"/>
      <c r="N186" s="213"/>
      <c r="O186" s="213"/>
      <c r="P186" s="213"/>
      <c r="Q186" s="213"/>
      <c r="R186" s="213"/>
      <c r="S186" s="213"/>
      <c r="T186" s="214"/>
      <c r="AT186" s="215" t="s">
        <v>388</v>
      </c>
      <c r="AU186" s="215" t="s">
        <v>82</v>
      </c>
      <c r="AV186" s="14" t="s">
        <v>82</v>
      </c>
      <c r="AW186" s="14" t="s">
        <v>33</v>
      </c>
      <c r="AX186" s="14" t="s">
        <v>72</v>
      </c>
      <c r="AY186" s="215" t="s">
        <v>380</v>
      </c>
    </row>
    <row r="187" spans="1:65" s="13" customFormat="1" ht="11.25">
      <c r="B187" s="194"/>
      <c r="C187" s="195"/>
      <c r="D187" s="196" t="s">
        <v>388</v>
      </c>
      <c r="E187" s="197" t="s">
        <v>19</v>
      </c>
      <c r="F187" s="198" t="s">
        <v>6282</v>
      </c>
      <c r="G187" s="195"/>
      <c r="H187" s="197" t="s">
        <v>19</v>
      </c>
      <c r="I187" s="199"/>
      <c r="J187" s="195"/>
      <c r="K187" s="195"/>
      <c r="L187" s="200"/>
      <c r="M187" s="201"/>
      <c r="N187" s="202"/>
      <c r="O187" s="202"/>
      <c r="P187" s="202"/>
      <c r="Q187" s="202"/>
      <c r="R187" s="202"/>
      <c r="S187" s="202"/>
      <c r="T187" s="203"/>
      <c r="AT187" s="204" t="s">
        <v>388</v>
      </c>
      <c r="AU187" s="204" t="s">
        <v>82</v>
      </c>
      <c r="AV187" s="13" t="s">
        <v>79</v>
      </c>
      <c r="AW187" s="13" t="s">
        <v>33</v>
      </c>
      <c r="AX187" s="13" t="s">
        <v>72</v>
      </c>
      <c r="AY187" s="204" t="s">
        <v>380</v>
      </c>
    </row>
    <row r="188" spans="1:65" s="14" customFormat="1" ht="11.25">
      <c r="B188" s="205"/>
      <c r="C188" s="206"/>
      <c r="D188" s="196" t="s">
        <v>388</v>
      </c>
      <c r="E188" s="207" t="s">
        <v>19</v>
      </c>
      <c r="F188" s="208" t="s">
        <v>6308</v>
      </c>
      <c r="G188" s="206"/>
      <c r="H188" s="209">
        <v>107.52</v>
      </c>
      <c r="I188" s="210"/>
      <c r="J188" s="206"/>
      <c r="K188" s="206"/>
      <c r="L188" s="211"/>
      <c r="M188" s="212"/>
      <c r="N188" s="213"/>
      <c r="O188" s="213"/>
      <c r="P188" s="213"/>
      <c r="Q188" s="213"/>
      <c r="R188" s="213"/>
      <c r="S188" s="213"/>
      <c r="T188" s="214"/>
      <c r="AT188" s="215" t="s">
        <v>388</v>
      </c>
      <c r="AU188" s="215" t="s">
        <v>82</v>
      </c>
      <c r="AV188" s="14" t="s">
        <v>82</v>
      </c>
      <c r="AW188" s="14" t="s">
        <v>33</v>
      </c>
      <c r="AX188" s="14" t="s">
        <v>72</v>
      </c>
      <c r="AY188" s="215" t="s">
        <v>380</v>
      </c>
    </row>
    <row r="189" spans="1:65" s="15" customFormat="1" ht="11.25">
      <c r="B189" s="216"/>
      <c r="C189" s="217"/>
      <c r="D189" s="196" t="s">
        <v>388</v>
      </c>
      <c r="E189" s="218" t="s">
        <v>19</v>
      </c>
      <c r="F189" s="219" t="s">
        <v>2544</v>
      </c>
      <c r="G189" s="217"/>
      <c r="H189" s="220">
        <v>216.24</v>
      </c>
      <c r="I189" s="221"/>
      <c r="J189" s="217"/>
      <c r="K189" s="217"/>
      <c r="L189" s="222"/>
      <c r="M189" s="223"/>
      <c r="N189" s="224"/>
      <c r="O189" s="224"/>
      <c r="P189" s="224"/>
      <c r="Q189" s="224"/>
      <c r="R189" s="224"/>
      <c r="S189" s="224"/>
      <c r="T189" s="225"/>
      <c r="AT189" s="226" t="s">
        <v>388</v>
      </c>
      <c r="AU189" s="226" t="s">
        <v>82</v>
      </c>
      <c r="AV189" s="15" t="s">
        <v>386</v>
      </c>
      <c r="AW189" s="15" t="s">
        <v>33</v>
      </c>
      <c r="AX189" s="15" t="s">
        <v>79</v>
      </c>
      <c r="AY189" s="226" t="s">
        <v>380</v>
      </c>
    </row>
    <row r="190" spans="1:65" s="12" customFormat="1" ht="22.9" customHeight="1">
      <c r="B190" s="165"/>
      <c r="C190" s="166"/>
      <c r="D190" s="167" t="s">
        <v>71</v>
      </c>
      <c r="E190" s="179" t="s">
        <v>99</v>
      </c>
      <c r="F190" s="179" t="s">
        <v>6309</v>
      </c>
      <c r="G190" s="166"/>
      <c r="H190" s="166"/>
      <c r="I190" s="169"/>
      <c r="J190" s="180">
        <f>BK190</f>
        <v>0</v>
      </c>
      <c r="K190" s="166"/>
      <c r="L190" s="171"/>
      <c r="M190" s="172"/>
      <c r="N190" s="173"/>
      <c r="O190" s="173"/>
      <c r="P190" s="174">
        <f>SUM(P191:P194)</f>
        <v>0</v>
      </c>
      <c r="Q190" s="173"/>
      <c r="R190" s="174">
        <f>SUM(R191:R194)</f>
        <v>0</v>
      </c>
      <c r="S190" s="173"/>
      <c r="T190" s="175">
        <f>SUM(T191:T194)</f>
        <v>0</v>
      </c>
      <c r="AR190" s="176" t="s">
        <v>79</v>
      </c>
      <c r="AT190" s="177" t="s">
        <v>71</v>
      </c>
      <c r="AU190" s="177" t="s">
        <v>79</v>
      </c>
      <c r="AY190" s="176" t="s">
        <v>380</v>
      </c>
      <c r="BK190" s="178">
        <f>SUM(BK191:BK194)</f>
        <v>0</v>
      </c>
    </row>
    <row r="191" spans="1:65" s="2" customFormat="1" ht="16.5" customHeight="1">
      <c r="A191" s="36"/>
      <c r="B191" s="37"/>
      <c r="C191" s="181" t="s">
        <v>424</v>
      </c>
      <c r="D191" s="181" t="s">
        <v>382</v>
      </c>
      <c r="E191" s="182" t="s">
        <v>6310</v>
      </c>
      <c r="F191" s="183" t="s">
        <v>6311</v>
      </c>
      <c r="G191" s="184" t="s">
        <v>452</v>
      </c>
      <c r="H191" s="185">
        <v>2</v>
      </c>
      <c r="I191" s="186"/>
      <c r="J191" s="187">
        <f>ROUND(I191*H191,2)</f>
        <v>0</v>
      </c>
      <c r="K191" s="183" t="s">
        <v>19</v>
      </c>
      <c r="L191" s="41"/>
      <c r="M191" s="188" t="s">
        <v>19</v>
      </c>
      <c r="N191" s="189" t="s">
        <v>43</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386</v>
      </c>
      <c r="AT191" s="192" t="s">
        <v>382</v>
      </c>
      <c r="AU191" s="192" t="s">
        <v>82</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386</v>
      </c>
      <c r="BM191" s="192" t="s">
        <v>281</v>
      </c>
    </row>
    <row r="192" spans="1:65" s="13" customFormat="1" ht="11.25">
      <c r="B192" s="194"/>
      <c r="C192" s="195"/>
      <c r="D192" s="196" t="s">
        <v>388</v>
      </c>
      <c r="E192" s="197" t="s">
        <v>19</v>
      </c>
      <c r="F192" s="198" t="s">
        <v>6312</v>
      </c>
      <c r="G192" s="195"/>
      <c r="H192" s="197" t="s">
        <v>19</v>
      </c>
      <c r="I192" s="199"/>
      <c r="J192" s="195"/>
      <c r="K192" s="195"/>
      <c r="L192" s="200"/>
      <c r="M192" s="201"/>
      <c r="N192" s="202"/>
      <c r="O192" s="202"/>
      <c r="P192" s="202"/>
      <c r="Q192" s="202"/>
      <c r="R192" s="202"/>
      <c r="S192" s="202"/>
      <c r="T192" s="203"/>
      <c r="AT192" s="204" t="s">
        <v>388</v>
      </c>
      <c r="AU192" s="204" t="s">
        <v>82</v>
      </c>
      <c r="AV192" s="13" t="s">
        <v>79</v>
      </c>
      <c r="AW192" s="13" t="s">
        <v>33</v>
      </c>
      <c r="AX192" s="13" t="s">
        <v>72</v>
      </c>
      <c r="AY192" s="204" t="s">
        <v>380</v>
      </c>
    </row>
    <row r="193" spans="1:65" s="14" customFormat="1" ht="11.25">
      <c r="B193" s="205"/>
      <c r="C193" s="206"/>
      <c r="D193" s="196" t="s">
        <v>388</v>
      </c>
      <c r="E193" s="207" t="s">
        <v>19</v>
      </c>
      <c r="F193" s="208" t="s">
        <v>2998</v>
      </c>
      <c r="G193" s="206"/>
      <c r="H193" s="209">
        <v>2</v>
      </c>
      <c r="I193" s="210"/>
      <c r="J193" s="206"/>
      <c r="K193" s="206"/>
      <c r="L193" s="211"/>
      <c r="M193" s="212"/>
      <c r="N193" s="213"/>
      <c r="O193" s="213"/>
      <c r="P193" s="213"/>
      <c r="Q193" s="213"/>
      <c r="R193" s="213"/>
      <c r="S193" s="213"/>
      <c r="T193" s="214"/>
      <c r="AT193" s="215" t="s">
        <v>388</v>
      </c>
      <c r="AU193" s="215" t="s">
        <v>82</v>
      </c>
      <c r="AV193" s="14" t="s">
        <v>82</v>
      </c>
      <c r="AW193" s="14" t="s">
        <v>33</v>
      </c>
      <c r="AX193" s="14" t="s">
        <v>72</v>
      </c>
      <c r="AY193" s="215" t="s">
        <v>380</v>
      </c>
    </row>
    <row r="194" spans="1:65" s="15" customFormat="1" ht="11.25">
      <c r="B194" s="216"/>
      <c r="C194" s="217"/>
      <c r="D194" s="196" t="s">
        <v>388</v>
      </c>
      <c r="E194" s="218" t="s">
        <v>19</v>
      </c>
      <c r="F194" s="219" t="s">
        <v>419</v>
      </c>
      <c r="G194" s="217"/>
      <c r="H194" s="220">
        <v>2</v>
      </c>
      <c r="I194" s="221"/>
      <c r="J194" s="217"/>
      <c r="K194" s="217"/>
      <c r="L194" s="222"/>
      <c r="M194" s="223"/>
      <c r="N194" s="224"/>
      <c r="O194" s="224"/>
      <c r="P194" s="224"/>
      <c r="Q194" s="224"/>
      <c r="R194" s="224"/>
      <c r="S194" s="224"/>
      <c r="T194" s="225"/>
      <c r="AT194" s="226" t="s">
        <v>388</v>
      </c>
      <c r="AU194" s="226" t="s">
        <v>82</v>
      </c>
      <c r="AV194" s="15" t="s">
        <v>386</v>
      </c>
      <c r="AW194" s="15" t="s">
        <v>33</v>
      </c>
      <c r="AX194" s="15" t="s">
        <v>79</v>
      </c>
      <c r="AY194" s="226" t="s">
        <v>380</v>
      </c>
    </row>
    <row r="195" spans="1:65" s="12" customFormat="1" ht="22.9" customHeight="1">
      <c r="B195" s="165"/>
      <c r="C195" s="166"/>
      <c r="D195" s="167" t="s">
        <v>71</v>
      </c>
      <c r="E195" s="179" t="s">
        <v>386</v>
      </c>
      <c r="F195" s="179" t="s">
        <v>6313</v>
      </c>
      <c r="G195" s="166"/>
      <c r="H195" s="166"/>
      <c r="I195" s="169"/>
      <c r="J195" s="180">
        <f>BK195</f>
        <v>0</v>
      </c>
      <c r="K195" s="166"/>
      <c r="L195" s="171"/>
      <c r="M195" s="172"/>
      <c r="N195" s="173"/>
      <c r="O195" s="173"/>
      <c r="P195" s="174">
        <f>SUM(P196:P225)</f>
        <v>0</v>
      </c>
      <c r="Q195" s="173"/>
      <c r="R195" s="174">
        <f>SUM(R196:R225)</f>
        <v>0</v>
      </c>
      <c r="S195" s="173"/>
      <c r="T195" s="175">
        <f>SUM(T196:T225)</f>
        <v>0</v>
      </c>
      <c r="AR195" s="176" t="s">
        <v>79</v>
      </c>
      <c r="AT195" s="177" t="s">
        <v>71</v>
      </c>
      <c r="AU195" s="177" t="s">
        <v>79</v>
      </c>
      <c r="AY195" s="176" t="s">
        <v>380</v>
      </c>
      <c r="BK195" s="178">
        <f>SUM(BK196:BK225)</f>
        <v>0</v>
      </c>
    </row>
    <row r="196" spans="1:65" s="2" customFormat="1" ht="16.5" customHeight="1">
      <c r="A196" s="36"/>
      <c r="B196" s="37"/>
      <c r="C196" s="181" t="s">
        <v>430</v>
      </c>
      <c r="D196" s="181" t="s">
        <v>382</v>
      </c>
      <c r="E196" s="182" t="s">
        <v>6314</v>
      </c>
      <c r="F196" s="183" t="s">
        <v>6315</v>
      </c>
      <c r="G196" s="184" t="s">
        <v>385</v>
      </c>
      <c r="H196" s="185">
        <v>101.39100000000001</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386</v>
      </c>
      <c r="AT196" s="192" t="s">
        <v>382</v>
      </c>
      <c r="AU196" s="192" t="s">
        <v>82</v>
      </c>
      <c r="AY196" s="19" t="s">
        <v>380</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386</v>
      </c>
      <c r="BM196" s="192" t="s">
        <v>477</v>
      </c>
    </row>
    <row r="197" spans="1:65" s="13" customFormat="1" ht="11.25">
      <c r="B197" s="194"/>
      <c r="C197" s="195"/>
      <c r="D197" s="196" t="s">
        <v>388</v>
      </c>
      <c r="E197" s="197" t="s">
        <v>19</v>
      </c>
      <c r="F197" s="198" t="s">
        <v>6270</v>
      </c>
      <c r="G197" s="195"/>
      <c r="H197" s="197" t="s">
        <v>19</v>
      </c>
      <c r="I197" s="199"/>
      <c r="J197" s="195"/>
      <c r="K197" s="195"/>
      <c r="L197" s="200"/>
      <c r="M197" s="201"/>
      <c r="N197" s="202"/>
      <c r="O197" s="202"/>
      <c r="P197" s="202"/>
      <c r="Q197" s="202"/>
      <c r="R197" s="202"/>
      <c r="S197" s="202"/>
      <c r="T197" s="203"/>
      <c r="AT197" s="204" t="s">
        <v>388</v>
      </c>
      <c r="AU197" s="204" t="s">
        <v>82</v>
      </c>
      <c r="AV197" s="13" t="s">
        <v>79</v>
      </c>
      <c r="AW197" s="13" t="s">
        <v>33</v>
      </c>
      <c r="AX197" s="13" t="s">
        <v>72</v>
      </c>
      <c r="AY197" s="204" t="s">
        <v>380</v>
      </c>
    </row>
    <row r="198" spans="1:65" s="14" customFormat="1" ht="11.25">
      <c r="B198" s="205"/>
      <c r="C198" s="206"/>
      <c r="D198" s="196" t="s">
        <v>388</v>
      </c>
      <c r="E198" s="207" t="s">
        <v>19</v>
      </c>
      <c r="F198" s="208" t="s">
        <v>6316</v>
      </c>
      <c r="G198" s="206"/>
      <c r="H198" s="209">
        <v>15.375</v>
      </c>
      <c r="I198" s="210"/>
      <c r="J198" s="206"/>
      <c r="K198" s="206"/>
      <c r="L198" s="211"/>
      <c r="M198" s="212"/>
      <c r="N198" s="213"/>
      <c r="O198" s="213"/>
      <c r="P198" s="213"/>
      <c r="Q198" s="213"/>
      <c r="R198" s="213"/>
      <c r="S198" s="213"/>
      <c r="T198" s="214"/>
      <c r="AT198" s="215" t="s">
        <v>388</v>
      </c>
      <c r="AU198" s="215" t="s">
        <v>82</v>
      </c>
      <c r="AV198" s="14" t="s">
        <v>82</v>
      </c>
      <c r="AW198" s="14" t="s">
        <v>33</v>
      </c>
      <c r="AX198" s="14" t="s">
        <v>72</v>
      </c>
      <c r="AY198" s="215" t="s">
        <v>380</v>
      </c>
    </row>
    <row r="199" spans="1:65" s="13" customFormat="1" ht="11.25">
      <c r="B199" s="194"/>
      <c r="C199" s="195"/>
      <c r="D199" s="196" t="s">
        <v>388</v>
      </c>
      <c r="E199" s="197" t="s">
        <v>19</v>
      </c>
      <c r="F199" s="198" t="s">
        <v>6282</v>
      </c>
      <c r="G199" s="195"/>
      <c r="H199" s="197" t="s">
        <v>19</v>
      </c>
      <c r="I199" s="199"/>
      <c r="J199" s="195"/>
      <c r="K199" s="195"/>
      <c r="L199" s="200"/>
      <c r="M199" s="201"/>
      <c r="N199" s="202"/>
      <c r="O199" s="202"/>
      <c r="P199" s="202"/>
      <c r="Q199" s="202"/>
      <c r="R199" s="202"/>
      <c r="S199" s="202"/>
      <c r="T199" s="203"/>
      <c r="AT199" s="204" t="s">
        <v>388</v>
      </c>
      <c r="AU199" s="204" t="s">
        <v>82</v>
      </c>
      <c r="AV199" s="13" t="s">
        <v>79</v>
      </c>
      <c r="AW199" s="13" t="s">
        <v>33</v>
      </c>
      <c r="AX199" s="13" t="s">
        <v>72</v>
      </c>
      <c r="AY199" s="204" t="s">
        <v>380</v>
      </c>
    </row>
    <row r="200" spans="1:65" s="14" customFormat="1" ht="11.25">
      <c r="B200" s="205"/>
      <c r="C200" s="206"/>
      <c r="D200" s="196" t="s">
        <v>388</v>
      </c>
      <c r="E200" s="207" t="s">
        <v>19</v>
      </c>
      <c r="F200" s="208" t="s">
        <v>6317</v>
      </c>
      <c r="G200" s="206"/>
      <c r="H200" s="209">
        <v>86.016000000000005</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5" customFormat="1" ht="11.25">
      <c r="B201" s="216"/>
      <c r="C201" s="217"/>
      <c r="D201" s="196" t="s">
        <v>388</v>
      </c>
      <c r="E201" s="218" t="s">
        <v>19</v>
      </c>
      <c r="F201" s="219" t="s">
        <v>2544</v>
      </c>
      <c r="G201" s="217"/>
      <c r="H201" s="220">
        <v>101.39100000000001</v>
      </c>
      <c r="I201" s="221"/>
      <c r="J201" s="217"/>
      <c r="K201" s="217"/>
      <c r="L201" s="222"/>
      <c r="M201" s="223"/>
      <c r="N201" s="224"/>
      <c r="O201" s="224"/>
      <c r="P201" s="224"/>
      <c r="Q201" s="224"/>
      <c r="R201" s="224"/>
      <c r="S201" s="224"/>
      <c r="T201" s="225"/>
      <c r="AT201" s="226" t="s">
        <v>388</v>
      </c>
      <c r="AU201" s="226" t="s">
        <v>82</v>
      </c>
      <c r="AV201" s="15" t="s">
        <v>386</v>
      </c>
      <c r="AW201" s="15" t="s">
        <v>33</v>
      </c>
      <c r="AX201" s="15" t="s">
        <v>79</v>
      </c>
      <c r="AY201" s="226" t="s">
        <v>380</v>
      </c>
    </row>
    <row r="202" spans="1:65" s="2" customFormat="1" ht="16.5" customHeight="1">
      <c r="A202" s="36"/>
      <c r="B202" s="37"/>
      <c r="C202" s="181" t="s">
        <v>122</v>
      </c>
      <c r="D202" s="181" t="s">
        <v>382</v>
      </c>
      <c r="E202" s="182" t="s">
        <v>6318</v>
      </c>
      <c r="F202" s="183" t="s">
        <v>6319</v>
      </c>
      <c r="G202" s="184" t="s">
        <v>385</v>
      </c>
      <c r="H202" s="185">
        <v>63.741</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386</v>
      </c>
      <c r="AT202" s="192" t="s">
        <v>382</v>
      </c>
      <c r="AU202" s="192" t="s">
        <v>82</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386</v>
      </c>
      <c r="BM202" s="192" t="s">
        <v>486</v>
      </c>
    </row>
    <row r="203" spans="1:65" s="13" customFormat="1" ht="11.25">
      <c r="B203" s="194"/>
      <c r="C203" s="195"/>
      <c r="D203" s="196" t="s">
        <v>388</v>
      </c>
      <c r="E203" s="197" t="s">
        <v>19</v>
      </c>
      <c r="F203" s="198" t="s">
        <v>6270</v>
      </c>
      <c r="G203" s="195"/>
      <c r="H203" s="197" t="s">
        <v>19</v>
      </c>
      <c r="I203" s="199"/>
      <c r="J203" s="195"/>
      <c r="K203" s="195"/>
      <c r="L203" s="200"/>
      <c r="M203" s="201"/>
      <c r="N203" s="202"/>
      <c r="O203" s="202"/>
      <c r="P203" s="202"/>
      <c r="Q203" s="202"/>
      <c r="R203" s="202"/>
      <c r="S203" s="202"/>
      <c r="T203" s="203"/>
      <c r="AT203" s="204" t="s">
        <v>388</v>
      </c>
      <c r="AU203" s="204" t="s">
        <v>82</v>
      </c>
      <c r="AV203" s="13" t="s">
        <v>79</v>
      </c>
      <c r="AW203" s="13" t="s">
        <v>33</v>
      </c>
      <c r="AX203" s="13" t="s">
        <v>72</v>
      </c>
      <c r="AY203" s="204" t="s">
        <v>380</v>
      </c>
    </row>
    <row r="204" spans="1:65" s="14" customFormat="1" ht="11.25">
      <c r="B204" s="205"/>
      <c r="C204" s="206"/>
      <c r="D204" s="196" t="s">
        <v>388</v>
      </c>
      <c r="E204" s="207" t="s">
        <v>19</v>
      </c>
      <c r="F204" s="208" t="s">
        <v>6320</v>
      </c>
      <c r="G204" s="206"/>
      <c r="H204" s="209">
        <v>4.0999999999999996</v>
      </c>
      <c r="I204" s="210"/>
      <c r="J204" s="206"/>
      <c r="K204" s="206"/>
      <c r="L204" s="211"/>
      <c r="M204" s="212"/>
      <c r="N204" s="213"/>
      <c r="O204" s="213"/>
      <c r="P204" s="213"/>
      <c r="Q204" s="213"/>
      <c r="R204" s="213"/>
      <c r="S204" s="213"/>
      <c r="T204" s="214"/>
      <c r="AT204" s="215" t="s">
        <v>388</v>
      </c>
      <c r="AU204" s="215" t="s">
        <v>82</v>
      </c>
      <c r="AV204" s="14" t="s">
        <v>82</v>
      </c>
      <c r="AW204" s="14" t="s">
        <v>33</v>
      </c>
      <c r="AX204" s="14" t="s">
        <v>72</v>
      </c>
      <c r="AY204" s="215" t="s">
        <v>380</v>
      </c>
    </row>
    <row r="205" spans="1:65" s="13" customFormat="1" ht="11.25">
      <c r="B205" s="194"/>
      <c r="C205" s="195"/>
      <c r="D205" s="196" t="s">
        <v>388</v>
      </c>
      <c r="E205" s="197" t="s">
        <v>19</v>
      </c>
      <c r="F205" s="198" t="s">
        <v>6272</v>
      </c>
      <c r="G205" s="195"/>
      <c r="H205" s="197" t="s">
        <v>19</v>
      </c>
      <c r="I205" s="199"/>
      <c r="J205" s="195"/>
      <c r="K205" s="195"/>
      <c r="L205" s="200"/>
      <c r="M205" s="201"/>
      <c r="N205" s="202"/>
      <c r="O205" s="202"/>
      <c r="P205" s="202"/>
      <c r="Q205" s="202"/>
      <c r="R205" s="202"/>
      <c r="S205" s="202"/>
      <c r="T205" s="203"/>
      <c r="AT205" s="204" t="s">
        <v>388</v>
      </c>
      <c r="AU205" s="204" t="s">
        <v>82</v>
      </c>
      <c r="AV205" s="13" t="s">
        <v>79</v>
      </c>
      <c r="AW205" s="13" t="s">
        <v>33</v>
      </c>
      <c r="AX205" s="13" t="s">
        <v>72</v>
      </c>
      <c r="AY205" s="204" t="s">
        <v>380</v>
      </c>
    </row>
    <row r="206" spans="1:65" s="14" customFormat="1" ht="11.25">
      <c r="B206" s="205"/>
      <c r="C206" s="206"/>
      <c r="D206" s="196" t="s">
        <v>388</v>
      </c>
      <c r="E206" s="207" t="s">
        <v>19</v>
      </c>
      <c r="F206" s="208" t="s">
        <v>6321</v>
      </c>
      <c r="G206" s="206"/>
      <c r="H206" s="209">
        <v>31.064</v>
      </c>
      <c r="I206" s="210"/>
      <c r="J206" s="206"/>
      <c r="K206" s="206"/>
      <c r="L206" s="211"/>
      <c r="M206" s="212"/>
      <c r="N206" s="213"/>
      <c r="O206" s="213"/>
      <c r="P206" s="213"/>
      <c r="Q206" s="213"/>
      <c r="R206" s="213"/>
      <c r="S206" s="213"/>
      <c r="T206" s="214"/>
      <c r="AT206" s="215" t="s">
        <v>388</v>
      </c>
      <c r="AU206" s="215" t="s">
        <v>82</v>
      </c>
      <c r="AV206" s="14" t="s">
        <v>82</v>
      </c>
      <c r="AW206" s="14" t="s">
        <v>33</v>
      </c>
      <c r="AX206" s="14" t="s">
        <v>72</v>
      </c>
      <c r="AY206" s="215" t="s">
        <v>380</v>
      </c>
    </row>
    <row r="207" spans="1:65" s="13" customFormat="1" ht="11.25">
      <c r="B207" s="194"/>
      <c r="C207" s="195"/>
      <c r="D207" s="196" t="s">
        <v>388</v>
      </c>
      <c r="E207" s="197" t="s">
        <v>19</v>
      </c>
      <c r="F207" s="198" t="s">
        <v>6274</v>
      </c>
      <c r="G207" s="195"/>
      <c r="H207" s="197" t="s">
        <v>19</v>
      </c>
      <c r="I207" s="199"/>
      <c r="J207" s="195"/>
      <c r="K207" s="195"/>
      <c r="L207" s="200"/>
      <c r="M207" s="201"/>
      <c r="N207" s="202"/>
      <c r="O207" s="202"/>
      <c r="P207" s="202"/>
      <c r="Q207" s="202"/>
      <c r="R207" s="202"/>
      <c r="S207" s="202"/>
      <c r="T207" s="203"/>
      <c r="AT207" s="204" t="s">
        <v>388</v>
      </c>
      <c r="AU207" s="204" t="s">
        <v>82</v>
      </c>
      <c r="AV207" s="13" t="s">
        <v>79</v>
      </c>
      <c r="AW207" s="13" t="s">
        <v>33</v>
      </c>
      <c r="AX207" s="13" t="s">
        <v>72</v>
      </c>
      <c r="AY207" s="204" t="s">
        <v>380</v>
      </c>
    </row>
    <row r="208" spans="1:65" s="14" customFormat="1" ht="11.25">
      <c r="B208" s="205"/>
      <c r="C208" s="206"/>
      <c r="D208" s="196" t="s">
        <v>388</v>
      </c>
      <c r="E208" s="207" t="s">
        <v>19</v>
      </c>
      <c r="F208" s="208" t="s">
        <v>6322</v>
      </c>
      <c r="G208" s="206"/>
      <c r="H208" s="209">
        <v>4</v>
      </c>
      <c r="I208" s="210"/>
      <c r="J208" s="206"/>
      <c r="K208" s="206"/>
      <c r="L208" s="211"/>
      <c r="M208" s="212"/>
      <c r="N208" s="213"/>
      <c r="O208" s="213"/>
      <c r="P208" s="213"/>
      <c r="Q208" s="213"/>
      <c r="R208" s="213"/>
      <c r="S208" s="213"/>
      <c r="T208" s="214"/>
      <c r="AT208" s="215" t="s">
        <v>388</v>
      </c>
      <c r="AU208" s="215" t="s">
        <v>82</v>
      </c>
      <c r="AV208" s="14" t="s">
        <v>82</v>
      </c>
      <c r="AW208" s="14" t="s">
        <v>33</v>
      </c>
      <c r="AX208" s="14" t="s">
        <v>72</v>
      </c>
      <c r="AY208" s="215" t="s">
        <v>380</v>
      </c>
    </row>
    <row r="209" spans="1:65" s="13" customFormat="1" ht="11.25">
      <c r="B209" s="194"/>
      <c r="C209" s="195"/>
      <c r="D209" s="196" t="s">
        <v>388</v>
      </c>
      <c r="E209" s="197" t="s">
        <v>19</v>
      </c>
      <c r="F209" s="198" t="s">
        <v>6276</v>
      </c>
      <c r="G209" s="195"/>
      <c r="H209" s="197" t="s">
        <v>19</v>
      </c>
      <c r="I209" s="199"/>
      <c r="J209" s="195"/>
      <c r="K209" s="195"/>
      <c r="L209" s="200"/>
      <c r="M209" s="201"/>
      <c r="N209" s="202"/>
      <c r="O209" s="202"/>
      <c r="P209" s="202"/>
      <c r="Q209" s="202"/>
      <c r="R209" s="202"/>
      <c r="S209" s="202"/>
      <c r="T209" s="203"/>
      <c r="AT209" s="204" t="s">
        <v>388</v>
      </c>
      <c r="AU209" s="204" t="s">
        <v>82</v>
      </c>
      <c r="AV209" s="13" t="s">
        <v>79</v>
      </c>
      <c r="AW209" s="13" t="s">
        <v>33</v>
      </c>
      <c r="AX209" s="13" t="s">
        <v>72</v>
      </c>
      <c r="AY209" s="204" t="s">
        <v>380</v>
      </c>
    </row>
    <row r="210" spans="1:65" s="14" customFormat="1" ht="11.25">
      <c r="B210" s="205"/>
      <c r="C210" s="206"/>
      <c r="D210" s="196" t="s">
        <v>388</v>
      </c>
      <c r="E210" s="207" t="s">
        <v>19</v>
      </c>
      <c r="F210" s="208" t="s">
        <v>6323</v>
      </c>
      <c r="G210" s="206"/>
      <c r="H210" s="209">
        <v>2</v>
      </c>
      <c r="I210" s="210"/>
      <c r="J210" s="206"/>
      <c r="K210" s="206"/>
      <c r="L210" s="211"/>
      <c r="M210" s="212"/>
      <c r="N210" s="213"/>
      <c r="O210" s="213"/>
      <c r="P210" s="213"/>
      <c r="Q210" s="213"/>
      <c r="R210" s="213"/>
      <c r="S210" s="213"/>
      <c r="T210" s="214"/>
      <c r="AT210" s="215" t="s">
        <v>388</v>
      </c>
      <c r="AU210" s="215" t="s">
        <v>82</v>
      </c>
      <c r="AV210" s="14" t="s">
        <v>82</v>
      </c>
      <c r="AW210" s="14" t="s">
        <v>33</v>
      </c>
      <c r="AX210" s="14" t="s">
        <v>72</v>
      </c>
      <c r="AY210" s="215" t="s">
        <v>380</v>
      </c>
    </row>
    <row r="211" spans="1:65" s="13" customFormat="1" ht="11.25">
      <c r="B211" s="194"/>
      <c r="C211" s="195"/>
      <c r="D211" s="196" t="s">
        <v>388</v>
      </c>
      <c r="E211" s="197" t="s">
        <v>19</v>
      </c>
      <c r="F211" s="198" t="s">
        <v>6278</v>
      </c>
      <c r="G211" s="195"/>
      <c r="H211" s="197" t="s">
        <v>19</v>
      </c>
      <c r="I211" s="199"/>
      <c r="J211" s="195"/>
      <c r="K211" s="195"/>
      <c r="L211" s="200"/>
      <c r="M211" s="201"/>
      <c r="N211" s="202"/>
      <c r="O211" s="202"/>
      <c r="P211" s="202"/>
      <c r="Q211" s="202"/>
      <c r="R211" s="202"/>
      <c r="S211" s="202"/>
      <c r="T211" s="203"/>
      <c r="AT211" s="204" t="s">
        <v>388</v>
      </c>
      <c r="AU211" s="204" t="s">
        <v>82</v>
      </c>
      <c r="AV211" s="13" t="s">
        <v>79</v>
      </c>
      <c r="AW211" s="13" t="s">
        <v>33</v>
      </c>
      <c r="AX211" s="13" t="s">
        <v>72</v>
      </c>
      <c r="AY211" s="204" t="s">
        <v>380</v>
      </c>
    </row>
    <row r="212" spans="1:65" s="14" customFormat="1" ht="11.25">
      <c r="B212" s="205"/>
      <c r="C212" s="206"/>
      <c r="D212" s="196" t="s">
        <v>388</v>
      </c>
      <c r="E212" s="207" t="s">
        <v>19</v>
      </c>
      <c r="F212" s="208" t="s">
        <v>6324</v>
      </c>
      <c r="G212" s="206"/>
      <c r="H212" s="209">
        <v>1.946</v>
      </c>
      <c r="I212" s="210"/>
      <c r="J212" s="206"/>
      <c r="K212" s="206"/>
      <c r="L212" s="211"/>
      <c r="M212" s="212"/>
      <c r="N212" s="213"/>
      <c r="O212" s="213"/>
      <c r="P212" s="213"/>
      <c r="Q212" s="213"/>
      <c r="R212" s="213"/>
      <c r="S212" s="213"/>
      <c r="T212" s="214"/>
      <c r="AT212" s="215" t="s">
        <v>388</v>
      </c>
      <c r="AU212" s="215" t="s">
        <v>82</v>
      </c>
      <c r="AV212" s="14" t="s">
        <v>82</v>
      </c>
      <c r="AW212" s="14" t="s">
        <v>33</v>
      </c>
      <c r="AX212" s="14" t="s">
        <v>72</v>
      </c>
      <c r="AY212" s="215" t="s">
        <v>380</v>
      </c>
    </row>
    <row r="213" spans="1:65" s="13" customFormat="1" ht="11.25">
      <c r="B213" s="194"/>
      <c r="C213" s="195"/>
      <c r="D213" s="196" t="s">
        <v>388</v>
      </c>
      <c r="E213" s="197" t="s">
        <v>19</v>
      </c>
      <c r="F213" s="198" t="s">
        <v>6280</v>
      </c>
      <c r="G213" s="195"/>
      <c r="H213" s="197" t="s">
        <v>19</v>
      </c>
      <c r="I213" s="199"/>
      <c r="J213" s="195"/>
      <c r="K213" s="195"/>
      <c r="L213" s="200"/>
      <c r="M213" s="201"/>
      <c r="N213" s="202"/>
      <c r="O213" s="202"/>
      <c r="P213" s="202"/>
      <c r="Q213" s="202"/>
      <c r="R213" s="202"/>
      <c r="S213" s="202"/>
      <c r="T213" s="203"/>
      <c r="AT213" s="204" t="s">
        <v>388</v>
      </c>
      <c r="AU213" s="204" t="s">
        <v>82</v>
      </c>
      <c r="AV213" s="13" t="s">
        <v>79</v>
      </c>
      <c r="AW213" s="13" t="s">
        <v>33</v>
      </c>
      <c r="AX213" s="13" t="s">
        <v>72</v>
      </c>
      <c r="AY213" s="204" t="s">
        <v>380</v>
      </c>
    </row>
    <row r="214" spans="1:65" s="14" customFormat="1" ht="11.25">
      <c r="B214" s="205"/>
      <c r="C214" s="206"/>
      <c r="D214" s="196" t="s">
        <v>388</v>
      </c>
      <c r="E214" s="207" t="s">
        <v>19</v>
      </c>
      <c r="F214" s="208" t="s">
        <v>6325</v>
      </c>
      <c r="G214" s="206"/>
      <c r="H214" s="209">
        <v>18.231000000000002</v>
      </c>
      <c r="I214" s="210"/>
      <c r="J214" s="206"/>
      <c r="K214" s="206"/>
      <c r="L214" s="211"/>
      <c r="M214" s="212"/>
      <c r="N214" s="213"/>
      <c r="O214" s="213"/>
      <c r="P214" s="213"/>
      <c r="Q214" s="213"/>
      <c r="R214" s="213"/>
      <c r="S214" s="213"/>
      <c r="T214" s="214"/>
      <c r="AT214" s="215" t="s">
        <v>388</v>
      </c>
      <c r="AU214" s="215" t="s">
        <v>82</v>
      </c>
      <c r="AV214" s="14" t="s">
        <v>82</v>
      </c>
      <c r="AW214" s="14" t="s">
        <v>33</v>
      </c>
      <c r="AX214" s="14" t="s">
        <v>72</v>
      </c>
      <c r="AY214" s="215" t="s">
        <v>380</v>
      </c>
    </row>
    <row r="215" spans="1:65" s="13" customFormat="1" ht="11.25">
      <c r="B215" s="194"/>
      <c r="C215" s="195"/>
      <c r="D215" s="196" t="s">
        <v>388</v>
      </c>
      <c r="E215" s="197" t="s">
        <v>19</v>
      </c>
      <c r="F215" s="198" t="s">
        <v>6284</v>
      </c>
      <c r="G215" s="195"/>
      <c r="H215" s="197" t="s">
        <v>19</v>
      </c>
      <c r="I215" s="199"/>
      <c r="J215" s="195"/>
      <c r="K215" s="195"/>
      <c r="L215" s="200"/>
      <c r="M215" s="201"/>
      <c r="N215" s="202"/>
      <c r="O215" s="202"/>
      <c r="P215" s="202"/>
      <c r="Q215" s="202"/>
      <c r="R215" s="202"/>
      <c r="S215" s="202"/>
      <c r="T215" s="203"/>
      <c r="AT215" s="204" t="s">
        <v>388</v>
      </c>
      <c r="AU215" s="204" t="s">
        <v>82</v>
      </c>
      <c r="AV215" s="13" t="s">
        <v>79</v>
      </c>
      <c r="AW215" s="13" t="s">
        <v>33</v>
      </c>
      <c r="AX215" s="13" t="s">
        <v>72</v>
      </c>
      <c r="AY215" s="204" t="s">
        <v>380</v>
      </c>
    </row>
    <row r="216" spans="1:65" s="14" customFormat="1" ht="11.25">
      <c r="B216" s="205"/>
      <c r="C216" s="206"/>
      <c r="D216" s="196" t="s">
        <v>388</v>
      </c>
      <c r="E216" s="207" t="s">
        <v>19</v>
      </c>
      <c r="F216" s="208" t="s">
        <v>6326</v>
      </c>
      <c r="G216" s="206"/>
      <c r="H216" s="209">
        <v>2.4</v>
      </c>
      <c r="I216" s="210"/>
      <c r="J216" s="206"/>
      <c r="K216" s="206"/>
      <c r="L216" s="211"/>
      <c r="M216" s="212"/>
      <c r="N216" s="213"/>
      <c r="O216" s="213"/>
      <c r="P216" s="213"/>
      <c r="Q216" s="213"/>
      <c r="R216" s="213"/>
      <c r="S216" s="213"/>
      <c r="T216" s="214"/>
      <c r="AT216" s="215" t="s">
        <v>388</v>
      </c>
      <c r="AU216" s="215" t="s">
        <v>82</v>
      </c>
      <c r="AV216" s="14" t="s">
        <v>82</v>
      </c>
      <c r="AW216" s="14" t="s">
        <v>33</v>
      </c>
      <c r="AX216" s="14" t="s">
        <v>72</v>
      </c>
      <c r="AY216" s="215" t="s">
        <v>380</v>
      </c>
    </row>
    <row r="217" spans="1:65" s="15" customFormat="1" ht="11.25">
      <c r="B217" s="216"/>
      <c r="C217" s="217"/>
      <c r="D217" s="196" t="s">
        <v>388</v>
      </c>
      <c r="E217" s="218" t="s">
        <v>19</v>
      </c>
      <c r="F217" s="219" t="s">
        <v>2544</v>
      </c>
      <c r="G217" s="217"/>
      <c r="H217" s="220">
        <v>63.741</v>
      </c>
      <c r="I217" s="221"/>
      <c r="J217" s="217"/>
      <c r="K217" s="217"/>
      <c r="L217" s="222"/>
      <c r="M217" s="223"/>
      <c r="N217" s="224"/>
      <c r="O217" s="224"/>
      <c r="P217" s="224"/>
      <c r="Q217" s="224"/>
      <c r="R217" s="224"/>
      <c r="S217" s="224"/>
      <c r="T217" s="225"/>
      <c r="AT217" s="226" t="s">
        <v>388</v>
      </c>
      <c r="AU217" s="226" t="s">
        <v>82</v>
      </c>
      <c r="AV217" s="15" t="s">
        <v>386</v>
      </c>
      <c r="AW217" s="15" t="s">
        <v>33</v>
      </c>
      <c r="AX217" s="15" t="s">
        <v>79</v>
      </c>
      <c r="AY217" s="226" t="s">
        <v>380</v>
      </c>
    </row>
    <row r="218" spans="1:65" s="2" customFormat="1" ht="16.5" customHeight="1">
      <c r="A218" s="36"/>
      <c r="B218" s="37"/>
      <c r="C218" s="181" t="s">
        <v>125</v>
      </c>
      <c r="D218" s="181" t="s">
        <v>382</v>
      </c>
      <c r="E218" s="182" t="s">
        <v>6327</v>
      </c>
      <c r="F218" s="183" t="s">
        <v>6328</v>
      </c>
      <c r="G218" s="184" t="s">
        <v>385</v>
      </c>
      <c r="H218" s="185">
        <v>8.4849999999999994</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386</v>
      </c>
      <c r="AT218" s="192" t="s">
        <v>382</v>
      </c>
      <c r="AU218" s="192" t="s">
        <v>82</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386</v>
      </c>
      <c r="BM218" s="192" t="s">
        <v>495</v>
      </c>
    </row>
    <row r="219" spans="1:65" s="13" customFormat="1" ht="11.25">
      <c r="B219" s="194"/>
      <c r="C219" s="195"/>
      <c r="D219" s="196" t="s">
        <v>388</v>
      </c>
      <c r="E219" s="197" t="s">
        <v>19</v>
      </c>
      <c r="F219" s="198" t="s">
        <v>6278</v>
      </c>
      <c r="G219" s="195"/>
      <c r="H219" s="197" t="s">
        <v>19</v>
      </c>
      <c r="I219" s="199"/>
      <c r="J219" s="195"/>
      <c r="K219" s="195"/>
      <c r="L219" s="200"/>
      <c r="M219" s="201"/>
      <c r="N219" s="202"/>
      <c r="O219" s="202"/>
      <c r="P219" s="202"/>
      <c r="Q219" s="202"/>
      <c r="R219" s="202"/>
      <c r="S219" s="202"/>
      <c r="T219" s="203"/>
      <c r="AT219" s="204" t="s">
        <v>388</v>
      </c>
      <c r="AU219" s="204" t="s">
        <v>82</v>
      </c>
      <c r="AV219" s="13" t="s">
        <v>79</v>
      </c>
      <c r="AW219" s="13" t="s">
        <v>33</v>
      </c>
      <c r="AX219" s="13" t="s">
        <v>72</v>
      </c>
      <c r="AY219" s="204" t="s">
        <v>380</v>
      </c>
    </row>
    <row r="220" spans="1:65" s="14" customFormat="1" ht="11.25">
      <c r="B220" s="205"/>
      <c r="C220" s="206"/>
      <c r="D220" s="196" t="s">
        <v>388</v>
      </c>
      <c r="E220" s="207" t="s">
        <v>19</v>
      </c>
      <c r="F220" s="208" t="s">
        <v>6329</v>
      </c>
      <c r="G220" s="206"/>
      <c r="H220" s="209">
        <v>0.745</v>
      </c>
      <c r="I220" s="210"/>
      <c r="J220" s="206"/>
      <c r="K220" s="206"/>
      <c r="L220" s="211"/>
      <c r="M220" s="212"/>
      <c r="N220" s="213"/>
      <c r="O220" s="213"/>
      <c r="P220" s="213"/>
      <c r="Q220" s="213"/>
      <c r="R220" s="213"/>
      <c r="S220" s="213"/>
      <c r="T220" s="214"/>
      <c r="AT220" s="215" t="s">
        <v>388</v>
      </c>
      <c r="AU220" s="215" t="s">
        <v>82</v>
      </c>
      <c r="AV220" s="14" t="s">
        <v>82</v>
      </c>
      <c r="AW220" s="14" t="s">
        <v>33</v>
      </c>
      <c r="AX220" s="14" t="s">
        <v>72</v>
      </c>
      <c r="AY220" s="215" t="s">
        <v>380</v>
      </c>
    </row>
    <row r="221" spans="1:65" s="13" customFormat="1" ht="11.25">
      <c r="B221" s="194"/>
      <c r="C221" s="195"/>
      <c r="D221" s="196" t="s">
        <v>388</v>
      </c>
      <c r="E221" s="197" t="s">
        <v>19</v>
      </c>
      <c r="F221" s="198" t="s">
        <v>6280</v>
      </c>
      <c r="G221" s="195"/>
      <c r="H221" s="197" t="s">
        <v>19</v>
      </c>
      <c r="I221" s="199"/>
      <c r="J221" s="195"/>
      <c r="K221" s="195"/>
      <c r="L221" s="200"/>
      <c r="M221" s="201"/>
      <c r="N221" s="202"/>
      <c r="O221" s="202"/>
      <c r="P221" s="202"/>
      <c r="Q221" s="202"/>
      <c r="R221" s="202"/>
      <c r="S221" s="202"/>
      <c r="T221" s="203"/>
      <c r="AT221" s="204" t="s">
        <v>388</v>
      </c>
      <c r="AU221" s="204" t="s">
        <v>82</v>
      </c>
      <c r="AV221" s="13" t="s">
        <v>79</v>
      </c>
      <c r="AW221" s="13" t="s">
        <v>33</v>
      </c>
      <c r="AX221" s="13" t="s">
        <v>72</v>
      </c>
      <c r="AY221" s="204" t="s">
        <v>380</v>
      </c>
    </row>
    <row r="222" spans="1:65" s="14" customFormat="1" ht="11.25">
      <c r="B222" s="205"/>
      <c r="C222" s="206"/>
      <c r="D222" s="196" t="s">
        <v>388</v>
      </c>
      <c r="E222" s="207" t="s">
        <v>19</v>
      </c>
      <c r="F222" s="208" t="s">
        <v>6330</v>
      </c>
      <c r="G222" s="206"/>
      <c r="H222" s="209">
        <v>7.04</v>
      </c>
      <c r="I222" s="210"/>
      <c r="J222" s="206"/>
      <c r="K222" s="206"/>
      <c r="L222" s="211"/>
      <c r="M222" s="212"/>
      <c r="N222" s="213"/>
      <c r="O222" s="213"/>
      <c r="P222" s="213"/>
      <c r="Q222" s="213"/>
      <c r="R222" s="213"/>
      <c r="S222" s="213"/>
      <c r="T222" s="214"/>
      <c r="AT222" s="215" t="s">
        <v>388</v>
      </c>
      <c r="AU222" s="215" t="s">
        <v>82</v>
      </c>
      <c r="AV222" s="14" t="s">
        <v>82</v>
      </c>
      <c r="AW222" s="14" t="s">
        <v>33</v>
      </c>
      <c r="AX222" s="14" t="s">
        <v>72</v>
      </c>
      <c r="AY222" s="215" t="s">
        <v>380</v>
      </c>
    </row>
    <row r="223" spans="1:65" s="13" customFormat="1" ht="11.25">
      <c r="B223" s="194"/>
      <c r="C223" s="195"/>
      <c r="D223" s="196" t="s">
        <v>388</v>
      </c>
      <c r="E223" s="197" t="s">
        <v>19</v>
      </c>
      <c r="F223" s="198" t="s">
        <v>6284</v>
      </c>
      <c r="G223" s="195"/>
      <c r="H223" s="197" t="s">
        <v>19</v>
      </c>
      <c r="I223" s="199"/>
      <c r="J223" s="195"/>
      <c r="K223" s="195"/>
      <c r="L223" s="200"/>
      <c r="M223" s="201"/>
      <c r="N223" s="202"/>
      <c r="O223" s="202"/>
      <c r="P223" s="202"/>
      <c r="Q223" s="202"/>
      <c r="R223" s="202"/>
      <c r="S223" s="202"/>
      <c r="T223" s="203"/>
      <c r="AT223" s="204" t="s">
        <v>388</v>
      </c>
      <c r="AU223" s="204" t="s">
        <v>82</v>
      </c>
      <c r="AV223" s="13" t="s">
        <v>79</v>
      </c>
      <c r="AW223" s="13" t="s">
        <v>33</v>
      </c>
      <c r="AX223" s="13" t="s">
        <v>72</v>
      </c>
      <c r="AY223" s="204" t="s">
        <v>380</v>
      </c>
    </row>
    <row r="224" spans="1:65" s="14" customFormat="1" ht="11.25">
      <c r="B224" s="205"/>
      <c r="C224" s="206"/>
      <c r="D224" s="196" t="s">
        <v>388</v>
      </c>
      <c r="E224" s="207" t="s">
        <v>19</v>
      </c>
      <c r="F224" s="208" t="s">
        <v>6331</v>
      </c>
      <c r="G224" s="206"/>
      <c r="H224" s="209">
        <v>0.7</v>
      </c>
      <c r="I224" s="210"/>
      <c r="J224" s="206"/>
      <c r="K224" s="206"/>
      <c r="L224" s="211"/>
      <c r="M224" s="212"/>
      <c r="N224" s="213"/>
      <c r="O224" s="213"/>
      <c r="P224" s="213"/>
      <c r="Q224" s="213"/>
      <c r="R224" s="213"/>
      <c r="S224" s="213"/>
      <c r="T224" s="214"/>
      <c r="AT224" s="215" t="s">
        <v>388</v>
      </c>
      <c r="AU224" s="215" t="s">
        <v>82</v>
      </c>
      <c r="AV224" s="14" t="s">
        <v>82</v>
      </c>
      <c r="AW224" s="14" t="s">
        <v>33</v>
      </c>
      <c r="AX224" s="14" t="s">
        <v>72</v>
      </c>
      <c r="AY224" s="215" t="s">
        <v>380</v>
      </c>
    </row>
    <row r="225" spans="1:65" s="15" customFormat="1" ht="11.25">
      <c r="B225" s="216"/>
      <c r="C225" s="217"/>
      <c r="D225" s="196" t="s">
        <v>388</v>
      </c>
      <c r="E225" s="218" t="s">
        <v>19</v>
      </c>
      <c r="F225" s="219" t="s">
        <v>2544</v>
      </c>
      <c r="G225" s="217"/>
      <c r="H225" s="220">
        <v>8.4849999999999994</v>
      </c>
      <c r="I225" s="221"/>
      <c r="J225" s="217"/>
      <c r="K225" s="217"/>
      <c r="L225" s="222"/>
      <c r="M225" s="223"/>
      <c r="N225" s="224"/>
      <c r="O225" s="224"/>
      <c r="P225" s="224"/>
      <c r="Q225" s="224"/>
      <c r="R225" s="224"/>
      <c r="S225" s="224"/>
      <c r="T225" s="225"/>
      <c r="AT225" s="226" t="s">
        <v>388</v>
      </c>
      <c r="AU225" s="226" t="s">
        <v>82</v>
      </c>
      <c r="AV225" s="15" t="s">
        <v>386</v>
      </c>
      <c r="AW225" s="15" t="s">
        <v>33</v>
      </c>
      <c r="AX225" s="15" t="s">
        <v>79</v>
      </c>
      <c r="AY225" s="226" t="s">
        <v>380</v>
      </c>
    </row>
    <row r="226" spans="1:65" s="12" customFormat="1" ht="22.9" customHeight="1">
      <c r="B226" s="165"/>
      <c r="C226" s="166"/>
      <c r="D226" s="167" t="s">
        <v>71</v>
      </c>
      <c r="E226" s="179" t="s">
        <v>424</v>
      </c>
      <c r="F226" s="179" t="s">
        <v>2855</v>
      </c>
      <c r="G226" s="166"/>
      <c r="H226" s="166"/>
      <c r="I226" s="169"/>
      <c r="J226" s="180">
        <f>BK226</f>
        <v>0</v>
      </c>
      <c r="K226" s="166"/>
      <c r="L226" s="171"/>
      <c r="M226" s="172"/>
      <c r="N226" s="173"/>
      <c r="O226" s="173"/>
      <c r="P226" s="174">
        <f>SUM(P227:P301)</f>
        <v>0</v>
      </c>
      <c r="Q226" s="173"/>
      <c r="R226" s="174">
        <f>SUM(R227:R301)</f>
        <v>0</v>
      </c>
      <c r="S226" s="173"/>
      <c r="T226" s="175">
        <f>SUM(T227:T301)</f>
        <v>0</v>
      </c>
      <c r="AR226" s="176" t="s">
        <v>79</v>
      </c>
      <c r="AT226" s="177" t="s">
        <v>71</v>
      </c>
      <c r="AU226" s="177" t="s">
        <v>79</v>
      </c>
      <c r="AY226" s="176" t="s">
        <v>380</v>
      </c>
      <c r="BK226" s="178">
        <f>SUM(BK227:BK301)</f>
        <v>0</v>
      </c>
    </row>
    <row r="227" spans="1:65" s="2" customFormat="1" ht="16.5" customHeight="1">
      <c r="A227" s="36"/>
      <c r="B227" s="37"/>
      <c r="C227" s="227" t="s">
        <v>128</v>
      </c>
      <c r="D227" s="227" t="s">
        <v>465</v>
      </c>
      <c r="E227" s="228" t="s">
        <v>6332</v>
      </c>
      <c r="F227" s="229" t="s">
        <v>6333</v>
      </c>
      <c r="G227" s="230" t="s">
        <v>398</v>
      </c>
      <c r="H227" s="231">
        <v>4.6130000000000004</v>
      </c>
      <c r="I227" s="232"/>
      <c r="J227" s="233">
        <f>ROUND(I227*H227,2)</f>
        <v>0</v>
      </c>
      <c r="K227" s="229" t="s">
        <v>19</v>
      </c>
      <c r="L227" s="234"/>
      <c r="M227" s="235" t="s">
        <v>19</v>
      </c>
      <c r="N227" s="236" t="s">
        <v>43</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424</v>
      </c>
      <c r="AT227" s="192" t="s">
        <v>465</v>
      </c>
      <c r="AU227" s="192" t="s">
        <v>82</v>
      </c>
      <c r="AY227" s="19" t="s">
        <v>380</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386</v>
      </c>
      <c r="BM227" s="192" t="s">
        <v>505</v>
      </c>
    </row>
    <row r="228" spans="1:65" s="14" customFormat="1" ht="11.25">
      <c r="B228" s="205"/>
      <c r="C228" s="206"/>
      <c r="D228" s="196" t="s">
        <v>388</v>
      </c>
      <c r="E228" s="207" t="s">
        <v>19</v>
      </c>
      <c r="F228" s="208" t="s">
        <v>6334</v>
      </c>
      <c r="G228" s="206"/>
      <c r="H228" s="209">
        <v>4.6130000000000004</v>
      </c>
      <c r="I228" s="210"/>
      <c r="J228" s="206"/>
      <c r="K228" s="206"/>
      <c r="L228" s="211"/>
      <c r="M228" s="212"/>
      <c r="N228" s="213"/>
      <c r="O228" s="213"/>
      <c r="P228" s="213"/>
      <c r="Q228" s="213"/>
      <c r="R228" s="213"/>
      <c r="S228" s="213"/>
      <c r="T228" s="214"/>
      <c r="AT228" s="215" t="s">
        <v>388</v>
      </c>
      <c r="AU228" s="215" t="s">
        <v>82</v>
      </c>
      <c r="AV228" s="14" t="s">
        <v>82</v>
      </c>
      <c r="AW228" s="14" t="s">
        <v>33</v>
      </c>
      <c r="AX228" s="14" t="s">
        <v>72</v>
      </c>
      <c r="AY228" s="215" t="s">
        <v>380</v>
      </c>
    </row>
    <row r="229" spans="1:65" s="15" customFormat="1" ht="11.25">
      <c r="B229" s="216"/>
      <c r="C229" s="217"/>
      <c r="D229" s="196" t="s">
        <v>388</v>
      </c>
      <c r="E229" s="218" t="s">
        <v>19</v>
      </c>
      <c r="F229" s="219" t="s">
        <v>419</v>
      </c>
      <c r="G229" s="217"/>
      <c r="H229" s="220">
        <v>4.6130000000000004</v>
      </c>
      <c r="I229" s="221"/>
      <c r="J229" s="217"/>
      <c r="K229" s="217"/>
      <c r="L229" s="222"/>
      <c r="M229" s="223"/>
      <c r="N229" s="224"/>
      <c r="O229" s="224"/>
      <c r="P229" s="224"/>
      <c r="Q229" s="224"/>
      <c r="R229" s="224"/>
      <c r="S229" s="224"/>
      <c r="T229" s="225"/>
      <c r="AT229" s="226" t="s">
        <v>388</v>
      </c>
      <c r="AU229" s="226" t="s">
        <v>82</v>
      </c>
      <c r="AV229" s="15" t="s">
        <v>386</v>
      </c>
      <c r="AW229" s="15" t="s">
        <v>33</v>
      </c>
      <c r="AX229" s="15" t="s">
        <v>79</v>
      </c>
      <c r="AY229" s="226" t="s">
        <v>380</v>
      </c>
    </row>
    <row r="230" spans="1:65" s="2" customFormat="1" ht="16.5" customHeight="1">
      <c r="A230" s="36"/>
      <c r="B230" s="37"/>
      <c r="C230" s="227" t="s">
        <v>131</v>
      </c>
      <c r="D230" s="227" t="s">
        <v>465</v>
      </c>
      <c r="E230" s="228" t="s">
        <v>6335</v>
      </c>
      <c r="F230" s="229" t="s">
        <v>6336</v>
      </c>
      <c r="G230" s="230" t="s">
        <v>452</v>
      </c>
      <c r="H230" s="231">
        <v>20.5</v>
      </c>
      <c r="I230" s="232"/>
      <c r="J230" s="233">
        <f>ROUND(I230*H230,2)</f>
        <v>0</v>
      </c>
      <c r="K230" s="229" t="s">
        <v>19</v>
      </c>
      <c r="L230" s="234"/>
      <c r="M230" s="235" t="s">
        <v>19</v>
      </c>
      <c r="N230" s="236" t="s">
        <v>43</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424</v>
      </c>
      <c r="AT230" s="192" t="s">
        <v>465</v>
      </c>
      <c r="AU230" s="192" t="s">
        <v>82</v>
      </c>
      <c r="AY230" s="19" t="s">
        <v>380</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386</v>
      </c>
      <c r="BM230" s="192" t="s">
        <v>514</v>
      </c>
    </row>
    <row r="231" spans="1:65" s="13" customFormat="1" ht="11.25">
      <c r="B231" s="194"/>
      <c r="C231" s="195"/>
      <c r="D231" s="196" t="s">
        <v>388</v>
      </c>
      <c r="E231" s="197" t="s">
        <v>19</v>
      </c>
      <c r="F231" s="198" t="s">
        <v>6270</v>
      </c>
      <c r="G231" s="195"/>
      <c r="H231" s="197" t="s">
        <v>19</v>
      </c>
      <c r="I231" s="199"/>
      <c r="J231" s="195"/>
      <c r="K231" s="195"/>
      <c r="L231" s="200"/>
      <c r="M231" s="201"/>
      <c r="N231" s="202"/>
      <c r="O231" s="202"/>
      <c r="P231" s="202"/>
      <c r="Q231" s="202"/>
      <c r="R231" s="202"/>
      <c r="S231" s="202"/>
      <c r="T231" s="203"/>
      <c r="AT231" s="204" t="s">
        <v>388</v>
      </c>
      <c r="AU231" s="204" t="s">
        <v>82</v>
      </c>
      <c r="AV231" s="13" t="s">
        <v>79</v>
      </c>
      <c r="AW231" s="13" t="s">
        <v>33</v>
      </c>
      <c r="AX231" s="13" t="s">
        <v>72</v>
      </c>
      <c r="AY231" s="204" t="s">
        <v>380</v>
      </c>
    </row>
    <row r="232" spans="1:65" s="14" customFormat="1" ht="11.25">
      <c r="B232" s="205"/>
      <c r="C232" s="206"/>
      <c r="D232" s="196" t="s">
        <v>388</v>
      </c>
      <c r="E232" s="207" t="s">
        <v>19</v>
      </c>
      <c r="F232" s="208" t="s">
        <v>6337</v>
      </c>
      <c r="G232" s="206"/>
      <c r="H232" s="209">
        <v>20.5</v>
      </c>
      <c r="I232" s="210"/>
      <c r="J232" s="206"/>
      <c r="K232" s="206"/>
      <c r="L232" s="211"/>
      <c r="M232" s="212"/>
      <c r="N232" s="213"/>
      <c r="O232" s="213"/>
      <c r="P232" s="213"/>
      <c r="Q232" s="213"/>
      <c r="R232" s="213"/>
      <c r="S232" s="213"/>
      <c r="T232" s="214"/>
      <c r="AT232" s="215" t="s">
        <v>388</v>
      </c>
      <c r="AU232" s="215" t="s">
        <v>82</v>
      </c>
      <c r="AV232" s="14" t="s">
        <v>82</v>
      </c>
      <c r="AW232" s="14" t="s">
        <v>33</v>
      </c>
      <c r="AX232" s="14" t="s">
        <v>72</v>
      </c>
      <c r="AY232" s="215" t="s">
        <v>380</v>
      </c>
    </row>
    <row r="233" spans="1:65" s="15" customFormat="1" ht="11.25">
      <c r="B233" s="216"/>
      <c r="C233" s="217"/>
      <c r="D233" s="196" t="s">
        <v>388</v>
      </c>
      <c r="E233" s="218" t="s">
        <v>19</v>
      </c>
      <c r="F233" s="219" t="s">
        <v>419</v>
      </c>
      <c r="G233" s="217"/>
      <c r="H233" s="220">
        <v>20.5</v>
      </c>
      <c r="I233" s="221"/>
      <c r="J233" s="217"/>
      <c r="K233" s="217"/>
      <c r="L233" s="222"/>
      <c r="M233" s="223"/>
      <c r="N233" s="224"/>
      <c r="O233" s="224"/>
      <c r="P233" s="224"/>
      <c r="Q233" s="224"/>
      <c r="R233" s="224"/>
      <c r="S233" s="224"/>
      <c r="T233" s="225"/>
      <c r="AT233" s="226" t="s">
        <v>388</v>
      </c>
      <c r="AU233" s="226" t="s">
        <v>82</v>
      </c>
      <c r="AV233" s="15" t="s">
        <v>386</v>
      </c>
      <c r="AW233" s="15" t="s">
        <v>33</v>
      </c>
      <c r="AX233" s="15" t="s">
        <v>79</v>
      </c>
      <c r="AY233" s="226" t="s">
        <v>380</v>
      </c>
    </row>
    <row r="234" spans="1:65" s="2" customFormat="1" ht="16.5" customHeight="1">
      <c r="A234" s="36"/>
      <c r="B234" s="37"/>
      <c r="C234" s="181" t="s">
        <v>134</v>
      </c>
      <c r="D234" s="181" t="s">
        <v>382</v>
      </c>
      <c r="E234" s="182" t="s">
        <v>6338</v>
      </c>
      <c r="F234" s="183" t="s">
        <v>6339</v>
      </c>
      <c r="G234" s="184" t="s">
        <v>641</v>
      </c>
      <c r="H234" s="185">
        <v>4.5999999999999996</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386</v>
      </c>
      <c r="AT234" s="192" t="s">
        <v>382</v>
      </c>
      <c r="AU234" s="192" t="s">
        <v>82</v>
      </c>
      <c r="AY234" s="19" t="s">
        <v>380</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386</v>
      </c>
      <c r="BM234" s="192" t="s">
        <v>525</v>
      </c>
    </row>
    <row r="235" spans="1:65" s="14" customFormat="1" ht="11.25">
      <c r="B235" s="205"/>
      <c r="C235" s="206"/>
      <c r="D235" s="196" t="s">
        <v>388</v>
      </c>
      <c r="E235" s="207" t="s">
        <v>19</v>
      </c>
      <c r="F235" s="208" t="s">
        <v>6340</v>
      </c>
      <c r="G235" s="206"/>
      <c r="H235" s="209">
        <v>4.5999999999999996</v>
      </c>
      <c r="I235" s="210"/>
      <c r="J235" s="206"/>
      <c r="K235" s="206"/>
      <c r="L235" s="211"/>
      <c r="M235" s="212"/>
      <c r="N235" s="213"/>
      <c r="O235" s="213"/>
      <c r="P235" s="213"/>
      <c r="Q235" s="213"/>
      <c r="R235" s="213"/>
      <c r="S235" s="213"/>
      <c r="T235" s="214"/>
      <c r="AT235" s="215" t="s">
        <v>388</v>
      </c>
      <c r="AU235" s="215" t="s">
        <v>82</v>
      </c>
      <c r="AV235" s="14" t="s">
        <v>82</v>
      </c>
      <c r="AW235" s="14" t="s">
        <v>33</v>
      </c>
      <c r="AX235" s="14" t="s">
        <v>72</v>
      </c>
      <c r="AY235" s="215" t="s">
        <v>380</v>
      </c>
    </row>
    <row r="236" spans="1:65" s="15" customFormat="1" ht="11.25">
      <c r="B236" s="216"/>
      <c r="C236" s="217"/>
      <c r="D236" s="196" t="s">
        <v>388</v>
      </c>
      <c r="E236" s="218" t="s">
        <v>19</v>
      </c>
      <c r="F236" s="219" t="s">
        <v>419</v>
      </c>
      <c r="G236" s="217"/>
      <c r="H236" s="220">
        <v>4.5999999999999996</v>
      </c>
      <c r="I236" s="221"/>
      <c r="J236" s="217"/>
      <c r="K236" s="217"/>
      <c r="L236" s="222"/>
      <c r="M236" s="223"/>
      <c r="N236" s="224"/>
      <c r="O236" s="224"/>
      <c r="P236" s="224"/>
      <c r="Q236" s="224"/>
      <c r="R236" s="224"/>
      <c r="S236" s="224"/>
      <c r="T236" s="225"/>
      <c r="AT236" s="226" t="s">
        <v>388</v>
      </c>
      <c r="AU236" s="226" t="s">
        <v>82</v>
      </c>
      <c r="AV236" s="15" t="s">
        <v>386</v>
      </c>
      <c r="AW236" s="15" t="s">
        <v>33</v>
      </c>
      <c r="AX236" s="15" t="s">
        <v>79</v>
      </c>
      <c r="AY236" s="226" t="s">
        <v>380</v>
      </c>
    </row>
    <row r="237" spans="1:65" s="2" customFormat="1" ht="16.5" customHeight="1">
      <c r="A237" s="36"/>
      <c r="B237" s="37"/>
      <c r="C237" s="227" t="s">
        <v>8</v>
      </c>
      <c r="D237" s="227" t="s">
        <v>465</v>
      </c>
      <c r="E237" s="228" t="s">
        <v>6341</v>
      </c>
      <c r="F237" s="229" t="s">
        <v>6342</v>
      </c>
      <c r="G237" s="230" t="s">
        <v>641</v>
      </c>
      <c r="H237" s="231">
        <v>7</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424</v>
      </c>
      <c r="AT237" s="192" t="s">
        <v>465</v>
      </c>
      <c r="AU237" s="192" t="s">
        <v>82</v>
      </c>
      <c r="AY237" s="19" t="s">
        <v>380</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386</v>
      </c>
      <c r="BM237" s="192" t="s">
        <v>534</v>
      </c>
    </row>
    <row r="238" spans="1:65" s="14" customFormat="1" ht="11.25">
      <c r="B238" s="205"/>
      <c r="C238" s="206"/>
      <c r="D238" s="196" t="s">
        <v>388</v>
      </c>
      <c r="E238" s="207" t="s">
        <v>19</v>
      </c>
      <c r="F238" s="208" t="s">
        <v>3107</v>
      </c>
      <c r="G238" s="206"/>
      <c r="H238" s="209">
        <v>7</v>
      </c>
      <c r="I238" s="210"/>
      <c r="J238" s="206"/>
      <c r="K238" s="206"/>
      <c r="L238" s="211"/>
      <c r="M238" s="212"/>
      <c r="N238" s="213"/>
      <c r="O238" s="213"/>
      <c r="P238" s="213"/>
      <c r="Q238" s="213"/>
      <c r="R238" s="213"/>
      <c r="S238" s="213"/>
      <c r="T238" s="214"/>
      <c r="AT238" s="215" t="s">
        <v>388</v>
      </c>
      <c r="AU238" s="215" t="s">
        <v>82</v>
      </c>
      <c r="AV238" s="14" t="s">
        <v>82</v>
      </c>
      <c r="AW238" s="14" t="s">
        <v>33</v>
      </c>
      <c r="AX238" s="14" t="s">
        <v>72</v>
      </c>
      <c r="AY238" s="215" t="s">
        <v>380</v>
      </c>
    </row>
    <row r="239" spans="1:65" s="15" customFormat="1" ht="11.25">
      <c r="B239" s="216"/>
      <c r="C239" s="217"/>
      <c r="D239" s="196" t="s">
        <v>388</v>
      </c>
      <c r="E239" s="218" t="s">
        <v>19</v>
      </c>
      <c r="F239" s="219" t="s">
        <v>419</v>
      </c>
      <c r="G239" s="217"/>
      <c r="H239" s="220">
        <v>7</v>
      </c>
      <c r="I239" s="221"/>
      <c r="J239" s="217"/>
      <c r="K239" s="217"/>
      <c r="L239" s="222"/>
      <c r="M239" s="223"/>
      <c r="N239" s="224"/>
      <c r="O239" s="224"/>
      <c r="P239" s="224"/>
      <c r="Q239" s="224"/>
      <c r="R239" s="224"/>
      <c r="S239" s="224"/>
      <c r="T239" s="225"/>
      <c r="AT239" s="226" t="s">
        <v>388</v>
      </c>
      <c r="AU239" s="226" t="s">
        <v>82</v>
      </c>
      <c r="AV239" s="15" t="s">
        <v>386</v>
      </c>
      <c r="AW239" s="15" t="s">
        <v>33</v>
      </c>
      <c r="AX239" s="15" t="s">
        <v>79</v>
      </c>
      <c r="AY239" s="226" t="s">
        <v>380</v>
      </c>
    </row>
    <row r="240" spans="1:65" s="2" customFormat="1" ht="21.75" customHeight="1">
      <c r="A240" s="36"/>
      <c r="B240" s="37"/>
      <c r="C240" s="227" t="s">
        <v>281</v>
      </c>
      <c r="D240" s="227" t="s">
        <v>465</v>
      </c>
      <c r="E240" s="228" t="s">
        <v>6343</v>
      </c>
      <c r="F240" s="229" t="s">
        <v>6344</v>
      </c>
      <c r="G240" s="230" t="s">
        <v>641</v>
      </c>
      <c r="H240" s="231">
        <v>49</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424</v>
      </c>
      <c r="AT240" s="192" t="s">
        <v>465</v>
      </c>
      <c r="AU240" s="192" t="s">
        <v>82</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386</v>
      </c>
      <c r="BM240" s="192" t="s">
        <v>546</v>
      </c>
    </row>
    <row r="241" spans="1:65" s="14" customFormat="1" ht="11.25">
      <c r="B241" s="205"/>
      <c r="C241" s="206"/>
      <c r="D241" s="196" t="s">
        <v>388</v>
      </c>
      <c r="E241" s="207" t="s">
        <v>19</v>
      </c>
      <c r="F241" s="208" t="s">
        <v>6345</v>
      </c>
      <c r="G241" s="206"/>
      <c r="H241" s="209">
        <v>49</v>
      </c>
      <c r="I241" s="210"/>
      <c r="J241" s="206"/>
      <c r="K241" s="206"/>
      <c r="L241" s="211"/>
      <c r="M241" s="212"/>
      <c r="N241" s="213"/>
      <c r="O241" s="213"/>
      <c r="P241" s="213"/>
      <c r="Q241" s="213"/>
      <c r="R241" s="213"/>
      <c r="S241" s="213"/>
      <c r="T241" s="214"/>
      <c r="AT241" s="215" t="s">
        <v>388</v>
      </c>
      <c r="AU241" s="215" t="s">
        <v>82</v>
      </c>
      <c r="AV241" s="14" t="s">
        <v>82</v>
      </c>
      <c r="AW241" s="14" t="s">
        <v>33</v>
      </c>
      <c r="AX241" s="14" t="s">
        <v>72</v>
      </c>
      <c r="AY241" s="215" t="s">
        <v>380</v>
      </c>
    </row>
    <row r="242" spans="1:65" s="15" customFormat="1" ht="11.25">
      <c r="B242" s="216"/>
      <c r="C242" s="217"/>
      <c r="D242" s="196" t="s">
        <v>388</v>
      </c>
      <c r="E242" s="218" t="s">
        <v>19</v>
      </c>
      <c r="F242" s="219" t="s">
        <v>419</v>
      </c>
      <c r="G242" s="217"/>
      <c r="H242" s="220">
        <v>49</v>
      </c>
      <c r="I242" s="221"/>
      <c r="J242" s="217"/>
      <c r="K242" s="217"/>
      <c r="L242" s="222"/>
      <c r="M242" s="223"/>
      <c r="N242" s="224"/>
      <c r="O242" s="224"/>
      <c r="P242" s="224"/>
      <c r="Q242" s="224"/>
      <c r="R242" s="224"/>
      <c r="S242" s="224"/>
      <c r="T242" s="225"/>
      <c r="AT242" s="226" t="s">
        <v>388</v>
      </c>
      <c r="AU242" s="226" t="s">
        <v>82</v>
      </c>
      <c r="AV242" s="15" t="s">
        <v>386</v>
      </c>
      <c r="AW242" s="15" t="s">
        <v>33</v>
      </c>
      <c r="AX242" s="15" t="s">
        <v>79</v>
      </c>
      <c r="AY242" s="226" t="s">
        <v>380</v>
      </c>
    </row>
    <row r="243" spans="1:65" s="2" customFormat="1" ht="16.5" customHeight="1">
      <c r="A243" s="36"/>
      <c r="B243" s="37"/>
      <c r="C243" s="181" t="s">
        <v>471</v>
      </c>
      <c r="D243" s="181" t="s">
        <v>382</v>
      </c>
      <c r="E243" s="182" t="s">
        <v>6346</v>
      </c>
      <c r="F243" s="183" t="s">
        <v>6347</v>
      </c>
      <c r="G243" s="184" t="s">
        <v>452</v>
      </c>
      <c r="H243" s="185">
        <v>15</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386</v>
      </c>
      <c r="AT243" s="192" t="s">
        <v>382</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386</v>
      </c>
      <c r="BM243" s="192" t="s">
        <v>556</v>
      </c>
    </row>
    <row r="244" spans="1:65" s="13" customFormat="1" ht="11.25">
      <c r="B244" s="194"/>
      <c r="C244" s="195"/>
      <c r="D244" s="196" t="s">
        <v>388</v>
      </c>
      <c r="E244" s="197" t="s">
        <v>19</v>
      </c>
      <c r="F244" s="198" t="s">
        <v>6274</v>
      </c>
      <c r="G244" s="195"/>
      <c r="H244" s="197" t="s">
        <v>19</v>
      </c>
      <c r="I244" s="199"/>
      <c r="J244" s="195"/>
      <c r="K244" s="195"/>
      <c r="L244" s="200"/>
      <c r="M244" s="201"/>
      <c r="N244" s="202"/>
      <c r="O244" s="202"/>
      <c r="P244" s="202"/>
      <c r="Q244" s="202"/>
      <c r="R244" s="202"/>
      <c r="S244" s="202"/>
      <c r="T244" s="203"/>
      <c r="AT244" s="204" t="s">
        <v>388</v>
      </c>
      <c r="AU244" s="204" t="s">
        <v>82</v>
      </c>
      <c r="AV244" s="13" t="s">
        <v>79</v>
      </c>
      <c r="AW244" s="13" t="s">
        <v>33</v>
      </c>
      <c r="AX244" s="13" t="s">
        <v>72</v>
      </c>
      <c r="AY244" s="204" t="s">
        <v>380</v>
      </c>
    </row>
    <row r="245" spans="1:65" s="14" customFormat="1" ht="11.25">
      <c r="B245" s="205"/>
      <c r="C245" s="206"/>
      <c r="D245" s="196" t="s">
        <v>388</v>
      </c>
      <c r="E245" s="207" t="s">
        <v>19</v>
      </c>
      <c r="F245" s="208" t="s">
        <v>6348</v>
      </c>
      <c r="G245" s="206"/>
      <c r="H245" s="209">
        <v>10</v>
      </c>
      <c r="I245" s="210"/>
      <c r="J245" s="206"/>
      <c r="K245" s="206"/>
      <c r="L245" s="211"/>
      <c r="M245" s="212"/>
      <c r="N245" s="213"/>
      <c r="O245" s="213"/>
      <c r="P245" s="213"/>
      <c r="Q245" s="213"/>
      <c r="R245" s="213"/>
      <c r="S245" s="213"/>
      <c r="T245" s="214"/>
      <c r="AT245" s="215" t="s">
        <v>388</v>
      </c>
      <c r="AU245" s="215" t="s">
        <v>82</v>
      </c>
      <c r="AV245" s="14" t="s">
        <v>82</v>
      </c>
      <c r="AW245" s="14" t="s">
        <v>33</v>
      </c>
      <c r="AX245" s="14" t="s">
        <v>72</v>
      </c>
      <c r="AY245" s="215" t="s">
        <v>380</v>
      </c>
    </row>
    <row r="246" spans="1:65" s="13" customFormat="1" ht="11.25">
      <c r="B246" s="194"/>
      <c r="C246" s="195"/>
      <c r="D246" s="196" t="s">
        <v>388</v>
      </c>
      <c r="E246" s="197" t="s">
        <v>19</v>
      </c>
      <c r="F246" s="198" t="s">
        <v>6276</v>
      </c>
      <c r="G246" s="195"/>
      <c r="H246" s="197" t="s">
        <v>19</v>
      </c>
      <c r="I246" s="199"/>
      <c r="J246" s="195"/>
      <c r="K246" s="195"/>
      <c r="L246" s="200"/>
      <c r="M246" s="201"/>
      <c r="N246" s="202"/>
      <c r="O246" s="202"/>
      <c r="P246" s="202"/>
      <c r="Q246" s="202"/>
      <c r="R246" s="202"/>
      <c r="S246" s="202"/>
      <c r="T246" s="203"/>
      <c r="AT246" s="204" t="s">
        <v>388</v>
      </c>
      <c r="AU246" s="204" t="s">
        <v>82</v>
      </c>
      <c r="AV246" s="13" t="s">
        <v>79</v>
      </c>
      <c r="AW246" s="13" t="s">
        <v>33</v>
      </c>
      <c r="AX246" s="13" t="s">
        <v>72</v>
      </c>
      <c r="AY246" s="204" t="s">
        <v>380</v>
      </c>
    </row>
    <row r="247" spans="1:65" s="14" customFormat="1" ht="11.25">
      <c r="B247" s="205"/>
      <c r="C247" s="206"/>
      <c r="D247" s="196" t="s">
        <v>388</v>
      </c>
      <c r="E247" s="207" t="s">
        <v>19</v>
      </c>
      <c r="F247" s="208" t="s">
        <v>6349</v>
      </c>
      <c r="G247" s="206"/>
      <c r="H247" s="209">
        <v>5</v>
      </c>
      <c r="I247" s="210"/>
      <c r="J247" s="206"/>
      <c r="K247" s="206"/>
      <c r="L247" s="211"/>
      <c r="M247" s="212"/>
      <c r="N247" s="213"/>
      <c r="O247" s="213"/>
      <c r="P247" s="213"/>
      <c r="Q247" s="213"/>
      <c r="R247" s="213"/>
      <c r="S247" s="213"/>
      <c r="T247" s="214"/>
      <c r="AT247" s="215" t="s">
        <v>388</v>
      </c>
      <c r="AU247" s="215" t="s">
        <v>82</v>
      </c>
      <c r="AV247" s="14" t="s">
        <v>82</v>
      </c>
      <c r="AW247" s="14" t="s">
        <v>33</v>
      </c>
      <c r="AX247" s="14" t="s">
        <v>72</v>
      </c>
      <c r="AY247" s="215" t="s">
        <v>380</v>
      </c>
    </row>
    <row r="248" spans="1:65" s="15" customFormat="1" ht="11.25">
      <c r="B248" s="216"/>
      <c r="C248" s="217"/>
      <c r="D248" s="196" t="s">
        <v>388</v>
      </c>
      <c r="E248" s="218" t="s">
        <v>19</v>
      </c>
      <c r="F248" s="219" t="s">
        <v>2544</v>
      </c>
      <c r="G248" s="217"/>
      <c r="H248" s="220">
        <v>15</v>
      </c>
      <c r="I248" s="221"/>
      <c r="J248" s="217"/>
      <c r="K248" s="217"/>
      <c r="L248" s="222"/>
      <c r="M248" s="223"/>
      <c r="N248" s="224"/>
      <c r="O248" s="224"/>
      <c r="P248" s="224"/>
      <c r="Q248" s="224"/>
      <c r="R248" s="224"/>
      <c r="S248" s="224"/>
      <c r="T248" s="225"/>
      <c r="AT248" s="226" t="s">
        <v>388</v>
      </c>
      <c r="AU248" s="226" t="s">
        <v>82</v>
      </c>
      <c r="AV248" s="15" t="s">
        <v>386</v>
      </c>
      <c r="AW248" s="15" t="s">
        <v>33</v>
      </c>
      <c r="AX248" s="15" t="s">
        <v>79</v>
      </c>
      <c r="AY248" s="226" t="s">
        <v>380</v>
      </c>
    </row>
    <row r="249" spans="1:65" s="2" customFormat="1" ht="16.5" customHeight="1">
      <c r="A249" s="36"/>
      <c r="B249" s="37"/>
      <c r="C249" s="181" t="s">
        <v>477</v>
      </c>
      <c r="D249" s="181" t="s">
        <v>382</v>
      </c>
      <c r="E249" s="182" t="s">
        <v>6350</v>
      </c>
      <c r="F249" s="183" t="s">
        <v>6351</v>
      </c>
      <c r="G249" s="184" t="s">
        <v>452</v>
      </c>
      <c r="H249" s="185">
        <v>56</v>
      </c>
      <c r="I249" s="186"/>
      <c r="J249" s="187">
        <f>ROUND(I249*H249,2)</f>
        <v>0</v>
      </c>
      <c r="K249" s="183" t="s">
        <v>19</v>
      </c>
      <c r="L249" s="41"/>
      <c r="M249" s="188" t="s">
        <v>19</v>
      </c>
      <c r="N249" s="189" t="s">
        <v>43</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386</v>
      </c>
      <c r="AT249" s="192" t="s">
        <v>382</v>
      </c>
      <c r="AU249" s="192" t="s">
        <v>82</v>
      </c>
      <c r="AY249" s="19" t="s">
        <v>380</v>
      </c>
      <c r="BE249" s="193">
        <f>IF(N249="základní",J249,0)</f>
        <v>0</v>
      </c>
      <c r="BF249" s="193">
        <f>IF(N249="snížená",J249,0)</f>
        <v>0</v>
      </c>
      <c r="BG249" s="193">
        <f>IF(N249="zákl. přenesená",J249,0)</f>
        <v>0</v>
      </c>
      <c r="BH249" s="193">
        <f>IF(N249="sníž. přenesená",J249,0)</f>
        <v>0</v>
      </c>
      <c r="BI249" s="193">
        <f>IF(N249="nulová",J249,0)</f>
        <v>0</v>
      </c>
      <c r="BJ249" s="19" t="s">
        <v>79</v>
      </c>
      <c r="BK249" s="193">
        <f>ROUND(I249*H249,2)</f>
        <v>0</v>
      </c>
      <c r="BL249" s="19" t="s">
        <v>386</v>
      </c>
      <c r="BM249" s="192" t="s">
        <v>579</v>
      </c>
    </row>
    <row r="250" spans="1:65" s="14" customFormat="1" ht="11.25">
      <c r="B250" s="205"/>
      <c r="C250" s="206"/>
      <c r="D250" s="196" t="s">
        <v>388</v>
      </c>
      <c r="E250" s="207" t="s">
        <v>19</v>
      </c>
      <c r="F250" s="208" t="s">
        <v>6352</v>
      </c>
      <c r="G250" s="206"/>
      <c r="H250" s="209">
        <v>56</v>
      </c>
      <c r="I250" s="210"/>
      <c r="J250" s="206"/>
      <c r="K250" s="206"/>
      <c r="L250" s="211"/>
      <c r="M250" s="212"/>
      <c r="N250" s="213"/>
      <c r="O250" s="213"/>
      <c r="P250" s="213"/>
      <c r="Q250" s="213"/>
      <c r="R250" s="213"/>
      <c r="S250" s="213"/>
      <c r="T250" s="214"/>
      <c r="AT250" s="215" t="s">
        <v>388</v>
      </c>
      <c r="AU250" s="215" t="s">
        <v>82</v>
      </c>
      <c r="AV250" s="14" t="s">
        <v>82</v>
      </c>
      <c r="AW250" s="14" t="s">
        <v>33</v>
      </c>
      <c r="AX250" s="14" t="s">
        <v>72</v>
      </c>
      <c r="AY250" s="215" t="s">
        <v>380</v>
      </c>
    </row>
    <row r="251" spans="1:65" s="15" customFormat="1" ht="11.25">
      <c r="B251" s="216"/>
      <c r="C251" s="217"/>
      <c r="D251" s="196" t="s">
        <v>388</v>
      </c>
      <c r="E251" s="218" t="s">
        <v>19</v>
      </c>
      <c r="F251" s="219" t="s">
        <v>419</v>
      </c>
      <c r="G251" s="217"/>
      <c r="H251" s="220">
        <v>56</v>
      </c>
      <c r="I251" s="221"/>
      <c r="J251" s="217"/>
      <c r="K251" s="217"/>
      <c r="L251" s="222"/>
      <c r="M251" s="223"/>
      <c r="N251" s="224"/>
      <c r="O251" s="224"/>
      <c r="P251" s="224"/>
      <c r="Q251" s="224"/>
      <c r="R251" s="224"/>
      <c r="S251" s="224"/>
      <c r="T251" s="225"/>
      <c r="AT251" s="226" t="s">
        <v>388</v>
      </c>
      <c r="AU251" s="226" t="s">
        <v>82</v>
      </c>
      <c r="AV251" s="15" t="s">
        <v>386</v>
      </c>
      <c r="AW251" s="15" t="s">
        <v>33</v>
      </c>
      <c r="AX251" s="15" t="s">
        <v>79</v>
      </c>
      <c r="AY251" s="226" t="s">
        <v>380</v>
      </c>
    </row>
    <row r="252" spans="1:65" s="2" customFormat="1" ht="16.5" customHeight="1">
      <c r="A252" s="36"/>
      <c r="B252" s="37"/>
      <c r="C252" s="181" t="s">
        <v>284</v>
      </c>
      <c r="D252" s="181" t="s">
        <v>382</v>
      </c>
      <c r="E252" s="182" t="s">
        <v>6353</v>
      </c>
      <c r="F252" s="183" t="s">
        <v>6354</v>
      </c>
      <c r="G252" s="184" t="s">
        <v>452</v>
      </c>
      <c r="H252" s="185">
        <v>15</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386</v>
      </c>
      <c r="AT252" s="192" t="s">
        <v>382</v>
      </c>
      <c r="AU252" s="192" t="s">
        <v>82</v>
      </c>
      <c r="AY252" s="19" t="s">
        <v>380</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386</v>
      </c>
      <c r="BM252" s="192" t="s">
        <v>619</v>
      </c>
    </row>
    <row r="253" spans="1:65" s="14" customFormat="1" ht="11.25">
      <c r="B253" s="205"/>
      <c r="C253" s="206"/>
      <c r="D253" s="196" t="s">
        <v>388</v>
      </c>
      <c r="E253" s="207" t="s">
        <v>19</v>
      </c>
      <c r="F253" s="208" t="s">
        <v>6355</v>
      </c>
      <c r="G253" s="206"/>
      <c r="H253" s="209">
        <v>15</v>
      </c>
      <c r="I253" s="210"/>
      <c r="J253" s="206"/>
      <c r="K253" s="206"/>
      <c r="L253" s="211"/>
      <c r="M253" s="212"/>
      <c r="N253" s="213"/>
      <c r="O253" s="213"/>
      <c r="P253" s="213"/>
      <c r="Q253" s="213"/>
      <c r="R253" s="213"/>
      <c r="S253" s="213"/>
      <c r="T253" s="214"/>
      <c r="AT253" s="215" t="s">
        <v>388</v>
      </c>
      <c r="AU253" s="215" t="s">
        <v>82</v>
      </c>
      <c r="AV253" s="14" t="s">
        <v>82</v>
      </c>
      <c r="AW253" s="14" t="s">
        <v>33</v>
      </c>
      <c r="AX253" s="14" t="s">
        <v>72</v>
      </c>
      <c r="AY253" s="215" t="s">
        <v>380</v>
      </c>
    </row>
    <row r="254" spans="1:65" s="15" customFormat="1" ht="11.25">
      <c r="B254" s="216"/>
      <c r="C254" s="217"/>
      <c r="D254" s="196" t="s">
        <v>388</v>
      </c>
      <c r="E254" s="218" t="s">
        <v>19</v>
      </c>
      <c r="F254" s="219" t="s">
        <v>419</v>
      </c>
      <c r="G254" s="217"/>
      <c r="H254" s="220">
        <v>15</v>
      </c>
      <c r="I254" s="221"/>
      <c r="J254" s="217"/>
      <c r="K254" s="217"/>
      <c r="L254" s="222"/>
      <c r="M254" s="223"/>
      <c r="N254" s="224"/>
      <c r="O254" s="224"/>
      <c r="P254" s="224"/>
      <c r="Q254" s="224"/>
      <c r="R254" s="224"/>
      <c r="S254" s="224"/>
      <c r="T254" s="225"/>
      <c r="AT254" s="226" t="s">
        <v>388</v>
      </c>
      <c r="AU254" s="226" t="s">
        <v>82</v>
      </c>
      <c r="AV254" s="15" t="s">
        <v>386</v>
      </c>
      <c r="AW254" s="15" t="s">
        <v>33</v>
      </c>
      <c r="AX254" s="15" t="s">
        <v>79</v>
      </c>
      <c r="AY254" s="226" t="s">
        <v>380</v>
      </c>
    </row>
    <row r="255" spans="1:65" s="2" customFormat="1" ht="16.5" customHeight="1">
      <c r="A255" s="36"/>
      <c r="B255" s="37"/>
      <c r="C255" s="181" t="s">
        <v>486</v>
      </c>
      <c r="D255" s="181" t="s">
        <v>382</v>
      </c>
      <c r="E255" s="182" t="s">
        <v>6356</v>
      </c>
      <c r="F255" s="183" t="s">
        <v>6357</v>
      </c>
      <c r="G255" s="184" t="s">
        <v>641</v>
      </c>
      <c r="H255" s="185">
        <v>1</v>
      </c>
      <c r="I255" s="186"/>
      <c r="J255" s="187">
        <f>ROUND(I255*H255,2)</f>
        <v>0</v>
      </c>
      <c r="K255" s="183" t="s">
        <v>19</v>
      </c>
      <c r="L255" s="41"/>
      <c r="M255" s="188" t="s">
        <v>19</v>
      </c>
      <c r="N255" s="189" t="s">
        <v>43</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386</v>
      </c>
      <c r="AT255" s="192" t="s">
        <v>382</v>
      </c>
      <c r="AU255" s="192" t="s">
        <v>82</v>
      </c>
      <c r="AY255" s="19" t="s">
        <v>380</v>
      </c>
      <c r="BE255" s="193">
        <f>IF(N255="základní",J255,0)</f>
        <v>0</v>
      </c>
      <c r="BF255" s="193">
        <f>IF(N255="snížená",J255,0)</f>
        <v>0</v>
      </c>
      <c r="BG255" s="193">
        <f>IF(N255="zákl. přenesená",J255,0)</f>
        <v>0</v>
      </c>
      <c r="BH255" s="193">
        <f>IF(N255="sníž. přenesená",J255,0)</f>
        <v>0</v>
      </c>
      <c r="BI255" s="193">
        <f>IF(N255="nulová",J255,0)</f>
        <v>0</v>
      </c>
      <c r="BJ255" s="19" t="s">
        <v>79</v>
      </c>
      <c r="BK255" s="193">
        <f>ROUND(I255*H255,2)</f>
        <v>0</v>
      </c>
      <c r="BL255" s="19" t="s">
        <v>386</v>
      </c>
      <c r="BM255" s="192" t="s">
        <v>631</v>
      </c>
    </row>
    <row r="256" spans="1:65" s="13" customFormat="1" ht="11.25">
      <c r="B256" s="194"/>
      <c r="C256" s="195"/>
      <c r="D256" s="196" t="s">
        <v>388</v>
      </c>
      <c r="E256" s="197" t="s">
        <v>19</v>
      </c>
      <c r="F256" s="198" t="s">
        <v>6358</v>
      </c>
      <c r="G256" s="195"/>
      <c r="H256" s="197" t="s">
        <v>19</v>
      </c>
      <c r="I256" s="199"/>
      <c r="J256" s="195"/>
      <c r="K256" s="195"/>
      <c r="L256" s="200"/>
      <c r="M256" s="201"/>
      <c r="N256" s="202"/>
      <c r="O256" s="202"/>
      <c r="P256" s="202"/>
      <c r="Q256" s="202"/>
      <c r="R256" s="202"/>
      <c r="S256" s="202"/>
      <c r="T256" s="203"/>
      <c r="AT256" s="204" t="s">
        <v>388</v>
      </c>
      <c r="AU256" s="204" t="s">
        <v>82</v>
      </c>
      <c r="AV256" s="13" t="s">
        <v>79</v>
      </c>
      <c r="AW256" s="13" t="s">
        <v>33</v>
      </c>
      <c r="AX256" s="13" t="s">
        <v>72</v>
      </c>
      <c r="AY256" s="204" t="s">
        <v>380</v>
      </c>
    </row>
    <row r="257" spans="1:65" s="14" customFormat="1" ht="11.25">
      <c r="B257" s="205"/>
      <c r="C257" s="206"/>
      <c r="D257" s="196" t="s">
        <v>388</v>
      </c>
      <c r="E257" s="207" t="s">
        <v>19</v>
      </c>
      <c r="F257" s="208" t="s">
        <v>2542</v>
      </c>
      <c r="G257" s="206"/>
      <c r="H257" s="209">
        <v>1</v>
      </c>
      <c r="I257" s="210"/>
      <c r="J257" s="206"/>
      <c r="K257" s="206"/>
      <c r="L257" s="211"/>
      <c r="M257" s="212"/>
      <c r="N257" s="213"/>
      <c r="O257" s="213"/>
      <c r="P257" s="213"/>
      <c r="Q257" s="213"/>
      <c r="R257" s="213"/>
      <c r="S257" s="213"/>
      <c r="T257" s="214"/>
      <c r="AT257" s="215" t="s">
        <v>388</v>
      </c>
      <c r="AU257" s="215" t="s">
        <v>82</v>
      </c>
      <c r="AV257" s="14" t="s">
        <v>82</v>
      </c>
      <c r="AW257" s="14" t="s">
        <v>33</v>
      </c>
      <c r="AX257" s="14" t="s">
        <v>72</v>
      </c>
      <c r="AY257" s="215" t="s">
        <v>380</v>
      </c>
    </row>
    <row r="258" spans="1:65" s="15" customFormat="1" ht="11.25">
      <c r="B258" s="216"/>
      <c r="C258" s="217"/>
      <c r="D258" s="196" t="s">
        <v>388</v>
      </c>
      <c r="E258" s="218" t="s">
        <v>19</v>
      </c>
      <c r="F258" s="219" t="s">
        <v>419</v>
      </c>
      <c r="G258" s="217"/>
      <c r="H258" s="220">
        <v>1</v>
      </c>
      <c r="I258" s="221"/>
      <c r="J258" s="217"/>
      <c r="K258" s="217"/>
      <c r="L258" s="222"/>
      <c r="M258" s="223"/>
      <c r="N258" s="224"/>
      <c r="O258" s="224"/>
      <c r="P258" s="224"/>
      <c r="Q258" s="224"/>
      <c r="R258" s="224"/>
      <c r="S258" s="224"/>
      <c r="T258" s="225"/>
      <c r="AT258" s="226" t="s">
        <v>388</v>
      </c>
      <c r="AU258" s="226" t="s">
        <v>82</v>
      </c>
      <c r="AV258" s="15" t="s">
        <v>386</v>
      </c>
      <c r="AW258" s="15" t="s">
        <v>33</v>
      </c>
      <c r="AX258" s="15" t="s">
        <v>79</v>
      </c>
      <c r="AY258" s="226" t="s">
        <v>380</v>
      </c>
    </row>
    <row r="259" spans="1:65" s="2" customFormat="1" ht="16.5" customHeight="1">
      <c r="A259" s="36"/>
      <c r="B259" s="37"/>
      <c r="C259" s="181" t="s">
        <v>7</v>
      </c>
      <c r="D259" s="181" t="s">
        <v>382</v>
      </c>
      <c r="E259" s="182" t="s">
        <v>6359</v>
      </c>
      <c r="F259" s="183" t="s">
        <v>6360</v>
      </c>
      <c r="G259" s="184" t="s">
        <v>641</v>
      </c>
      <c r="H259" s="185">
        <v>5</v>
      </c>
      <c r="I259" s="186"/>
      <c r="J259" s="187">
        <f>ROUND(I259*H259,2)</f>
        <v>0</v>
      </c>
      <c r="K259" s="183" t="s">
        <v>19</v>
      </c>
      <c r="L259" s="41"/>
      <c r="M259" s="188" t="s">
        <v>19</v>
      </c>
      <c r="N259" s="189" t="s">
        <v>43</v>
      </c>
      <c r="O259" s="66"/>
      <c r="P259" s="190">
        <f>O259*H259</f>
        <v>0</v>
      </c>
      <c r="Q259" s="190">
        <v>0</v>
      </c>
      <c r="R259" s="190">
        <f>Q259*H259</f>
        <v>0</v>
      </c>
      <c r="S259" s="190">
        <v>0</v>
      </c>
      <c r="T259" s="191">
        <f>S259*H259</f>
        <v>0</v>
      </c>
      <c r="U259" s="36"/>
      <c r="V259" s="36"/>
      <c r="W259" s="36"/>
      <c r="X259" s="36"/>
      <c r="Y259" s="36"/>
      <c r="Z259" s="36"/>
      <c r="AA259" s="36"/>
      <c r="AB259" s="36"/>
      <c r="AC259" s="36"/>
      <c r="AD259" s="36"/>
      <c r="AE259" s="36"/>
      <c r="AR259" s="192" t="s">
        <v>386</v>
      </c>
      <c r="AT259" s="192" t="s">
        <v>382</v>
      </c>
      <c r="AU259" s="192" t="s">
        <v>82</v>
      </c>
      <c r="AY259" s="19" t="s">
        <v>380</v>
      </c>
      <c r="BE259" s="193">
        <f>IF(N259="základní",J259,0)</f>
        <v>0</v>
      </c>
      <c r="BF259" s="193">
        <f>IF(N259="snížená",J259,0)</f>
        <v>0</v>
      </c>
      <c r="BG259" s="193">
        <f>IF(N259="zákl. přenesená",J259,0)</f>
        <v>0</v>
      </c>
      <c r="BH259" s="193">
        <f>IF(N259="sníž. přenesená",J259,0)</f>
        <v>0</v>
      </c>
      <c r="BI259" s="193">
        <f>IF(N259="nulová",J259,0)</f>
        <v>0</v>
      </c>
      <c r="BJ259" s="19" t="s">
        <v>79</v>
      </c>
      <c r="BK259" s="193">
        <f>ROUND(I259*H259,2)</f>
        <v>0</v>
      </c>
      <c r="BL259" s="19" t="s">
        <v>386</v>
      </c>
      <c r="BM259" s="192" t="s">
        <v>644</v>
      </c>
    </row>
    <row r="260" spans="1:65" s="13" customFormat="1" ht="11.25">
      <c r="B260" s="194"/>
      <c r="C260" s="195"/>
      <c r="D260" s="196" t="s">
        <v>388</v>
      </c>
      <c r="E260" s="197" t="s">
        <v>19</v>
      </c>
      <c r="F260" s="198" t="s">
        <v>6361</v>
      </c>
      <c r="G260" s="195"/>
      <c r="H260" s="197" t="s">
        <v>19</v>
      </c>
      <c r="I260" s="199"/>
      <c r="J260" s="195"/>
      <c r="K260" s="195"/>
      <c r="L260" s="200"/>
      <c r="M260" s="201"/>
      <c r="N260" s="202"/>
      <c r="O260" s="202"/>
      <c r="P260" s="202"/>
      <c r="Q260" s="202"/>
      <c r="R260" s="202"/>
      <c r="S260" s="202"/>
      <c r="T260" s="203"/>
      <c r="AT260" s="204" t="s">
        <v>388</v>
      </c>
      <c r="AU260" s="204" t="s">
        <v>82</v>
      </c>
      <c r="AV260" s="13" t="s">
        <v>79</v>
      </c>
      <c r="AW260" s="13" t="s">
        <v>33</v>
      </c>
      <c r="AX260" s="13" t="s">
        <v>72</v>
      </c>
      <c r="AY260" s="204" t="s">
        <v>380</v>
      </c>
    </row>
    <row r="261" spans="1:65" s="14" customFormat="1" ht="11.25">
      <c r="B261" s="205"/>
      <c r="C261" s="206"/>
      <c r="D261" s="196" t="s">
        <v>388</v>
      </c>
      <c r="E261" s="207" t="s">
        <v>19</v>
      </c>
      <c r="F261" s="208" t="s">
        <v>5219</v>
      </c>
      <c r="G261" s="206"/>
      <c r="H261" s="209">
        <v>5</v>
      </c>
      <c r="I261" s="210"/>
      <c r="J261" s="206"/>
      <c r="K261" s="206"/>
      <c r="L261" s="211"/>
      <c r="M261" s="212"/>
      <c r="N261" s="213"/>
      <c r="O261" s="213"/>
      <c r="P261" s="213"/>
      <c r="Q261" s="213"/>
      <c r="R261" s="213"/>
      <c r="S261" s="213"/>
      <c r="T261" s="214"/>
      <c r="AT261" s="215" t="s">
        <v>388</v>
      </c>
      <c r="AU261" s="215" t="s">
        <v>82</v>
      </c>
      <c r="AV261" s="14" t="s">
        <v>82</v>
      </c>
      <c r="AW261" s="14" t="s">
        <v>33</v>
      </c>
      <c r="AX261" s="14" t="s">
        <v>72</v>
      </c>
      <c r="AY261" s="215" t="s">
        <v>380</v>
      </c>
    </row>
    <row r="262" spans="1:65" s="15" customFormat="1" ht="11.25">
      <c r="B262" s="216"/>
      <c r="C262" s="217"/>
      <c r="D262" s="196" t="s">
        <v>388</v>
      </c>
      <c r="E262" s="218" t="s">
        <v>19</v>
      </c>
      <c r="F262" s="219" t="s">
        <v>419</v>
      </c>
      <c r="G262" s="217"/>
      <c r="H262" s="220">
        <v>5</v>
      </c>
      <c r="I262" s="221"/>
      <c r="J262" s="217"/>
      <c r="K262" s="217"/>
      <c r="L262" s="222"/>
      <c r="M262" s="223"/>
      <c r="N262" s="224"/>
      <c r="O262" s="224"/>
      <c r="P262" s="224"/>
      <c r="Q262" s="224"/>
      <c r="R262" s="224"/>
      <c r="S262" s="224"/>
      <c r="T262" s="225"/>
      <c r="AT262" s="226" t="s">
        <v>388</v>
      </c>
      <c r="AU262" s="226" t="s">
        <v>82</v>
      </c>
      <c r="AV262" s="15" t="s">
        <v>386</v>
      </c>
      <c r="AW262" s="15" t="s">
        <v>33</v>
      </c>
      <c r="AX262" s="15" t="s">
        <v>79</v>
      </c>
      <c r="AY262" s="226" t="s">
        <v>380</v>
      </c>
    </row>
    <row r="263" spans="1:65" s="2" customFormat="1" ht="16.5" customHeight="1">
      <c r="A263" s="36"/>
      <c r="B263" s="37"/>
      <c r="C263" s="181" t="s">
        <v>495</v>
      </c>
      <c r="D263" s="181" t="s">
        <v>382</v>
      </c>
      <c r="E263" s="182" t="s">
        <v>6362</v>
      </c>
      <c r="F263" s="183" t="s">
        <v>6363</v>
      </c>
      <c r="G263" s="184" t="s">
        <v>641</v>
      </c>
      <c r="H263" s="185">
        <v>1</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386</v>
      </c>
      <c r="AT263" s="192" t="s">
        <v>382</v>
      </c>
      <c r="AU263" s="192" t="s">
        <v>82</v>
      </c>
      <c r="AY263" s="19" t="s">
        <v>380</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386</v>
      </c>
      <c r="BM263" s="192" t="s">
        <v>652</v>
      </c>
    </row>
    <row r="264" spans="1:65" s="14" customFormat="1" ht="11.25">
      <c r="B264" s="205"/>
      <c r="C264" s="206"/>
      <c r="D264" s="196" t="s">
        <v>388</v>
      </c>
      <c r="E264" s="207" t="s">
        <v>19</v>
      </c>
      <c r="F264" s="208" t="s">
        <v>2542</v>
      </c>
      <c r="G264" s="206"/>
      <c r="H264" s="209">
        <v>1</v>
      </c>
      <c r="I264" s="210"/>
      <c r="J264" s="206"/>
      <c r="K264" s="206"/>
      <c r="L264" s="211"/>
      <c r="M264" s="212"/>
      <c r="N264" s="213"/>
      <c r="O264" s="213"/>
      <c r="P264" s="213"/>
      <c r="Q264" s="213"/>
      <c r="R264" s="213"/>
      <c r="S264" s="213"/>
      <c r="T264" s="214"/>
      <c r="AT264" s="215" t="s">
        <v>388</v>
      </c>
      <c r="AU264" s="215" t="s">
        <v>82</v>
      </c>
      <c r="AV264" s="14" t="s">
        <v>82</v>
      </c>
      <c r="AW264" s="14" t="s">
        <v>33</v>
      </c>
      <c r="AX264" s="14" t="s">
        <v>72</v>
      </c>
      <c r="AY264" s="215" t="s">
        <v>380</v>
      </c>
    </row>
    <row r="265" spans="1:65" s="15" customFormat="1" ht="11.25">
      <c r="B265" s="216"/>
      <c r="C265" s="217"/>
      <c r="D265" s="196" t="s">
        <v>388</v>
      </c>
      <c r="E265" s="218" t="s">
        <v>19</v>
      </c>
      <c r="F265" s="219" t="s">
        <v>419</v>
      </c>
      <c r="G265" s="217"/>
      <c r="H265" s="220">
        <v>1</v>
      </c>
      <c r="I265" s="221"/>
      <c r="J265" s="217"/>
      <c r="K265" s="217"/>
      <c r="L265" s="222"/>
      <c r="M265" s="223"/>
      <c r="N265" s="224"/>
      <c r="O265" s="224"/>
      <c r="P265" s="224"/>
      <c r="Q265" s="224"/>
      <c r="R265" s="224"/>
      <c r="S265" s="224"/>
      <c r="T265" s="225"/>
      <c r="AT265" s="226" t="s">
        <v>388</v>
      </c>
      <c r="AU265" s="226" t="s">
        <v>82</v>
      </c>
      <c r="AV265" s="15" t="s">
        <v>386</v>
      </c>
      <c r="AW265" s="15" t="s">
        <v>33</v>
      </c>
      <c r="AX265" s="15" t="s">
        <v>79</v>
      </c>
      <c r="AY265" s="226" t="s">
        <v>380</v>
      </c>
    </row>
    <row r="266" spans="1:65" s="2" customFormat="1" ht="16.5" customHeight="1">
      <c r="A266" s="36"/>
      <c r="B266" s="37"/>
      <c r="C266" s="181" t="s">
        <v>500</v>
      </c>
      <c r="D266" s="181" t="s">
        <v>382</v>
      </c>
      <c r="E266" s="182" t="s">
        <v>6364</v>
      </c>
      <c r="F266" s="183" t="s">
        <v>6365</v>
      </c>
      <c r="G266" s="184" t="s">
        <v>641</v>
      </c>
      <c r="H266" s="185">
        <v>2</v>
      </c>
      <c r="I266" s="186"/>
      <c r="J266" s="187">
        <f>ROUND(I266*H266,2)</f>
        <v>0</v>
      </c>
      <c r="K266" s="183" t="s">
        <v>19</v>
      </c>
      <c r="L266" s="41"/>
      <c r="M266" s="188" t="s">
        <v>19</v>
      </c>
      <c r="N266" s="189" t="s">
        <v>43</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386</v>
      </c>
      <c r="AT266" s="192" t="s">
        <v>382</v>
      </c>
      <c r="AU266" s="192" t="s">
        <v>82</v>
      </c>
      <c r="AY266" s="19" t="s">
        <v>380</v>
      </c>
      <c r="BE266" s="193">
        <f>IF(N266="základní",J266,0)</f>
        <v>0</v>
      </c>
      <c r="BF266" s="193">
        <f>IF(N266="snížená",J266,0)</f>
        <v>0</v>
      </c>
      <c r="BG266" s="193">
        <f>IF(N266="zákl. přenesená",J266,0)</f>
        <v>0</v>
      </c>
      <c r="BH266" s="193">
        <f>IF(N266="sníž. přenesená",J266,0)</f>
        <v>0</v>
      </c>
      <c r="BI266" s="193">
        <f>IF(N266="nulová",J266,0)</f>
        <v>0</v>
      </c>
      <c r="BJ266" s="19" t="s">
        <v>79</v>
      </c>
      <c r="BK266" s="193">
        <f>ROUND(I266*H266,2)</f>
        <v>0</v>
      </c>
      <c r="BL266" s="19" t="s">
        <v>386</v>
      </c>
      <c r="BM266" s="192" t="s">
        <v>660</v>
      </c>
    </row>
    <row r="267" spans="1:65" s="13" customFormat="1" ht="11.25">
      <c r="B267" s="194"/>
      <c r="C267" s="195"/>
      <c r="D267" s="196" t="s">
        <v>388</v>
      </c>
      <c r="E267" s="197" t="s">
        <v>19</v>
      </c>
      <c r="F267" s="198" t="s">
        <v>6366</v>
      </c>
      <c r="G267" s="195"/>
      <c r="H267" s="197" t="s">
        <v>19</v>
      </c>
      <c r="I267" s="199"/>
      <c r="J267" s="195"/>
      <c r="K267" s="195"/>
      <c r="L267" s="200"/>
      <c r="M267" s="201"/>
      <c r="N267" s="202"/>
      <c r="O267" s="202"/>
      <c r="P267" s="202"/>
      <c r="Q267" s="202"/>
      <c r="R267" s="202"/>
      <c r="S267" s="202"/>
      <c r="T267" s="203"/>
      <c r="AT267" s="204" t="s">
        <v>388</v>
      </c>
      <c r="AU267" s="204" t="s">
        <v>82</v>
      </c>
      <c r="AV267" s="13" t="s">
        <v>79</v>
      </c>
      <c r="AW267" s="13" t="s">
        <v>33</v>
      </c>
      <c r="AX267" s="13" t="s">
        <v>72</v>
      </c>
      <c r="AY267" s="204" t="s">
        <v>380</v>
      </c>
    </row>
    <row r="268" spans="1:65" s="14" customFormat="1" ht="11.25">
      <c r="B268" s="205"/>
      <c r="C268" s="206"/>
      <c r="D268" s="196" t="s">
        <v>388</v>
      </c>
      <c r="E268" s="207" t="s">
        <v>19</v>
      </c>
      <c r="F268" s="208" t="s">
        <v>2998</v>
      </c>
      <c r="G268" s="206"/>
      <c r="H268" s="209">
        <v>2</v>
      </c>
      <c r="I268" s="210"/>
      <c r="J268" s="206"/>
      <c r="K268" s="206"/>
      <c r="L268" s="211"/>
      <c r="M268" s="212"/>
      <c r="N268" s="213"/>
      <c r="O268" s="213"/>
      <c r="P268" s="213"/>
      <c r="Q268" s="213"/>
      <c r="R268" s="213"/>
      <c r="S268" s="213"/>
      <c r="T268" s="214"/>
      <c r="AT268" s="215" t="s">
        <v>388</v>
      </c>
      <c r="AU268" s="215" t="s">
        <v>82</v>
      </c>
      <c r="AV268" s="14" t="s">
        <v>82</v>
      </c>
      <c r="AW268" s="14" t="s">
        <v>33</v>
      </c>
      <c r="AX268" s="14" t="s">
        <v>72</v>
      </c>
      <c r="AY268" s="215" t="s">
        <v>380</v>
      </c>
    </row>
    <row r="269" spans="1:65" s="15" customFormat="1" ht="11.25">
      <c r="B269" s="216"/>
      <c r="C269" s="217"/>
      <c r="D269" s="196" t="s">
        <v>388</v>
      </c>
      <c r="E269" s="218" t="s">
        <v>19</v>
      </c>
      <c r="F269" s="219" t="s">
        <v>419</v>
      </c>
      <c r="G269" s="217"/>
      <c r="H269" s="220">
        <v>2</v>
      </c>
      <c r="I269" s="221"/>
      <c r="J269" s="217"/>
      <c r="K269" s="217"/>
      <c r="L269" s="222"/>
      <c r="M269" s="223"/>
      <c r="N269" s="224"/>
      <c r="O269" s="224"/>
      <c r="P269" s="224"/>
      <c r="Q269" s="224"/>
      <c r="R269" s="224"/>
      <c r="S269" s="224"/>
      <c r="T269" s="225"/>
      <c r="AT269" s="226" t="s">
        <v>388</v>
      </c>
      <c r="AU269" s="226" t="s">
        <v>82</v>
      </c>
      <c r="AV269" s="15" t="s">
        <v>386</v>
      </c>
      <c r="AW269" s="15" t="s">
        <v>33</v>
      </c>
      <c r="AX269" s="15" t="s">
        <v>79</v>
      </c>
      <c r="AY269" s="226" t="s">
        <v>380</v>
      </c>
    </row>
    <row r="270" spans="1:65" s="2" customFormat="1" ht="16.5" customHeight="1">
      <c r="A270" s="36"/>
      <c r="B270" s="37"/>
      <c r="C270" s="181" t="s">
        <v>505</v>
      </c>
      <c r="D270" s="181" t="s">
        <v>382</v>
      </c>
      <c r="E270" s="182" t="s">
        <v>6367</v>
      </c>
      <c r="F270" s="183" t="s">
        <v>6368</v>
      </c>
      <c r="G270" s="184" t="s">
        <v>641</v>
      </c>
      <c r="H270" s="185">
        <v>3</v>
      </c>
      <c r="I270" s="186"/>
      <c r="J270" s="187">
        <f>ROUND(I270*H270,2)</f>
        <v>0</v>
      </c>
      <c r="K270" s="183" t="s">
        <v>19</v>
      </c>
      <c r="L270" s="41"/>
      <c r="M270" s="188" t="s">
        <v>19</v>
      </c>
      <c r="N270" s="189" t="s">
        <v>43</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386</v>
      </c>
      <c r="AT270" s="192" t="s">
        <v>382</v>
      </c>
      <c r="AU270" s="192" t="s">
        <v>82</v>
      </c>
      <c r="AY270" s="19" t="s">
        <v>380</v>
      </c>
      <c r="BE270" s="193">
        <f>IF(N270="základní",J270,0)</f>
        <v>0</v>
      </c>
      <c r="BF270" s="193">
        <f>IF(N270="snížená",J270,0)</f>
        <v>0</v>
      </c>
      <c r="BG270" s="193">
        <f>IF(N270="zákl. přenesená",J270,0)</f>
        <v>0</v>
      </c>
      <c r="BH270" s="193">
        <f>IF(N270="sníž. přenesená",J270,0)</f>
        <v>0</v>
      </c>
      <c r="BI270" s="193">
        <f>IF(N270="nulová",J270,0)</f>
        <v>0</v>
      </c>
      <c r="BJ270" s="19" t="s">
        <v>79</v>
      </c>
      <c r="BK270" s="193">
        <f>ROUND(I270*H270,2)</f>
        <v>0</v>
      </c>
      <c r="BL270" s="19" t="s">
        <v>386</v>
      </c>
      <c r="BM270" s="192" t="s">
        <v>668</v>
      </c>
    </row>
    <row r="271" spans="1:65" s="13" customFormat="1" ht="11.25">
      <c r="B271" s="194"/>
      <c r="C271" s="195"/>
      <c r="D271" s="196" t="s">
        <v>388</v>
      </c>
      <c r="E271" s="197" t="s">
        <v>19</v>
      </c>
      <c r="F271" s="198" t="s">
        <v>6274</v>
      </c>
      <c r="G271" s="195"/>
      <c r="H271" s="197" t="s">
        <v>19</v>
      </c>
      <c r="I271" s="199"/>
      <c r="J271" s="195"/>
      <c r="K271" s="195"/>
      <c r="L271" s="200"/>
      <c r="M271" s="201"/>
      <c r="N271" s="202"/>
      <c r="O271" s="202"/>
      <c r="P271" s="202"/>
      <c r="Q271" s="202"/>
      <c r="R271" s="202"/>
      <c r="S271" s="202"/>
      <c r="T271" s="203"/>
      <c r="AT271" s="204" t="s">
        <v>388</v>
      </c>
      <c r="AU271" s="204" t="s">
        <v>82</v>
      </c>
      <c r="AV271" s="13" t="s">
        <v>79</v>
      </c>
      <c r="AW271" s="13" t="s">
        <v>33</v>
      </c>
      <c r="AX271" s="13" t="s">
        <v>72</v>
      </c>
      <c r="AY271" s="204" t="s">
        <v>380</v>
      </c>
    </row>
    <row r="272" spans="1:65" s="14" customFormat="1" ht="11.25">
      <c r="B272" s="205"/>
      <c r="C272" s="206"/>
      <c r="D272" s="196" t="s">
        <v>388</v>
      </c>
      <c r="E272" s="207" t="s">
        <v>19</v>
      </c>
      <c r="F272" s="208" t="s">
        <v>2998</v>
      </c>
      <c r="G272" s="206"/>
      <c r="H272" s="209">
        <v>2</v>
      </c>
      <c r="I272" s="210"/>
      <c r="J272" s="206"/>
      <c r="K272" s="206"/>
      <c r="L272" s="211"/>
      <c r="M272" s="212"/>
      <c r="N272" s="213"/>
      <c r="O272" s="213"/>
      <c r="P272" s="213"/>
      <c r="Q272" s="213"/>
      <c r="R272" s="213"/>
      <c r="S272" s="213"/>
      <c r="T272" s="214"/>
      <c r="AT272" s="215" t="s">
        <v>388</v>
      </c>
      <c r="AU272" s="215" t="s">
        <v>82</v>
      </c>
      <c r="AV272" s="14" t="s">
        <v>82</v>
      </c>
      <c r="AW272" s="14" t="s">
        <v>33</v>
      </c>
      <c r="AX272" s="14" t="s">
        <v>72</v>
      </c>
      <c r="AY272" s="215" t="s">
        <v>380</v>
      </c>
    </row>
    <row r="273" spans="1:65" s="13" customFormat="1" ht="11.25">
      <c r="B273" s="194"/>
      <c r="C273" s="195"/>
      <c r="D273" s="196" t="s">
        <v>388</v>
      </c>
      <c r="E273" s="197" t="s">
        <v>19</v>
      </c>
      <c r="F273" s="198" t="s">
        <v>6276</v>
      </c>
      <c r="G273" s="195"/>
      <c r="H273" s="197" t="s">
        <v>19</v>
      </c>
      <c r="I273" s="199"/>
      <c r="J273" s="195"/>
      <c r="K273" s="195"/>
      <c r="L273" s="200"/>
      <c r="M273" s="201"/>
      <c r="N273" s="202"/>
      <c r="O273" s="202"/>
      <c r="P273" s="202"/>
      <c r="Q273" s="202"/>
      <c r="R273" s="202"/>
      <c r="S273" s="202"/>
      <c r="T273" s="203"/>
      <c r="AT273" s="204" t="s">
        <v>388</v>
      </c>
      <c r="AU273" s="204" t="s">
        <v>82</v>
      </c>
      <c r="AV273" s="13" t="s">
        <v>79</v>
      </c>
      <c r="AW273" s="13" t="s">
        <v>33</v>
      </c>
      <c r="AX273" s="13" t="s">
        <v>72</v>
      </c>
      <c r="AY273" s="204" t="s">
        <v>380</v>
      </c>
    </row>
    <row r="274" spans="1:65" s="14" customFormat="1" ht="11.25">
      <c r="B274" s="205"/>
      <c r="C274" s="206"/>
      <c r="D274" s="196" t="s">
        <v>388</v>
      </c>
      <c r="E274" s="207" t="s">
        <v>19</v>
      </c>
      <c r="F274" s="208" t="s">
        <v>2542</v>
      </c>
      <c r="G274" s="206"/>
      <c r="H274" s="209">
        <v>1</v>
      </c>
      <c r="I274" s="210"/>
      <c r="J274" s="206"/>
      <c r="K274" s="206"/>
      <c r="L274" s="211"/>
      <c r="M274" s="212"/>
      <c r="N274" s="213"/>
      <c r="O274" s="213"/>
      <c r="P274" s="213"/>
      <c r="Q274" s="213"/>
      <c r="R274" s="213"/>
      <c r="S274" s="213"/>
      <c r="T274" s="214"/>
      <c r="AT274" s="215" t="s">
        <v>388</v>
      </c>
      <c r="AU274" s="215" t="s">
        <v>82</v>
      </c>
      <c r="AV274" s="14" t="s">
        <v>82</v>
      </c>
      <c r="AW274" s="14" t="s">
        <v>33</v>
      </c>
      <c r="AX274" s="14" t="s">
        <v>72</v>
      </c>
      <c r="AY274" s="215" t="s">
        <v>380</v>
      </c>
    </row>
    <row r="275" spans="1:65" s="15" customFormat="1" ht="11.25">
      <c r="B275" s="216"/>
      <c r="C275" s="217"/>
      <c r="D275" s="196" t="s">
        <v>388</v>
      </c>
      <c r="E275" s="218" t="s">
        <v>19</v>
      </c>
      <c r="F275" s="219" t="s">
        <v>2544</v>
      </c>
      <c r="G275" s="217"/>
      <c r="H275" s="220">
        <v>3</v>
      </c>
      <c r="I275" s="221"/>
      <c r="J275" s="217"/>
      <c r="K275" s="217"/>
      <c r="L275" s="222"/>
      <c r="M275" s="223"/>
      <c r="N275" s="224"/>
      <c r="O275" s="224"/>
      <c r="P275" s="224"/>
      <c r="Q275" s="224"/>
      <c r="R275" s="224"/>
      <c r="S275" s="224"/>
      <c r="T275" s="225"/>
      <c r="AT275" s="226" t="s">
        <v>388</v>
      </c>
      <c r="AU275" s="226" t="s">
        <v>82</v>
      </c>
      <c r="AV275" s="15" t="s">
        <v>386</v>
      </c>
      <c r="AW275" s="15" t="s">
        <v>33</v>
      </c>
      <c r="AX275" s="15" t="s">
        <v>79</v>
      </c>
      <c r="AY275" s="226" t="s">
        <v>380</v>
      </c>
    </row>
    <row r="276" spans="1:65" s="2" customFormat="1" ht="21.75" customHeight="1">
      <c r="A276" s="36"/>
      <c r="B276" s="37"/>
      <c r="C276" s="181" t="s">
        <v>509</v>
      </c>
      <c r="D276" s="181" t="s">
        <v>382</v>
      </c>
      <c r="E276" s="182" t="s">
        <v>6369</v>
      </c>
      <c r="F276" s="183" t="s">
        <v>6370</v>
      </c>
      <c r="G276" s="184" t="s">
        <v>641</v>
      </c>
      <c r="H276" s="185">
        <v>3</v>
      </c>
      <c r="I276" s="186"/>
      <c r="J276" s="187">
        <f>ROUND(I276*H276,2)</f>
        <v>0</v>
      </c>
      <c r="K276" s="183" t="s">
        <v>19</v>
      </c>
      <c r="L276" s="41"/>
      <c r="M276" s="188" t="s">
        <v>19</v>
      </c>
      <c r="N276" s="189" t="s">
        <v>43</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386</v>
      </c>
      <c r="AT276" s="192" t="s">
        <v>382</v>
      </c>
      <c r="AU276" s="192" t="s">
        <v>82</v>
      </c>
      <c r="AY276" s="19" t="s">
        <v>380</v>
      </c>
      <c r="BE276" s="193">
        <f>IF(N276="základní",J276,0)</f>
        <v>0</v>
      </c>
      <c r="BF276" s="193">
        <f>IF(N276="snížená",J276,0)</f>
        <v>0</v>
      </c>
      <c r="BG276" s="193">
        <f>IF(N276="zákl. přenesená",J276,0)</f>
        <v>0</v>
      </c>
      <c r="BH276" s="193">
        <f>IF(N276="sníž. přenesená",J276,0)</f>
        <v>0</v>
      </c>
      <c r="BI276" s="193">
        <f>IF(N276="nulová",J276,0)</f>
        <v>0</v>
      </c>
      <c r="BJ276" s="19" t="s">
        <v>79</v>
      </c>
      <c r="BK276" s="193">
        <f>ROUND(I276*H276,2)</f>
        <v>0</v>
      </c>
      <c r="BL276" s="19" t="s">
        <v>386</v>
      </c>
      <c r="BM276" s="192" t="s">
        <v>677</v>
      </c>
    </row>
    <row r="277" spans="1:65" s="13" customFormat="1" ht="11.25">
      <c r="B277" s="194"/>
      <c r="C277" s="195"/>
      <c r="D277" s="196" t="s">
        <v>388</v>
      </c>
      <c r="E277" s="197" t="s">
        <v>19</v>
      </c>
      <c r="F277" s="198" t="s">
        <v>6274</v>
      </c>
      <c r="G277" s="195"/>
      <c r="H277" s="197" t="s">
        <v>19</v>
      </c>
      <c r="I277" s="199"/>
      <c r="J277" s="195"/>
      <c r="K277" s="195"/>
      <c r="L277" s="200"/>
      <c r="M277" s="201"/>
      <c r="N277" s="202"/>
      <c r="O277" s="202"/>
      <c r="P277" s="202"/>
      <c r="Q277" s="202"/>
      <c r="R277" s="202"/>
      <c r="S277" s="202"/>
      <c r="T277" s="203"/>
      <c r="AT277" s="204" t="s">
        <v>388</v>
      </c>
      <c r="AU277" s="204" t="s">
        <v>82</v>
      </c>
      <c r="AV277" s="13" t="s">
        <v>79</v>
      </c>
      <c r="AW277" s="13" t="s">
        <v>33</v>
      </c>
      <c r="AX277" s="13" t="s">
        <v>72</v>
      </c>
      <c r="AY277" s="204" t="s">
        <v>380</v>
      </c>
    </row>
    <row r="278" spans="1:65" s="14" customFormat="1" ht="11.25">
      <c r="B278" s="205"/>
      <c r="C278" s="206"/>
      <c r="D278" s="196" t="s">
        <v>388</v>
      </c>
      <c r="E278" s="207" t="s">
        <v>19</v>
      </c>
      <c r="F278" s="208" t="s">
        <v>2998</v>
      </c>
      <c r="G278" s="206"/>
      <c r="H278" s="209">
        <v>2</v>
      </c>
      <c r="I278" s="210"/>
      <c r="J278" s="206"/>
      <c r="K278" s="206"/>
      <c r="L278" s="211"/>
      <c r="M278" s="212"/>
      <c r="N278" s="213"/>
      <c r="O278" s="213"/>
      <c r="P278" s="213"/>
      <c r="Q278" s="213"/>
      <c r="R278" s="213"/>
      <c r="S278" s="213"/>
      <c r="T278" s="214"/>
      <c r="AT278" s="215" t="s">
        <v>388</v>
      </c>
      <c r="AU278" s="215" t="s">
        <v>82</v>
      </c>
      <c r="AV278" s="14" t="s">
        <v>82</v>
      </c>
      <c r="AW278" s="14" t="s">
        <v>33</v>
      </c>
      <c r="AX278" s="14" t="s">
        <v>72</v>
      </c>
      <c r="AY278" s="215" t="s">
        <v>380</v>
      </c>
    </row>
    <row r="279" spans="1:65" s="13" customFormat="1" ht="11.25">
      <c r="B279" s="194"/>
      <c r="C279" s="195"/>
      <c r="D279" s="196" t="s">
        <v>388</v>
      </c>
      <c r="E279" s="197" t="s">
        <v>19</v>
      </c>
      <c r="F279" s="198" t="s">
        <v>6276</v>
      </c>
      <c r="G279" s="195"/>
      <c r="H279" s="197" t="s">
        <v>19</v>
      </c>
      <c r="I279" s="199"/>
      <c r="J279" s="195"/>
      <c r="K279" s="195"/>
      <c r="L279" s="200"/>
      <c r="M279" s="201"/>
      <c r="N279" s="202"/>
      <c r="O279" s="202"/>
      <c r="P279" s="202"/>
      <c r="Q279" s="202"/>
      <c r="R279" s="202"/>
      <c r="S279" s="202"/>
      <c r="T279" s="203"/>
      <c r="AT279" s="204" t="s">
        <v>388</v>
      </c>
      <c r="AU279" s="204" t="s">
        <v>82</v>
      </c>
      <c r="AV279" s="13" t="s">
        <v>79</v>
      </c>
      <c r="AW279" s="13" t="s">
        <v>33</v>
      </c>
      <c r="AX279" s="13" t="s">
        <v>72</v>
      </c>
      <c r="AY279" s="204" t="s">
        <v>380</v>
      </c>
    </row>
    <row r="280" spans="1:65" s="14" customFormat="1" ht="11.25">
      <c r="B280" s="205"/>
      <c r="C280" s="206"/>
      <c r="D280" s="196" t="s">
        <v>388</v>
      </c>
      <c r="E280" s="207" t="s">
        <v>19</v>
      </c>
      <c r="F280" s="208" t="s">
        <v>2542</v>
      </c>
      <c r="G280" s="206"/>
      <c r="H280" s="209">
        <v>1</v>
      </c>
      <c r="I280" s="210"/>
      <c r="J280" s="206"/>
      <c r="K280" s="206"/>
      <c r="L280" s="211"/>
      <c r="M280" s="212"/>
      <c r="N280" s="213"/>
      <c r="O280" s="213"/>
      <c r="P280" s="213"/>
      <c r="Q280" s="213"/>
      <c r="R280" s="213"/>
      <c r="S280" s="213"/>
      <c r="T280" s="214"/>
      <c r="AT280" s="215" t="s">
        <v>388</v>
      </c>
      <c r="AU280" s="215" t="s">
        <v>82</v>
      </c>
      <c r="AV280" s="14" t="s">
        <v>82</v>
      </c>
      <c r="AW280" s="14" t="s">
        <v>33</v>
      </c>
      <c r="AX280" s="14" t="s">
        <v>72</v>
      </c>
      <c r="AY280" s="215" t="s">
        <v>380</v>
      </c>
    </row>
    <row r="281" spans="1:65" s="15" customFormat="1" ht="11.25">
      <c r="B281" s="216"/>
      <c r="C281" s="217"/>
      <c r="D281" s="196" t="s">
        <v>388</v>
      </c>
      <c r="E281" s="218" t="s">
        <v>19</v>
      </c>
      <c r="F281" s="219" t="s">
        <v>2544</v>
      </c>
      <c r="G281" s="217"/>
      <c r="H281" s="220">
        <v>3</v>
      </c>
      <c r="I281" s="221"/>
      <c r="J281" s="217"/>
      <c r="K281" s="217"/>
      <c r="L281" s="222"/>
      <c r="M281" s="223"/>
      <c r="N281" s="224"/>
      <c r="O281" s="224"/>
      <c r="P281" s="224"/>
      <c r="Q281" s="224"/>
      <c r="R281" s="224"/>
      <c r="S281" s="224"/>
      <c r="T281" s="225"/>
      <c r="AT281" s="226" t="s">
        <v>388</v>
      </c>
      <c r="AU281" s="226" t="s">
        <v>82</v>
      </c>
      <c r="AV281" s="15" t="s">
        <v>386</v>
      </c>
      <c r="AW281" s="15" t="s">
        <v>33</v>
      </c>
      <c r="AX281" s="15" t="s">
        <v>79</v>
      </c>
      <c r="AY281" s="226" t="s">
        <v>380</v>
      </c>
    </row>
    <row r="282" spans="1:65" s="2" customFormat="1" ht="16.5" customHeight="1">
      <c r="A282" s="36"/>
      <c r="B282" s="37"/>
      <c r="C282" s="181" t="s">
        <v>514</v>
      </c>
      <c r="D282" s="181" t="s">
        <v>382</v>
      </c>
      <c r="E282" s="182" t="s">
        <v>6371</v>
      </c>
      <c r="F282" s="183" t="s">
        <v>6372</v>
      </c>
      <c r="G282" s="184" t="s">
        <v>641</v>
      </c>
      <c r="H282" s="185">
        <v>3</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386</v>
      </c>
      <c r="AT282" s="192" t="s">
        <v>382</v>
      </c>
      <c r="AU282" s="192" t="s">
        <v>82</v>
      </c>
      <c r="AY282" s="19" t="s">
        <v>380</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386</v>
      </c>
      <c r="BM282" s="192" t="s">
        <v>699</v>
      </c>
    </row>
    <row r="283" spans="1:65" s="13" customFormat="1" ht="11.25">
      <c r="B283" s="194"/>
      <c r="C283" s="195"/>
      <c r="D283" s="196" t="s">
        <v>388</v>
      </c>
      <c r="E283" s="197" t="s">
        <v>19</v>
      </c>
      <c r="F283" s="198" t="s">
        <v>6274</v>
      </c>
      <c r="G283" s="195"/>
      <c r="H283" s="197" t="s">
        <v>19</v>
      </c>
      <c r="I283" s="199"/>
      <c r="J283" s="195"/>
      <c r="K283" s="195"/>
      <c r="L283" s="200"/>
      <c r="M283" s="201"/>
      <c r="N283" s="202"/>
      <c r="O283" s="202"/>
      <c r="P283" s="202"/>
      <c r="Q283" s="202"/>
      <c r="R283" s="202"/>
      <c r="S283" s="202"/>
      <c r="T283" s="203"/>
      <c r="AT283" s="204" t="s">
        <v>388</v>
      </c>
      <c r="AU283" s="204" t="s">
        <v>82</v>
      </c>
      <c r="AV283" s="13" t="s">
        <v>79</v>
      </c>
      <c r="AW283" s="13" t="s">
        <v>33</v>
      </c>
      <c r="AX283" s="13" t="s">
        <v>72</v>
      </c>
      <c r="AY283" s="204" t="s">
        <v>380</v>
      </c>
    </row>
    <row r="284" spans="1:65" s="14" customFormat="1" ht="11.25">
      <c r="B284" s="205"/>
      <c r="C284" s="206"/>
      <c r="D284" s="196" t="s">
        <v>388</v>
      </c>
      <c r="E284" s="207" t="s">
        <v>19</v>
      </c>
      <c r="F284" s="208" t="s">
        <v>2998</v>
      </c>
      <c r="G284" s="206"/>
      <c r="H284" s="209">
        <v>2</v>
      </c>
      <c r="I284" s="210"/>
      <c r="J284" s="206"/>
      <c r="K284" s="206"/>
      <c r="L284" s="211"/>
      <c r="M284" s="212"/>
      <c r="N284" s="213"/>
      <c r="O284" s="213"/>
      <c r="P284" s="213"/>
      <c r="Q284" s="213"/>
      <c r="R284" s="213"/>
      <c r="S284" s="213"/>
      <c r="T284" s="214"/>
      <c r="AT284" s="215" t="s">
        <v>388</v>
      </c>
      <c r="AU284" s="215" t="s">
        <v>82</v>
      </c>
      <c r="AV284" s="14" t="s">
        <v>82</v>
      </c>
      <c r="AW284" s="14" t="s">
        <v>33</v>
      </c>
      <c r="AX284" s="14" t="s">
        <v>72</v>
      </c>
      <c r="AY284" s="215" t="s">
        <v>380</v>
      </c>
    </row>
    <row r="285" spans="1:65" s="13" customFormat="1" ht="11.25">
      <c r="B285" s="194"/>
      <c r="C285" s="195"/>
      <c r="D285" s="196" t="s">
        <v>388</v>
      </c>
      <c r="E285" s="197" t="s">
        <v>19</v>
      </c>
      <c r="F285" s="198" t="s">
        <v>6276</v>
      </c>
      <c r="G285" s="195"/>
      <c r="H285" s="197" t="s">
        <v>19</v>
      </c>
      <c r="I285" s="199"/>
      <c r="J285" s="195"/>
      <c r="K285" s="195"/>
      <c r="L285" s="200"/>
      <c r="M285" s="201"/>
      <c r="N285" s="202"/>
      <c r="O285" s="202"/>
      <c r="P285" s="202"/>
      <c r="Q285" s="202"/>
      <c r="R285" s="202"/>
      <c r="S285" s="202"/>
      <c r="T285" s="203"/>
      <c r="AT285" s="204" t="s">
        <v>388</v>
      </c>
      <c r="AU285" s="204" t="s">
        <v>82</v>
      </c>
      <c r="AV285" s="13" t="s">
        <v>79</v>
      </c>
      <c r="AW285" s="13" t="s">
        <v>33</v>
      </c>
      <c r="AX285" s="13" t="s">
        <v>72</v>
      </c>
      <c r="AY285" s="204" t="s">
        <v>380</v>
      </c>
    </row>
    <row r="286" spans="1:65" s="14" customFormat="1" ht="11.25">
      <c r="B286" s="205"/>
      <c r="C286" s="206"/>
      <c r="D286" s="196" t="s">
        <v>388</v>
      </c>
      <c r="E286" s="207" t="s">
        <v>19</v>
      </c>
      <c r="F286" s="208" t="s">
        <v>2542</v>
      </c>
      <c r="G286" s="206"/>
      <c r="H286" s="209">
        <v>1</v>
      </c>
      <c r="I286" s="210"/>
      <c r="J286" s="206"/>
      <c r="K286" s="206"/>
      <c r="L286" s="211"/>
      <c r="M286" s="212"/>
      <c r="N286" s="213"/>
      <c r="O286" s="213"/>
      <c r="P286" s="213"/>
      <c r="Q286" s="213"/>
      <c r="R286" s="213"/>
      <c r="S286" s="213"/>
      <c r="T286" s="214"/>
      <c r="AT286" s="215" t="s">
        <v>388</v>
      </c>
      <c r="AU286" s="215" t="s">
        <v>82</v>
      </c>
      <c r="AV286" s="14" t="s">
        <v>82</v>
      </c>
      <c r="AW286" s="14" t="s">
        <v>33</v>
      </c>
      <c r="AX286" s="14" t="s">
        <v>72</v>
      </c>
      <c r="AY286" s="215" t="s">
        <v>380</v>
      </c>
    </row>
    <row r="287" spans="1:65" s="15" customFormat="1" ht="11.25">
      <c r="B287" s="216"/>
      <c r="C287" s="217"/>
      <c r="D287" s="196" t="s">
        <v>388</v>
      </c>
      <c r="E287" s="218" t="s">
        <v>19</v>
      </c>
      <c r="F287" s="219" t="s">
        <v>2544</v>
      </c>
      <c r="G287" s="217"/>
      <c r="H287" s="220">
        <v>3</v>
      </c>
      <c r="I287" s="221"/>
      <c r="J287" s="217"/>
      <c r="K287" s="217"/>
      <c r="L287" s="222"/>
      <c r="M287" s="223"/>
      <c r="N287" s="224"/>
      <c r="O287" s="224"/>
      <c r="P287" s="224"/>
      <c r="Q287" s="224"/>
      <c r="R287" s="224"/>
      <c r="S287" s="224"/>
      <c r="T287" s="225"/>
      <c r="AT287" s="226" t="s">
        <v>388</v>
      </c>
      <c r="AU287" s="226" t="s">
        <v>82</v>
      </c>
      <c r="AV287" s="15" t="s">
        <v>386</v>
      </c>
      <c r="AW287" s="15" t="s">
        <v>33</v>
      </c>
      <c r="AX287" s="15" t="s">
        <v>79</v>
      </c>
      <c r="AY287" s="226" t="s">
        <v>380</v>
      </c>
    </row>
    <row r="288" spans="1:65" s="2" customFormat="1" ht="21.75" customHeight="1">
      <c r="A288" s="36"/>
      <c r="B288" s="37"/>
      <c r="C288" s="181" t="s">
        <v>520</v>
      </c>
      <c r="D288" s="181" t="s">
        <v>382</v>
      </c>
      <c r="E288" s="182" t="s">
        <v>6373</v>
      </c>
      <c r="F288" s="183" t="s">
        <v>6374</v>
      </c>
      <c r="G288" s="184" t="s">
        <v>2006</v>
      </c>
      <c r="H288" s="185">
        <v>1</v>
      </c>
      <c r="I288" s="186"/>
      <c r="J288" s="187">
        <f>ROUND(I288*H288,2)</f>
        <v>0</v>
      </c>
      <c r="K288" s="183" t="s">
        <v>19</v>
      </c>
      <c r="L288" s="41"/>
      <c r="M288" s="188" t="s">
        <v>19</v>
      </c>
      <c r="N288" s="189" t="s">
        <v>43</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386</v>
      </c>
      <c r="AT288" s="192" t="s">
        <v>382</v>
      </c>
      <c r="AU288" s="192" t="s">
        <v>82</v>
      </c>
      <c r="AY288" s="19" t="s">
        <v>380</v>
      </c>
      <c r="BE288" s="193">
        <f>IF(N288="základní",J288,0)</f>
        <v>0</v>
      </c>
      <c r="BF288" s="193">
        <f>IF(N288="snížená",J288,0)</f>
        <v>0</v>
      </c>
      <c r="BG288" s="193">
        <f>IF(N288="zákl. přenesená",J288,0)</f>
        <v>0</v>
      </c>
      <c r="BH288" s="193">
        <f>IF(N288="sníž. přenesená",J288,0)</f>
        <v>0</v>
      </c>
      <c r="BI288" s="193">
        <f>IF(N288="nulová",J288,0)</f>
        <v>0</v>
      </c>
      <c r="BJ288" s="19" t="s">
        <v>79</v>
      </c>
      <c r="BK288" s="193">
        <f>ROUND(I288*H288,2)</f>
        <v>0</v>
      </c>
      <c r="BL288" s="19" t="s">
        <v>386</v>
      </c>
      <c r="BM288" s="192" t="s">
        <v>709</v>
      </c>
    </row>
    <row r="289" spans="1:65" s="13" customFormat="1" ht="11.25">
      <c r="B289" s="194"/>
      <c r="C289" s="195"/>
      <c r="D289" s="196" t="s">
        <v>388</v>
      </c>
      <c r="E289" s="197" t="s">
        <v>19</v>
      </c>
      <c r="F289" s="198" t="s">
        <v>6375</v>
      </c>
      <c r="G289" s="195"/>
      <c r="H289" s="197" t="s">
        <v>19</v>
      </c>
      <c r="I289" s="199"/>
      <c r="J289" s="195"/>
      <c r="K289" s="195"/>
      <c r="L289" s="200"/>
      <c r="M289" s="201"/>
      <c r="N289" s="202"/>
      <c r="O289" s="202"/>
      <c r="P289" s="202"/>
      <c r="Q289" s="202"/>
      <c r="R289" s="202"/>
      <c r="S289" s="202"/>
      <c r="T289" s="203"/>
      <c r="AT289" s="204" t="s">
        <v>388</v>
      </c>
      <c r="AU289" s="204" t="s">
        <v>82</v>
      </c>
      <c r="AV289" s="13" t="s">
        <v>79</v>
      </c>
      <c r="AW289" s="13" t="s">
        <v>33</v>
      </c>
      <c r="AX289" s="13" t="s">
        <v>72</v>
      </c>
      <c r="AY289" s="204" t="s">
        <v>380</v>
      </c>
    </row>
    <row r="290" spans="1:65" s="13" customFormat="1" ht="11.25">
      <c r="B290" s="194"/>
      <c r="C290" s="195"/>
      <c r="D290" s="196" t="s">
        <v>388</v>
      </c>
      <c r="E290" s="197" t="s">
        <v>19</v>
      </c>
      <c r="F290" s="198" t="s">
        <v>6376</v>
      </c>
      <c r="G290" s="195"/>
      <c r="H290" s="197" t="s">
        <v>19</v>
      </c>
      <c r="I290" s="199"/>
      <c r="J290" s="195"/>
      <c r="K290" s="195"/>
      <c r="L290" s="200"/>
      <c r="M290" s="201"/>
      <c r="N290" s="202"/>
      <c r="O290" s="202"/>
      <c r="P290" s="202"/>
      <c r="Q290" s="202"/>
      <c r="R290" s="202"/>
      <c r="S290" s="202"/>
      <c r="T290" s="203"/>
      <c r="AT290" s="204" t="s">
        <v>388</v>
      </c>
      <c r="AU290" s="204" t="s">
        <v>82</v>
      </c>
      <c r="AV290" s="13" t="s">
        <v>79</v>
      </c>
      <c r="AW290" s="13" t="s">
        <v>33</v>
      </c>
      <c r="AX290" s="13" t="s">
        <v>72</v>
      </c>
      <c r="AY290" s="204" t="s">
        <v>380</v>
      </c>
    </row>
    <row r="291" spans="1:65" s="14" customFormat="1" ht="11.25">
      <c r="B291" s="205"/>
      <c r="C291" s="206"/>
      <c r="D291" s="196" t="s">
        <v>388</v>
      </c>
      <c r="E291" s="207" t="s">
        <v>19</v>
      </c>
      <c r="F291" s="208" t="s">
        <v>2542</v>
      </c>
      <c r="G291" s="206"/>
      <c r="H291" s="209">
        <v>1</v>
      </c>
      <c r="I291" s="210"/>
      <c r="J291" s="206"/>
      <c r="K291" s="206"/>
      <c r="L291" s="211"/>
      <c r="M291" s="212"/>
      <c r="N291" s="213"/>
      <c r="O291" s="213"/>
      <c r="P291" s="213"/>
      <c r="Q291" s="213"/>
      <c r="R291" s="213"/>
      <c r="S291" s="213"/>
      <c r="T291" s="214"/>
      <c r="AT291" s="215" t="s">
        <v>388</v>
      </c>
      <c r="AU291" s="215" t="s">
        <v>82</v>
      </c>
      <c r="AV291" s="14" t="s">
        <v>82</v>
      </c>
      <c r="AW291" s="14" t="s">
        <v>33</v>
      </c>
      <c r="AX291" s="14" t="s">
        <v>72</v>
      </c>
      <c r="AY291" s="215" t="s">
        <v>380</v>
      </c>
    </row>
    <row r="292" spans="1:65" s="15" customFormat="1" ht="11.25">
      <c r="B292" s="216"/>
      <c r="C292" s="217"/>
      <c r="D292" s="196" t="s">
        <v>388</v>
      </c>
      <c r="E292" s="218" t="s">
        <v>19</v>
      </c>
      <c r="F292" s="219" t="s">
        <v>419</v>
      </c>
      <c r="G292" s="217"/>
      <c r="H292" s="220">
        <v>1</v>
      </c>
      <c r="I292" s="221"/>
      <c r="J292" s="217"/>
      <c r="K292" s="217"/>
      <c r="L292" s="222"/>
      <c r="M292" s="223"/>
      <c r="N292" s="224"/>
      <c r="O292" s="224"/>
      <c r="P292" s="224"/>
      <c r="Q292" s="224"/>
      <c r="R292" s="224"/>
      <c r="S292" s="224"/>
      <c r="T292" s="225"/>
      <c r="AT292" s="226" t="s">
        <v>388</v>
      </c>
      <c r="AU292" s="226" t="s">
        <v>82</v>
      </c>
      <c r="AV292" s="15" t="s">
        <v>386</v>
      </c>
      <c r="AW292" s="15" t="s">
        <v>33</v>
      </c>
      <c r="AX292" s="15" t="s">
        <v>79</v>
      </c>
      <c r="AY292" s="226" t="s">
        <v>380</v>
      </c>
    </row>
    <row r="293" spans="1:65" s="2" customFormat="1" ht="16.5" customHeight="1">
      <c r="A293" s="36"/>
      <c r="B293" s="37"/>
      <c r="C293" s="181" t="s">
        <v>525</v>
      </c>
      <c r="D293" s="181" t="s">
        <v>382</v>
      </c>
      <c r="E293" s="182" t="s">
        <v>6377</v>
      </c>
      <c r="F293" s="183" t="s">
        <v>6378</v>
      </c>
      <c r="G293" s="184" t="s">
        <v>452</v>
      </c>
      <c r="H293" s="185">
        <v>112</v>
      </c>
      <c r="I293" s="186"/>
      <c r="J293" s="187">
        <f>ROUND(I293*H293,2)</f>
        <v>0</v>
      </c>
      <c r="K293" s="183" t="s">
        <v>19</v>
      </c>
      <c r="L293" s="41"/>
      <c r="M293" s="188" t="s">
        <v>19</v>
      </c>
      <c r="N293" s="189" t="s">
        <v>43</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386</v>
      </c>
      <c r="AT293" s="192" t="s">
        <v>382</v>
      </c>
      <c r="AU293" s="192" t="s">
        <v>82</v>
      </c>
      <c r="AY293" s="19" t="s">
        <v>380</v>
      </c>
      <c r="BE293" s="193">
        <f>IF(N293="základní",J293,0)</f>
        <v>0</v>
      </c>
      <c r="BF293" s="193">
        <f>IF(N293="snížená",J293,0)</f>
        <v>0</v>
      </c>
      <c r="BG293" s="193">
        <f>IF(N293="zákl. přenesená",J293,0)</f>
        <v>0</v>
      </c>
      <c r="BH293" s="193">
        <f>IF(N293="sníž. přenesená",J293,0)</f>
        <v>0</v>
      </c>
      <c r="BI293" s="193">
        <f>IF(N293="nulová",J293,0)</f>
        <v>0</v>
      </c>
      <c r="BJ293" s="19" t="s">
        <v>79</v>
      </c>
      <c r="BK293" s="193">
        <f>ROUND(I293*H293,2)</f>
        <v>0</v>
      </c>
      <c r="BL293" s="19" t="s">
        <v>386</v>
      </c>
      <c r="BM293" s="192" t="s">
        <v>733</v>
      </c>
    </row>
    <row r="294" spans="1:65" s="14" customFormat="1" ht="11.25">
      <c r="B294" s="205"/>
      <c r="C294" s="206"/>
      <c r="D294" s="196" t="s">
        <v>388</v>
      </c>
      <c r="E294" s="207" t="s">
        <v>19</v>
      </c>
      <c r="F294" s="208" t="s">
        <v>6379</v>
      </c>
      <c r="G294" s="206"/>
      <c r="H294" s="209">
        <v>112</v>
      </c>
      <c r="I294" s="210"/>
      <c r="J294" s="206"/>
      <c r="K294" s="206"/>
      <c r="L294" s="211"/>
      <c r="M294" s="212"/>
      <c r="N294" s="213"/>
      <c r="O294" s="213"/>
      <c r="P294" s="213"/>
      <c r="Q294" s="213"/>
      <c r="R294" s="213"/>
      <c r="S294" s="213"/>
      <c r="T294" s="214"/>
      <c r="AT294" s="215" t="s">
        <v>388</v>
      </c>
      <c r="AU294" s="215" t="s">
        <v>82</v>
      </c>
      <c r="AV294" s="14" t="s">
        <v>82</v>
      </c>
      <c r="AW294" s="14" t="s">
        <v>33</v>
      </c>
      <c r="AX294" s="14" t="s">
        <v>72</v>
      </c>
      <c r="AY294" s="215" t="s">
        <v>380</v>
      </c>
    </row>
    <row r="295" spans="1:65" s="15" customFormat="1" ht="11.25">
      <c r="B295" s="216"/>
      <c r="C295" s="217"/>
      <c r="D295" s="196" t="s">
        <v>388</v>
      </c>
      <c r="E295" s="218" t="s">
        <v>19</v>
      </c>
      <c r="F295" s="219" t="s">
        <v>419</v>
      </c>
      <c r="G295" s="217"/>
      <c r="H295" s="220">
        <v>112</v>
      </c>
      <c r="I295" s="221"/>
      <c r="J295" s="217"/>
      <c r="K295" s="217"/>
      <c r="L295" s="222"/>
      <c r="M295" s="223"/>
      <c r="N295" s="224"/>
      <c r="O295" s="224"/>
      <c r="P295" s="224"/>
      <c r="Q295" s="224"/>
      <c r="R295" s="224"/>
      <c r="S295" s="224"/>
      <c r="T295" s="225"/>
      <c r="AT295" s="226" t="s">
        <v>388</v>
      </c>
      <c r="AU295" s="226" t="s">
        <v>82</v>
      </c>
      <c r="AV295" s="15" t="s">
        <v>386</v>
      </c>
      <c r="AW295" s="15" t="s">
        <v>33</v>
      </c>
      <c r="AX295" s="15" t="s">
        <v>79</v>
      </c>
      <c r="AY295" s="226" t="s">
        <v>380</v>
      </c>
    </row>
    <row r="296" spans="1:65" s="2" customFormat="1" ht="16.5" customHeight="1">
      <c r="A296" s="36"/>
      <c r="B296" s="37"/>
      <c r="C296" s="181" t="s">
        <v>529</v>
      </c>
      <c r="D296" s="181" t="s">
        <v>382</v>
      </c>
      <c r="E296" s="182" t="s">
        <v>6380</v>
      </c>
      <c r="F296" s="183" t="s">
        <v>6381</v>
      </c>
      <c r="G296" s="184" t="s">
        <v>2678</v>
      </c>
      <c r="H296" s="185">
        <v>2</v>
      </c>
      <c r="I296" s="186"/>
      <c r="J296" s="187">
        <f>ROUND(I296*H296,2)</f>
        <v>0</v>
      </c>
      <c r="K296" s="183" t="s">
        <v>19</v>
      </c>
      <c r="L296" s="41"/>
      <c r="M296" s="188" t="s">
        <v>19</v>
      </c>
      <c r="N296" s="189"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386</v>
      </c>
      <c r="AT296" s="192" t="s">
        <v>382</v>
      </c>
      <c r="AU296" s="192" t="s">
        <v>82</v>
      </c>
      <c r="AY296" s="19" t="s">
        <v>380</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386</v>
      </c>
      <c r="BM296" s="192" t="s">
        <v>753</v>
      </c>
    </row>
    <row r="297" spans="1:65" s="2" customFormat="1" ht="16.5" customHeight="1">
      <c r="A297" s="36"/>
      <c r="B297" s="37"/>
      <c r="C297" s="227" t="s">
        <v>534</v>
      </c>
      <c r="D297" s="227" t="s">
        <v>465</v>
      </c>
      <c r="E297" s="228" t="s">
        <v>6382</v>
      </c>
      <c r="F297" s="229" t="s">
        <v>6383</v>
      </c>
      <c r="G297" s="230" t="s">
        <v>641</v>
      </c>
      <c r="H297" s="231">
        <v>1</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424</v>
      </c>
      <c r="AT297" s="192" t="s">
        <v>465</v>
      </c>
      <c r="AU297" s="192" t="s">
        <v>82</v>
      </c>
      <c r="AY297" s="19" t="s">
        <v>380</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386</v>
      </c>
      <c r="BM297" s="192" t="s">
        <v>767</v>
      </c>
    </row>
    <row r="298" spans="1:65" s="13" customFormat="1" ht="11.25">
      <c r="B298" s="194"/>
      <c r="C298" s="195"/>
      <c r="D298" s="196" t="s">
        <v>388</v>
      </c>
      <c r="E298" s="197" t="s">
        <v>19</v>
      </c>
      <c r="F298" s="198" t="s">
        <v>6384</v>
      </c>
      <c r="G298" s="195"/>
      <c r="H298" s="197" t="s">
        <v>19</v>
      </c>
      <c r="I298" s="199"/>
      <c r="J298" s="195"/>
      <c r="K298" s="195"/>
      <c r="L298" s="200"/>
      <c r="M298" s="201"/>
      <c r="N298" s="202"/>
      <c r="O298" s="202"/>
      <c r="P298" s="202"/>
      <c r="Q298" s="202"/>
      <c r="R298" s="202"/>
      <c r="S298" s="202"/>
      <c r="T298" s="203"/>
      <c r="AT298" s="204" t="s">
        <v>388</v>
      </c>
      <c r="AU298" s="204" t="s">
        <v>82</v>
      </c>
      <c r="AV298" s="13" t="s">
        <v>79</v>
      </c>
      <c r="AW298" s="13" t="s">
        <v>33</v>
      </c>
      <c r="AX298" s="13" t="s">
        <v>72</v>
      </c>
      <c r="AY298" s="204" t="s">
        <v>380</v>
      </c>
    </row>
    <row r="299" spans="1:65" s="13" customFormat="1" ht="11.25">
      <c r="B299" s="194"/>
      <c r="C299" s="195"/>
      <c r="D299" s="196" t="s">
        <v>388</v>
      </c>
      <c r="E299" s="197" t="s">
        <v>19</v>
      </c>
      <c r="F299" s="198" t="s">
        <v>6385</v>
      </c>
      <c r="G299" s="195"/>
      <c r="H299" s="197" t="s">
        <v>19</v>
      </c>
      <c r="I299" s="199"/>
      <c r="J299" s="195"/>
      <c r="K299" s="195"/>
      <c r="L299" s="200"/>
      <c r="M299" s="201"/>
      <c r="N299" s="202"/>
      <c r="O299" s="202"/>
      <c r="P299" s="202"/>
      <c r="Q299" s="202"/>
      <c r="R299" s="202"/>
      <c r="S299" s="202"/>
      <c r="T299" s="203"/>
      <c r="AT299" s="204" t="s">
        <v>388</v>
      </c>
      <c r="AU299" s="204" t="s">
        <v>82</v>
      </c>
      <c r="AV299" s="13" t="s">
        <v>79</v>
      </c>
      <c r="AW299" s="13" t="s">
        <v>33</v>
      </c>
      <c r="AX299" s="13" t="s">
        <v>72</v>
      </c>
      <c r="AY299" s="204" t="s">
        <v>380</v>
      </c>
    </row>
    <row r="300" spans="1:65" s="14" customFormat="1" ht="11.25">
      <c r="B300" s="205"/>
      <c r="C300" s="206"/>
      <c r="D300" s="196" t="s">
        <v>388</v>
      </c>
      <c r="E300" s="207" t="s">
        <v>19</v>
      </c>
      <c r="F300" s="208" t="s">
        <v>2542</v>
      </c>
      <c r="G300" s="206"/>
      <c r="H300" s="209">
        <v>1</v>
      </c>
      <c r="I300" s="210"/>
      <c r="J300" s="206"/>
      <c r="K300" s="206"/>
      <c r="L300" s="211"/>
      <c r="M300" s="212"/>
      <c r="N300" s="213"/>
      <c r="O300" s="213"/>
      <c r="P300" s="213"/>
      <c r="Q300" s="213"/>
      <c r="R300" s="213"/>
      <c r="S300" s="213"/>
      <c r="T300" s="214"/>
      <c r="AT300" s="215" t="s">
        <v>388</v>
      </c>
      <c r="AU300" s="215" t="s">
        <v>82</v>
      </c>
      <c r="AV300" s="14" t="s">
        <v>82</v>
      </c>
      <c r="AW300" s="14" t="s">
        <v>33</v>
      </c>
      <c r="AX300" s="14" t="s">
        <v>72</v>
      </c>
      <c r="AY300" s="215" t="s">
        <v>380</v>
      </c>
    </row>
    <row r="301" spans="1:65" s="15" customFormat="1" ht="11.25">
      <c r="B301" s="216"/>
      <c r="C301" s="217"/>
      <c r="D301" s="196" t="s">
        <v>388</v>
      </c>
      <c r="E301" s="218" t="s">
        <v>19</v>
      </c>
      <c r="F301" s="219" t="s">
        <v>419</v>
      </c>
      <c r="G301" s="217"/>
      <c r="H301" s="220">
        <v>1</v>
      </c>
      <c r="I301" s="221"/>
      <c r="J301" s="217"/>
      <c r="K301" s="217"/>
      <c r="L301" s="222"/>
      <c r="M301" s="258"/>
      <c r="N301" s="259"/>
      <c r="O301" s="259"/>
      <c r="P301" s="259"/>
      <c r="Q301" s="259"/>
      <c r="R301" s="259"/>
      <c r="S301" s="259"/>
      <c r="T301" s="260"/>
      <c r="AT301" s="226" t="s">
        <v>388</v>
      </c>
      <c r="AU301" s="226" t="s">
        <v>82</v>
      </c>
      <c r="AV301" s="15" t="s">
        <v>386</v>
      </c>
      <c r="AW301" s="15" t="s">
        <v>33</v>
      </c>
      <c r="AX301" s="15" t="s">
        <v>79</v>
      </c>
      <c r="AY301" s="226" t="s">
        <v>380</v>
      </c>
    </row>
    <row r="302" spans="1:65" s="2" customFormat="1" ht="6.95" customHeight="1">
      <c r="A302" s="36"/>
      <c r="B302" s="49"/>
      <c r="C302" s="50"/>
      <c r="D302" s="50"/>
      <c r="E302" s="50"/>
      <c r="F302" s="50"/>
      <c r="G302" s="50"/>
      <c r="H302" s="50"/>
      <c r="I302" s="50"/>
      <c r="J302" s="50"/>
      <c r="K302" s="50"/>
      <c r="L302" s="41"/>
      <c r="M302" s="36"/>
      <c r="O302" s="36"/>
      <c r="P302" s="36"/>
      <c r="Q302" s="36"/>
      <c r="R302" s="36"/>
      <c r="S302" s="36"/>
      <c r="T302" s="36"/>
      <c r="U302" s="36"/>
      <c r="V302" s="36"/>
      <c r="W302" s="36"/>
      <c r="X302" s="36"/>
      <c r="Y302" s="36"/>
      <c r="Z302" s="36"/>
      <c r="AA302" s="36"/>
      <c r="AB302" s="36"/>
      <c r="AC302" s="36"/>
      <c r="AD302" s="36"/>
      <c r="AE302" s="36"/>
    </row>
  </sheetData>
  <sheetProtection algorithmName="SHA-512" hashValue="AhgXtOUwt80/71Dze7BaUREJHnNGpmqHYzEcTtHU06LSBIoRnPylmh6dnjoPZQcc5BTDJ7wjwqv7yIt17QIXRw==" saltValue="48JGvFR+kxLM/h723piyFAHFQtmZKWVZ3PGZ+h0vs/unujkttaeU+vVI5yAyktIus+5WydSJlN+cSfxiPVvYqQ==" spinCount="100000" sheet="1" objects="1" scenarios="1" formatColumns="0" formatRows="0" autoFilter="0"/>
  <autoFilter ref="C83:K301" xr:uid="{00000000-0009-0000-0000-00003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6386</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ROUND((SUM(BE83:BE150)),  2)</f>
        <v>0</v>
      </c>
      <c r="G33" s="36"/>
      <c r="H33" s="36"/>
      <c r="I33" s="127">
        <v>0.21</v>
      </c>
      <c r="J33" s="126">
        <f>ROUND(((SUM(BE83:BE150))*I33),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ROUND((SUM(BF83:BF150)),  2)</f>
        <v>0</v>
      </c>
      <c r="G34" s="36"/>
      <c r="H34" s="36"/>
      <c r="I34" s="127">
        <v>0.15</v>
      </c>
      <c r="J34" s="126">
        <f>ROUND(((SUM(BF83:BF150))*I34),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ROUND((SUM(BG83:BG150)),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ROUND((SUM(BH83:BH150)),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ROUND((SUM(BI83:BI150)),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03 - VODOVODNÍ PŘÍPOJKA</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2821</v>
      </c>
      <c r="E60" s="146"/>
      <c r="F60" s="146"/>
      <c r="G60" s="146"/>
      <c r="H60" s="146"/>
      <c r="I60" s="146"/>
      <c r="J60" s="147">
        <f>J84</f>
        <v>0</v>
      </c>
      <c r="K60" s="144"/>
      <c r="L60" s="148"/>
    </row>
    <row r="61" spans="1:47" s="10" customFormat="1" ht="19.899999999999999" customHeight="1">
      <c r="B61" s="149"/>
      <c r="C61" s="99"/>
      <c r="D61" s="150" t="s">
        <v>2822</v>
      </c>
      <c r="E61" s="151"/>
      <c r="F61" s="151"/>
      <c r="G61" s="151"/>
      <c r="H61" s="151"/>
      <c r="I61" s="151"/>
      <c r="J61" s="152">
        <f>J85</f>
        <v>0</v>
      </c>
      <c r="K61" s="99"/>
      <c r="L61" s="153"/>
    </row>
    <row r="62" spans="1:47" s="10" customFormat="1" ht="19.899999999999999" customHeight="1">
      <c r="B62" s="149"/>
      <c r="C62" s="99"/>
      <c r="D62" s="150" t="s">
        <v>6387</v>
      </c>
      <c r="E62" s="151"/>
      <c r="F62" s="151"/>
      <c r="G62" s="151"/>
      <c r="H62" s="151"/>
      <c r="I62" s="151"/>
      <c r="J62" s="152">
        <f>J117</f>
        <v>0</v>
      </c>
      <c r="K62" s="99"/>
      <c r="L62" s="153"/>
    </row>
    <row r="63" spans="1:47" s="10" customFormat="1" ht="19.899999999999999" customHeight="1">
      <c r="B63" s="149"/>
      <c r="C63" s="99"/>
      <c r="D63" s="150" t="s">
        <v>2823</v>
      </c>
      <c r="E63" s="151"/>
      <c r="F63" s="151"/>
      <c r="G63" s="151"/>
      <c r="H63" s="151"/>
      <c r="I63" s="151"/>
      <c r="J63" s="152">
        <f>J138</f>
        <v>0</v>
      </c>
      <c r="K63" s="99"/>
      <c r="L63" s="153"/>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365</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282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IO 03 - VODOVODNÍ PŘÍPOJKA</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4. 8. 2021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366</v>
      </c>
      <c r="D82" s="157" t="s">
        <v>57</v>
      </c>
      <c r="E82" s="157" t="s">
        <v>53</v>
      </c>
      <c r="F82" s="157" t="s">
        <v>54</v>
      </c>
      <c r="G82" s="157" t="s">
        <v>367</v>
      </c>
      <c r="H82" s="157" t="s">
        <v>368</v>
      </c>
      <c r="I82" s="157" t="s">
        <v>369</v>
      </c>
      <c r="J82" s="157" t="s">
        <v>334</v>
      </c>
      <c r="K82" s="158" t="s">
        <v>370</v>
      </c>
      <c r="L82" s="159"/>
      <c r="M82" s="70" t="s">
        <v>19</v>
      </c>
      <c r="N82" s="71" t="s">
        <v>42</v>
      </c>
      <c r="O82" s="71" t="s">
        <v>371</v>
      </c>
      <c r="P82" s="71" t="s">
        <v>372</v>
      </c>
      <c r="Q82" s="71" t="s">
        <v>373</v>
      </c>
      <c r="R82" s="71" t="s">
        <v>374</v>
      </c>
      <c r="S82" s="71" t="s">
        <v>375</v>
      </c>
      <c r="T82" s="72" t="s">
        <v>376</v>
      </c>
      <c r="U82" s="154"/>
      <c r="V82" s="154"/>
      <c r="W82" s="154"/>
      <c r="X82" s="154"/>
      <c r="Y82" s="154"/>
      <c r="Z82" s="154"/>
      <c r="AA82" s="154"/>
      <c r="AB82" s="154"/>
      <c r="AC82" s="154"/>
      <c r="AD82" s="154"/>
      <c r="AE82" s="154"/>
    </row>
    <row r="83" spans="1:65" s="2" customFormat="1" ht="22.9" customHeight="1">
      <c r="A83" s="36"/>
      <c r="B83" s="37"/>
      <c r="C83" s="77" t="s">
        <v>377</v>
      </c>
      <c r="D83" s="38"/>
      <c r="E83" s="38"/>
      <c r="F83" s="38"/>
      <c r="G83" s="38"/>
      <c r="H83" s="38"/>
      <c r="I83" s="38"/>
      <c r="J83" s="160">
        <f>BK83</f>
        <v>0</v>
      </c>
      <c r="K83" s="38"/>
      <c r="L83" s="41"/>
      <c r="M83" s="73"/>
      <c r="N83" s="161"/>
      <c r="O83" s="74"/>
      <c r="P83" s="162">
        <f>P84</f>
        <v>0</v>
      </c>
      <c r="Q83" s="74"/>
      <c r="R83" s="162">
        <f>R84</f>
        <v>0</v>
      </c>
      <c r="S83" s="74"/>
      <c r="T83" s="163">
        <f>T84</f>
        <v>0</v>
      </c>
      <c r="U83" s="36"/>
      <c r="V83" s="36"/>
      <c r="W83" s="36"/>
      <c r="X83" s="36"/>
      <c r="Y83" s="36"/>
      <c r="Z83" s="36"/>
      <c r="AA83" s="36"/>
      <c r="AB83" s="36"/>
      <c r="AC83" s="36"/>
      <c r="AD83" s="36"/>
      <c r="AE83" s="36"/>
      <c r="AT83" s="19" t="s">
        <v>71</v>
      </c>
      <c r="AU83" s="19" t="s">
        <v>335</v>
      </c>
      <c r="BK83" s="164">
        <f>BK84</f>
        <v>0</v>
      </c>
    </row>
    <row r="84" spans="1:65" s="12" customFormat="1" ht="25.9" customHeight="1">
      <c r="B84" s="165"/>
      <c r="C84" s="166"/>
      <c r="D84" s="167" t="s">
        <v>71</v>
      </c>
      <c r="E84" s="168" t="s">
        <v>378</v>
      </c>
      <c r="F84" s="168" t="s">
        <v>2831</v>
      </c>
      <c r="G84" s="166"/>
      <c r="H84" s="166"/>
      <c r="I84" s="169"/>
      <c r="J84" s="170">
        <f>BK84</f>
        <v>0</v>
      </c>
      <c r="K84" s="166"/>
      <c r="L84" s="171"/>
      <c r="M84" s="172"/>
      <c r="N84" s="173"/>
      <c r="O84" s="173"/>
      <c r="P84" s="174">
        <f>P85+P117+P138</f>
        <v>0</v>
      </c>
      <c r="Q84" s="173"/>
      <c r="R84" s="174">
        <f>R85+R117+R138</f>
        <v>0</v>
      </c>
      <c r="S84" s="173"/>
      <c r="T84" s="175">
        <f>T85+T117+T138</f>
        <v>0</v>
      </c>
      <c r="AR84" s="176" t="s">
        <v>79</v>
      </c>
      <c r="AT84" s="177" t="s">
        <v>71</v>
      </c>
      <c r="AU84" s="177" t="s">
        <v>72</v>
      </c>
      <c r="AY84" s="176" t="s">
        <v>380</v>
      </c>
      <c r="BK84" s="178">
        <f>BK85+BK117+BK138</f>
        <v>0</v>
      </c>
    </row>
    <row r="85" spans="1:65" s="12" customFormat="1" ht="22.9" customHeight="1">
      <c r="B85" s="165"/>
      <c r="C85" s="166"/>
      <c r="D85" s="167" t="s">
        <v>71</v>
      </c>
      <c r="E85" s="179" t="s">
        <v>79</v>
      </c>
      <c r="F85" s="179" t="s">
        <v>2832</v>
      </c>
      <c r="G85" s="166"/>
      <c r="H85" s="166"/>
      <c r="I85" s="169"/>
      <c r="J85" s="180">
        <f>BK85</f>
        <v>0</v>
      </c>
      <c r="K85" s="166"/>
      <c r="L85" s="171"/>
      <c r="M85" s="172"/>
      <c r="N85" s="173"/>
      <c r="O85" s="173"/>
      <c r="P85" s="174">
        <f>SUM(P86:P116)</f>
        <v>0</v>
      </c>
      <c r="Q85" s="173"/>
      <c r="R85" s="174">
        <f>SUM(R86:R116)</f>
        <v>0</v>
      </c>
      <c r="S85" s="173"/>
      <c r="T85" s="175">
        <f>SUM(T86:T116)</f>
        <v>0</v>
      </c>
      <c r="AR85" s="176" t="s">
        <v>79</v>
      </c>
      <c r="AT85" s="177" t="s">
        <v>71</v>
      </c>
      <c r="AU85" s="177" t="s">
        <v>79</v>
      </c>
      <c r="AY85" s="176" t="s">
        <v>380</v>
      </c>
      <c r="BK85" s="178">
        <f>SUM(BK86:BK116)</f>
        <v>0</v>
      </c>
    </row>
    <row r="86" spans="1:65" s="2" customFormat="1" ht="24.2" customHeight="1">
      <c r="A86" s="36"/>
      <c r="B86" s="37"/>
      <c r="C86" s="181" t="s">
        <v>79</v>
      </c>
      <c r="D86" s="181" t="s">
        <v>382</v>
      </c>
      <c r="E86" s="182" t="s">
        <v>6388</v>
      </c>
      <c r="F86" s="183" t="s">
        <v>6389</v>
      </c>
      <c r="G86" s="184" t="s">
        <v>398</v>
      </c>
      <c r="H86" s="185">
        <v>18</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386</v>
      </c>
      <c r="AT86" s="192" t="s">
        <v>382</v>
      </c>
      <c r="AU86" s="192" t="s">
        <v>82</v>
      </c>
      <c r="AY86" s="19" t="s">
        <v>380</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386</v>
      </c>
      <c r="BM86" s="192" t="s">
        <v>82</v>
      </c>
    </row>
    <row r="87" spans="1:65" s="14" customFormat="1" ht="11.25">
      <c r="B87" s="205"/>
      <c r="C87" s="206"/>
      <c r="D87" s="196" t="s">
        <v>388</v>
      </c>
      <c r="E87" s="207" t="s">
        <v>19</v>
      </c>
      <c r="F87" s="208" t="s">
        <v>6390</v>
      </c>
      <c r="G87" s="206"/>
      <c r="H87" s="209">
        <v>18</v>
      </c>
      <c r="I87" s="210"/>
      <c r="J87" s="206"/>
      <c r="K87" s="206"/>
      <c r="L87" s="211"/>
      <c r="M87" s="212"/>
      <c r="N87" s="213"/>
      <c r="O87" s="213"/>
      <c r="P87" s="213"/>
      <c r="Q87" s="213"/>
      <c r="R87" s="213"/>
      <c r="S87" s="213"/>
      <c r="T87" s="214"/>
      <c r="AT87" s="215" t="s">
        <v>388</v>
      </c>
      <c r="AU87" s="215" t="s">
        <v>82</v>
      </c>
      <c r="AV87" s="14" t="s">
        <v>82</v>
      </c>
      <c r="AW87" s="14" t="s">
        <v>33</v>
      </c>
      <c r="AX87" s="14" t="s">
        <v>72</v>
      </c>
      <c r="AY87" s="215" t="s">
        <v>380</v>
      </c>
    </row>
    <row r="88" spans="1:65" s="15" customFormat="1" ht="11.25">
      <c r="B88" s="216"/>
      <c r="C88" s="217"/>
      <c r="D88" s="196" t="s">
        <v>388</v>
      </c>
      <c r="E88" s="218" t="s">
        <v>19</v>
      </c>
      <c r="F88" s="219" t="s">
        <v>419</v>
      </c>
      <c r="G88" s="217"/>
      <c r="H88" s="220">
        <v>18</v>
      </c>
      <c r="I88" s="221"/>
      <c r="J88" s="217"/>
      <c r="K88" s="217"/>
      <c r="L88" s="222"/>
      <c r="M88" s="223"/>
      <c r="N88" s="224"/>
      <c r="O88" s="224"/>
      <c r="P88" s="224"/>
      <c r="Q88" s="224"/>
      <c r="R88" s="224"/>
      <c r="S88" s="224"/>
      <c r="T88" s="225"/>
      <c r="AT88" s="226" t="s">
        <v>388</v>
      </c>
      <c r="AU88" s="226" t="s">
        <v>82</v>
      </c>
      <c r="AV88" s="15" t="s">
        <v>386</v>
      </c>
      <c r="AW88" s="15" t="s">
        <v>33</v>
      </c>
      <c r="AX88" s="15" t="s">
        <v>79</v>
      </c>
      <c r="AY88" s="226" t="s">
        <v>380</v>
      </c>
    </row>
    <row r="89" spans="1:65" s="2" customFormat="1" ht="24.2" customHeight="1">
      <c r="A89" s="36"/>
      <c r="B89" s="37"/>
      <c r="C89" s="181" t="s">
        <v>82</v>
      </c>
      <c r="D89" s="181" t="s">
        <v>382</v>
      </c>
      <c r="E89" s="182" t="s">
        <v>6391</v>
      </c>
      <c r="F89" s="183" t="s">
        <v>6392</v>
      </c>
      <c r="G89" s="184" t="s">
        <v>385</v>
      </c>
      <c r="H89" s="185">
        <v>7.2</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386</v>
      </c>
      <c r="AT89" s="192" t="s">
        <v>382</v>
      </c>
      <c r="AU89" s="192" t="s">
        <v>82</v>
      </c>
      <c r="AY89" s="19" t="s">
        <v>380</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386</v>
      </c>
      <c r="BM89" s="192" t="s">
        <v>386</v>
      </c>
    </row>
    <row r="90" spans="1:65" s="14" customFormat="1" ht="11.25">
      <c r="B90" s="205"/>
      <c r="C90" s="206"/>
      <c r="D90" s="196" t="s">
        <v>388</v>
      </c>
      <c r="E90" s="207" t="s">
        <v>19</v>
      </c>
      <c r="F90" s="208" t="s">
        <v>6393</v>
      </c>
      <c r="G90" s="206"/>
      <c r="H90" s="209">
        <v>7.2</v>
      </c>
      <c r="I90" s="210"/>
      <c r="J90" s="206"/>
      <c r="K90" s="206"/>
      <c r="L90" s="211"/>
      <c r="M90" s="212"/>
      <c r="N90" s="213"/>
      <c r="O90" s="213"/>
      <c r="P90" s="213"/>
      <c r="Q90" s="213"/>
      <c r="R90" s="213"/>
      <c r="S90" s="213"/>
      <c r="T90" s="214"/>
      <c r="AT90" s="215" t="s">
        <v>388</v>
      </c>
      <c r="AU90" s="215" t="s">
        <v>82</v>
      </c>
      <c r="AV90" s="14" t="s">
        <v>82</v>
      </c>
      <c r="AW90" s="14" t="s">
        <v>33</v>
      </c>
      <c r="AX90" s="14" t="s">
        <v>72</v>
      </c>
      <c r="AY90" s="215" t="s">
        <v>380</v>
      </c>
    </row>
    <row r="91" spans="1:65" s="15" customFormat="1" ht="11.25">
      <c r="B91" s="216"/>
      <c r="C91" s="217"/>
      <c r="D91" s="196" t="s">
        <v>388</v>
      </c>
      <c r="E91" s="218" t="s">
        <v>19</v>
      </c>
      <c r="F91" s="219" t="s">
        <v>419</v>
      </c>
      <c r="G91" s="217"/>
      <c r="H91" s="220">
        <v>7.2</v>
      </c>
      <c r="I91" s="221"/>
      <c r="J91" s="217"/>
      <c r="K91" s="217"/>
      <c r="L91" s="222"/>
      <c r="M91" s="223"/>
      <c r="N91" s="224"/>
      <c r="O91" s="224"/>
      <c r="P91" s="224"/>
      <c r="Q91" s="224"/>
      <c r="R91" s="224"/>
      <c r="S91" s="224"/>
      <c r="T91" s="225"/>
      <c r="AT91" s="226" t="s">
        <v>388</v>
      </c>
      <c r="AU91" s="226" t="s">
        <v>82</v>
      </c>
      <c r="AV91" s="15" t="s">
        <v>386</v>
      </c>
      <c r="AW91" s="15" t="s">
        <v>33</v>
      </c>
      <c r="AX91" s="15" t="s">
        <v>79</v>
      </c>
      <c r="AY91" s="226" t="s">
        <v>380</v>
      </c>
    </row>
    <row r="92" spans="1:65" s="2" customFormat="1" ht="33" customHeight="1">
      <c r="A92" s="36"/>
      <c r="B92" s="37"/>
      <c r="C92" s="181" t="s">
        <v>99</v>
      </c>
      <c r="D92" s="181" t="s">
        <v>382</v>
      </c>
      <c r="E92" s="182" t="s">
        <v>6394</v>
      </c>
      <c r="F92" s="183" t="s">
        <v>6395</v>
      </c>
      <c r="G92" s="184" t="s">
        <v>385</v>
      </c>
      <c r="H92" s="185">
        <v>28.8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386</v>
      </c>
      <c r="AT92" s="192" t="s">
        <v>382</v>
      </c>
      <c r="AU92" s="192" t="s">
        <v>82</v>
      </c>
      <c r="AY92" s="19" t="s">
        <v>380</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386</v>
      </c>
      <c r="BM92" s="192" t="s">
        <v>411</v>
      </c>
    </row>
    <row r="93" spans="1:65" s="14" customFormat="1" ht="11.25">
      <c r="B93" s="205"/>
      <c r="C93" s="206"/>
      <c r="D93" s="196" t="s">
        <v>388</v>
      </c>
      <c r="E93" s="207" t="s">
        <v>19</v>
      </c>
      <c r="F93" s="208" t="s">
        <v>6396</v>
      </c>
      <c r="G93" s="206"/>
      <c r="H93" s="209">
        <v>28.8</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5" customFormat="1" ht="11.25">
      <c r="B94" s="216"/>
      <c r="C94" s="217"/>
      <c r="D94" s="196" t="s">
        <v>388</v>
      </c>
      <c r="E94" s="218" t="s">
        <v>19</v>
      </c>
      <c r="F94" s="219" t="s">
        <v>419</v>
      </c>
      <c r="G94" s="217"/>
      <c r="H94" s="220">
        <v>28.8</v>
      </c>
      <c r="I94" s="221"/>
      <c r="J94" s="217"/>
      <c r="K94" s="217"/>
      <c r="L94" s="222"/>
      <c r="M94" s="223"/>
      <c r="N94" s="224"/>
      <c r="O94" s="224"/>
      <c r="P94" s="224"/>
      <c r="Q94" s="224"/>
      <c r="R94" s="224"/>
      <c r="S94" s="224"/>
      <c r="T94" s="225"/>
      <c r="AT94" s="226" t="s">
        <v>388</v>
      </c>
      <c r="AU94" s="226" t="s">
        <v>82</v>
      </c>
      <c r="AV94" s="15" t="s">
        <v>386</v>
      </c>
      <c r="AW94" s="15" t="s">
        <v>33</v>
      </c>
      <c r="AX94" s="15" t="s">
        <v>79</v>
      </c>
      <c r="AY94" s="226" t="s">
        <v>380</v>
      </c>
    </row>
    <row r="95" spans="1:65" s="2" customFormat="1" ht="24.2" customHeight="1">
      <c r="A95" s="36"/>
      <c r="B95" s="37"/>
      <c r="C95" s="181" t="s">
        <v>386</v>
      </c>
      <c r="D95" s="181" t="s">
        <v>382</v>
      </c>
      <c r="E95" s="182" t="s">
        <v>6397</v>
      </c>
      <c r="F95" s="183" t="s">
        <v>6398</v>
      </c>
      <c r="G95" s="184" t="s">
        <v>398</v>
      </c>
      <c r="H95" s="185">
        <v>57.6</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386</v>
      </c>
      <c r="AT95" s="192" t="s">
        <v>382</v>
      </c>
      <c r="AU95" s="192" t="s">
        <v>82</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386</v>
      </c>
      <c r="BM95" s="192" t="s">
        <v>424</v>
      </c>
    </row>
    <row r="96" spans="1:65" s="14" customFormat="1" ht="11.25">
      <c r="B96" s="205"/>
      <c r="C96" s="206"/>
      <c r="D96" s="196" t="s">
        <v>388</v>
      </c>
      <c r="E96" s="207" t="s">
        <v>19</v>
      </c>
      <c r="F96" s="208" t="s">
        <v>6399</v>
      </c>
      <c r="G96" s="206"/>
      <c r="H96" s="209">
        <v>57.6</v>
      </c>
      <c r="I96" s="210"/>
      <c r="J96" s="206"/>
      <c r="K96" s="206"/>
      <c r="L96" s="211"/>
      <c r="M96" s="212"/>
      <c r="N96" s="213"/>
      <c r="O96" s="213"/>
      <c r="P96" s="213"/>
      <c r="Q96" s="213"/>
      <c r="R96" s="213"/>
      <c r="S96" s="213"/>
      <c r="T96" s="214"/>
      <c r="AT96" s="215" t="s">
        <v>388</v>
      </c>
      <c r="AU96" s="215" t="s">
        <v>82</v>
      </c>
      <c r="AV96" s="14" t="s">
        <v>82</v>
      </c>
      <c r="AW96" s="14" t="s">
        <v>33</v>
      </c>
      <c r="AX96" s="14" t="s">
        <v>72</v>
      </c>
      <c r="AY96" s="215" t="s">
        <v>380</v>
      </c>
    </row>
    <row r="97" spans="1:65" s="15" customFormat="1" ht="11.25">
      <c r="B97" s="216"/>
      <c r="C97" s="217"/>
      <c r="D97" s="196" t="s">
        <v>388</v>
      </c>
      <c r="E97" s="218" t="s">
        <v>19</v>
      </c>
      <c r="F97" s="219" t="s">
        <v>419</v>
      </c>
      <c r="G97" s="217"/>
      <c r="H97" s="220">
        <v>57.6</v>
      </c>
      <c r="I97" s="221"/>
      <c r="J97" s="217"/>
      <c r="K97" s="217"/>
      <c r="L97" s="222"/>
      <c r="M97" s="223"/>
      <c r="N97" s="224"/>
      <c r="O97" s="224"/>
      <c r="P97" s="224"/>
      <c r="Q97" s="224"/>
      <c r="R97" s="224"/>
      <c r="S97" s="224"/>
      <c r="T97" s="225"/>
      <c r="AT97" s="226" t="s">
        <v>388</v>
      </c>
      <c r="AU97" s="226" t="s">
        <v>82</v>
      </c>
      <c r="AV97" s="15" t="s">
        <v>386</v>
      </c>
      <c r="AW97" s="15" t="s">
        <v>33</v>
      </c>
      <c r="AX97" s="15" t="s">
        <v>79</v>
      </c>
      <c r="AY97" s="226" t="s">
        <v>380</v>
      </c>
    </row>
    <row r="98" spans="1:65" s="2" customFormat="1" ht="24.2" customHeight="1">
      <c r="A98" s="36"/>
      <c r="B98" s="37"/>
      <c r="C98" s="181" t="s">
        <v>405</v>
      </c>
      <c r="D98" s="181" t="s">
        <v>382</v>
      </c>
      <c r="E98" s="182" t="s">
        <v>6400</v>
      </c>
      <c r="F98" s="183" t="s">
        <v>6401</v>
      </c>
      <c r="G98" s="184" t="s">
        <v>398</v>
      </c>
      <c r="H98" s="185">
        <v>57.6</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386</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386</v>
      </c>
      <c r="BM98" s="192" t="s">
        <v>122</v>
      </c>
    </row>
    <row r="99" spans="1:65" s="2" customFormat="1" ht="33" customHeight="1">
      <c r="A99" s="36"/>
      <c r="B99" s="37"/>
      <c r="C99" s="181" t="s">
        <v>411</v>
      </c>
      <c r="D99" s="181" t="s">
        <v>382</v>
      </c>
      <c r="E99" s="182" t="s">
        <v>2842</v>
      </c>
      <c r="F99" s="183" t="s">
        <v>2843</v>
      </c>
      <c r="G99" s="184" t="s">
        <v>385</v>
      </c>
      <c r="H99" s="185">
        <v>28.8</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386</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386</v>
      </c>
      <c r="BM99" s="192" t="s">
        <v>128</v>
      </c>
    </row>
    <row r="100" spans="1:65" s="14" customFormat="1" ht="11.25">
      <c r="B100" s="205"/>
      <c r="C100" s="206"/>
      <c r="D100" s="196" t="s">
        <v>388</v>
      </c>
      <c r="E100" s="207" t="s">
        <v>19</v>
      </c>
      <c r="F100" s="208" t="s">
        <v>6396</v>
      </c>
      <c r="G100" s="206"/>
      <c r="H100" s="209">
        <v>28.8</v>
      </c>
      <c r="I100" s="210"/>
      <c r="J100" s="206"/>
      <c r="K100" s="206"/>
      <c r="L100" s="211"/>
      <c r="M100" s="212"/>
      <c r="N100" s="213"/>
      <c r="O100" s="213"/>
      <c r="P100" s="213"/>
      <c r="Q100" s="213"/>
      <c r="R100" s="213"/>
      <c r="S100" s="213"/>
      <c r="T100" s="214"/>
      <c r="AT100" s="215" t="s">
        <v>388</v>
      </c>
      <c r="AU100" s="215" t="s">
        <v>82</v>
      </c>
      <c r="AV100" s="14" t="s">
        <v>82</v>
      </c>
      <c r="AW100" s="14" t="s">
        <v>33</v>
      </c>
      <c r="AX100" s="14" t="s">
        <v>72</v>
      </c>
      <c r="AY100" s="215" t="s">
        <v>380</v>
      </c>
    </row>
    <row r="101" spans="1:65" s="15" customFormat="1" ht="11.25">
      <c r="B101" s="216"/>
      <c r="C101" s="217"/>
      <c r="D101" s="196" t="s">
        <v>388</v>
      </c>
      <c r="E101" s="218" t="s">
        <v>19</v>
      </c>
      <c r="F101" s="219" t="s">
        <v>419</v>
      </c>
      <c r="G101" s="217"/>
      <c r="H101" s="220">
        <v>28.8</v>
      </c>
      <c r="I101" s="221"/>
      <c r="J101" s="217"/>
      <c r="K101" s="217"/>
      <c r="L101" s="222"/>
      <c r="M101" s="223"/>
      <c r="N101" s="224"/>
      <c r="O101" s="224"/>
      <c r="P101" s="224"/>
      <c r="Q101" s="224"/>
      <c r="R101" s="224"/>
      <c r="S101" s="224"/>
      <c r="T101" s="225"/>
      <c r="AT101" s="226" t="s">
        <v>388</v>
      </c>
      <c r="AU101" s="226" t="s">
        <v>82</v>
      </c>
      <c r="AV101" s="15" t="s">
        <v>386</v>
      </c>
      <c r="AW101" s="15" t="s">
        <v>33</v>
      </c>
      <c r="AX101" s="15" t="s">
        <v>79</v>
      </c>
      <c r="AY101" s="226" t="s">
        <v>380</v>
      </c>
    </row>
    <row r="102" spans="1:65" s="2" customFormat="1" ht="37.9" customHeight="1">
      <c r="A102" s="36"/>
      <c r="B102" s="37"/>
      <c r="C102" s="181" t="s">
        <v>420</v>
      </c>
      <c r="D102" s="181" t="s">
        <v>382</v>
      </c>
      <c r="E102" s="182" t="s">
        <v>6121</v>
      </c>
      <c r="F102" s="183" t="s">
        <v>6122</v>
      </c>
      <c r="G102" s="184" t="s">
        <v>385</v>
      </c>
      <c r="H102" s="185">
        <v>7.2450000000000001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386</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386</v>
      </c>
      <c r="BM102" s="192" t="s">
        <v>134</v>
      </c>
    </row>
    <row r="103" spans="1:65" s="14" customFormat="1" ht="11.25">
      <c r="B103" s="205"/>
      <c r="C103" s="206"/>
      <c r="D103" s="196" t="s">
        <v>388</v>
      </c>
      <c r="E103" s="207" t="s">
        <v>19</v>
      </c>
      <c r="F103" s="208" t="s">
        <v>6402</v>
      </c>
      <c r="G103" s="206"/>
      <c r="H103" s="209">
        <v>7.2450000000000001</v>
      </c>
      <c r="I103" s="210"/>
      <c r="J103" s="206"/>
      <c r="K103" s="206"/>
      <c r="L103" s="211"/>
      <c r="M103" s="212"/>
      <c r="N103" s="213"/>
      <c r="O103" s="213"/>
      <c r="P103" s="213"/>
      <c r="Q103" s="213"/>
      <c r="R103" s="213"/>
      <c r="S103" s="213"/>
      <c r="T103" s="214"/>
      <c r="AT103" s="215" t="s">
        <v>388</v>
      </c>
      <c r="AU103" s="215" t="s">
        <v>82</v>
      </c>
      <c r="AV103" s="14" t="s">
        <v>82</v>
      </c>
      <c r="AW103" s="14" t="s">
        <v>33</v>
      </c>
      <c r="AX103" s="14" t="s">
        <v>72</v>
      </c>
      <c r="AY103" s="215" t="s">
        <v>380</v>
      </c>
    </row>
    <row r="104" spans="1:65" s="15" customFormat="1" ht="11.25">
      <c r="B104" s="216"/>
      <c r="C104" s="217"/>
      <c r="D104" s="196" t="s">
        <v>388</v>
      </c>
      <c r="E104" s="218" t="s">
        <v>19</v>
      </c>
      <c r="F104" s="219" t="s">
        <v>419</v>
      </c>
      <c r="G104" s="217"/>
      <c r="H104" s="220">
        <v>7.2450000000000001</v>
      </c>
      <c r="I104" s="221"/>
      <c r="J104" s="217"/>
      <c r="K104" s="217"/>
      <c r="L104" s="222"/>
      <c r="M104" s="223"/>
      <c r="N104" s="224"/>
      <c r="O104" s="224"/>
      <c r="P104" s="224"/>
      <c r="Q104" s="224"/>
      <c r="R104" s="224"/>
      <c r="S104" s="224"/>
      <c r="T104" s="225"/>
      <c r="AT104" s="226" t="s">
        <v>388</v>
      </c>
      <c r="AU104" s="226" t="s">
        <v>82</v>
      </c>
      <c r="AV104" s="15" t="s">
        <v>386</v>
      </c>
      <c r="AW104" s="15" t="s">
        <v>33</v>
      </c>
      <c r="AX104" s="15" t="s">
        <v>79</v>
      </c>
      <c r="AY104" s="226" t="s">
        <v>380</v>
      </c>
    </row>
    <row r="105" spans="1:65" s="2" customFormat="1" ht="37.9" customHeight="1">
      <c r="A105" s="36"/>
      <c r="B105" s="37"/>
      <c r="C105" s="181" t="s">
        <v>424</v>
      </c>
      <c r="D105" s="181" t="s">
        <v>382</v>
      </c>
      <c r="E105" s="182" t="s">
        <v>6403</v>
      </c>
      <c r="F105" s="183" t="s">
        <v>6404</v>
      </c>
      <c r="G105" s="184" t="s">
        <v>385</v>
      </c>
      <c r="H105" s="185">
        <v>16.559999999999999</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386</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386</v>
      </c>
      <c r="BM105" s="192" t="s">
        <v>281</v>
      </c>
    </row>
    <row r="106" spans="1:65" s="14" customFormat="1" ht="11.25">
      <c r="B106" s="205"/>
      <c r="C106" s="206"/>
      <c r="D106" s="196" t="s">
        <v>388</v>
      </c>
      <c r="E106" s="207" t="s">
        <v>19</v>
      </c>
      <c r="F106" s="208" t="s">
        <v>6405</v>
      </c>
      <c r="G106" s="206"/>
      <c r="H106" s="209">
        <v>16.559999999999999</v>
      </c>
      <c r="I106" s="210"/>
      <c r="J106" s="206"/>
      <c r="K106" s="206"/>
      <c r="L106" s="211"/>
      <c r="M106" s="212"/>
      <c r="N106" s="213"/>
      <c r="O106" s="213"/>
      <c r="P106" s="213"/>
      <c r="Q106" s="213"/>
      <c r="R106" s="213"/>
      <c r="S106" s="213"/>
      <c r="T106" s="214"/>
      <c r="AT106" s="215" t="s">
        <v>388</v>
      </c>
      <c r="AU106" s="215" t="s">
        <v>82</v>
      </c>
      <c r="AV106" s="14" t="s">
        <v>82</v>
      </c>
      <c r="AW106" s="14" t="s">
        <v>33</v>
      </c>
      <c r="AX106" s="14" t="s">
        <v>72</v>
      </c>
      <c r="AY106" s="215" t="s">
        <v>380</v>
      </c>
    </row>
    <row r="107" spans="1:65" s="15" customFormat="1" ht="11.25">
      <c r="B107" s="216"/>
      <c r="C107" s="217"/>
      <c r="D107" s="196" t="s">
        <v>388</v>
      </c>
      <c r="E107" s="218" t="s">
        <v>19</v>
      </c>
      <c r="F107" s="219" t="s">
        <v>419</v>
      </c>
      <c r="G107" s="217"/>
      <c r="H107" s="220">
        <v>16.559999999999999</v>
      </c>
      <c r="I107" s="221"/>
      <c r="J107" s="217"/>
      <c r="K107" s="217"/>
      <c r="L107" s="222"/>
      <c r="M107" s="223"/>
      <c r="N107" s="224"/>
      <c r="O107" s="224"/>
      <c r="P107" s="224"/>
      <c r="Q107" s="224"/>
      <c r="R107" s="224"/>
      <c r="S107" s="224"/>
      <c r="T107" s="225"/>
      <c r="AT107" s="226" t="s">
        <v>388</v>
      </c>
      <c r="AU107" s="226" t="s">
        <v>82</v>
      </c>
      <c r="AV107" s="15" t="s">
        <v>386</v>
      </c>
      <c r="AW107" s="15" t="s">
        <v>33</v>
      </c>
      <c r="AX107" s="15" t="s">
        <v>79</v>
      </c>
      <c r="AY107" s="226" t="s">
        <v>380</v>
      </c>
    </row>
    <row r="108" spans="1:65" s="2" customFormat="1" ht="24.2" customHeight="1">
      <c r="A108" s="36"/>
      <c r="B108" s="37"/>
      <c r="C108" s="181" t="s">
        <v>430</v>
      </c>
      <c r="D108" s="181" t="s">
        <v>382</v>
      </c>
      <c r="E108" s="182" t="s">
        <v>440</v>
      </c>
      <c r="F108" s="183" t="s">
        <v>441</v>
      </c>
      <c r="G108" s="184" t="s">
        <v>385</v>
      </c>
      <c r="H108" s="185">
        <v>9.5220000000000002</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477</v>
      </c>
    </row>
    <row r="109" spans="1:65" s="14" customFormat="1" ht="11.25">
      <c r="B109" s="205"/>
      <c r="C109" s="206"/>
      <c r="D109" s="196" t="s">
        <v>388</v>
      </c>
      <c r="E109" s="207" t="s">
        <v>19</v>
      </c>
      <c r="F109" s="208" t="s">
        <v>6406</v>
      </c>
      <c r="G109" s="206"/>
      <c r="H109" s="209">
        <v>9.5220000000000002</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5" customFormat="1" ht="11.25">
      <c r="B110" s="216"/>
      <c r="C110" s="217"/>
      <c r="D110" s="196" t="s">
        <v>388</v>
      </c>
      <c r="E110" s="218" t="s">
        <v>19</v>
      </c>
      <c r="F110" s="219" t="s">
        <v>419</v>
      </c>
      <c r="G110" s="217"/>
      <c r="H110" s="220">
        <v>9.5220000000000002</v>
      </c>
      <c r="I110" s="221"/>
      <c r="J110" s="217"/>
      <c r="K110" s="217"/>
      <c r="L110" s="222"/>
      <c r="M110" s="223"/>
      <c r="N110" s="224"/>
      <c r="O110" s="224"/>
      <c r="P110" s="224"/>
      <c r="Q110" s="224"/>
      <c r="R110" s="224"/>
      <c r="S110" s="224"/>
      <c r="T110" s="225"/>
      <c r="AT110" s="226" t="s">
        <v>388</v>
      </c>
      <c r="AU110" s="226" t="s">
        <v>82</v>
      </c>
      <c r="AV110" s="15" t="s">
        <v>386</v>
      </c>
      <c r="AW110" s="15" t="s">
        <v>33</v>
      </c>
      <c r="AX110" s="15" t="s">
        <v>79</v>
      </c>
      <c r="AY110" s="226" t="s">
        <v>380</v>
      </c>
    </row>
    <row r="111" spans="1:65" s="2" customFormat="1" ht="33" customHeight="1">
      <c r="A111" s="36"/>
      <c r="B111" s="37"/>
      <c r="C111" s="181" t="s">
        <v>122</v>
      </c>
      <c r="D111" s="181" t="s">
        <v>382</v>
      </c>
      <c r="E111" s="182" t="s">
        <v>2848</v>
      </c>
      <c r="F111" s="183" t="s">
        <v>2849</v>
      </c>
      <c r="G111" s="184" t="s">
        <v>385</v>
      </c>
      <c r="H111" s="185">
        <v>10.35</v>
      </c>
      <c r="I111" s="186"/>
      <c r="J111" s="187">
        <f>ROUND(I111*H111,2)</f>
        <v>0</v>
      </c>
      <c r="K111" s="183" t="s">
        <v>19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386</v>
      </c>
      <c r="AT111" s="192" t="s">
        <v>382</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386</v>
      </c>
      <c r="BM111" s="192" t="s">
        <v>486</v>
      </c>
    </row>
    <row r="112" spans="1:65" s="14" customFormat="1" ht="11.25">
      <c r="B112" s="205"/>
      <c r="C112" s="206"/>
      <c r="D112" s="196" t="s">
        <v>388</v>
      </c>
      <c r="E112" s="207" t="s">
        <v>19</v>
      </c>
      <c r="F112" s="208" t="s">
        <v>6407</v>
      </c>
      <c r="G112" s="206"/>
      <c r="H112" s="209">
        <v>10.35</v>
      </c>
      <c r="I112" s="210"/>
      <c r="J112" s="206"/>
      <c r="K112" s="206"/>
      <c r="L112" s="211"/>
      <c r="M112" s="212"/>
      <c r="N112" s="213"/>
      <c r="O112" s="213"/>
      <c r="P112" s="213"/>
      <c r="Q112" s="213"/>
      <c r="R112" s="213"/>
      <c r="S112" s="213"/>
      <c r="T112" s="214"/>
      <c r="AT112" s="215" t="s">
        <v>388</v>
      </c>
      <c r="AU112" s="215" t="s">
        <v>82</v>
      </c>
      <c r="AV112" s="14" t="s">
        <v>82</v>
      </c>
      <c r="AW112" s="14" t="s">
        <v>33</v>
      </c>
      <c r="AX112" s="14" t="s">
        <v>72</v>
      </c>
      <c r="AY112" s="215" t="s">
        <v>380</v>
      </c>
    </row>
    <row r="113" spans="1:65" s="15" customFormat="1" ht="11.25">
      <c r="B113" s="216"/>
      <c r="C113" s="217"/>
      <c r="D113" s="196" t="s">
        <v>388</v>
      </c>
      <c r="E113" s="218" t="s">
        <v>19</v>
      </c>
      <c r="F113" s="219" t="s">
        <v>419</v>
      </c>
      <c r="G113" s="217"/>
      <c r="H113" s="220">
        <v>10.35</v>
      </c>
      <c r="I113" s="221"/>
      <c r="J113" s="217"/>
      <c r="K113" s="217"/>
      <c r="L113" s="222"/>
      <c r="M113" s="223"/>
      <c r="N113" s="224"/>
      <c r="O113" s="224"/>
      <c r="P113" s="224"/>
      <c r="Q113" s="224"/>
      <c r="R113" s="224"/>
      <c r="S113" s="224"/>
      <c r="T113" s="225"/>
      <c r="AT113" s="226" t="s">
        <v>388</v>
      </c>
      <c r="AU113" s="226" t="s">
        <v>82</v>
      </c>
      <c r="AV113" s="15" t="s">
        <v>386</v>
      </c>
      <c r="AW113" s="15" t="s">
        <v>33</v>
      </c>
      <c r="AX113" s="15" t="s">
        <v>79</v>
      </c>
      <c r="AY113" s="226" t="s">
        <v>380</v>
      </c>
    </row>
    <row r="114" spans="1:65" s="2" customFormat="1" ht="16.5" customHeight="1">
      <c r="A114" s="36"/>
      <c r="B114" s="37"/>
      <c r="C114" s="227" t="s">
        <v>125</v>
      </c>
      <c r="D114" s="227" t="s">
        <v>465</v>
      </c>
      <c r="E114" s="228" t="s">
        <v>6408</v>
      </c>
      <c r="F114" s="229" t="s">
        <v>6409</v>
      </c>
      <c r="G114" s="230" t="s">
        <v>437</v>
      </c>
      <c r="H114" s="231">
        <v>20.7</v>
      </c>
      <c r="I114" s="232"/>
      <c r="J114" s="233">
        <f>ROUND(I114*H114,2)</f>
        <v>0</v>
      </c>
      <c r="K114" s="229" t="s">
        <v>19</v>
      </c>
      <c r="L114" s="234"/>
      <c r="M114" s="235" t="s">
        <v>19</v>
      </c>
      <c r="N114" s="236"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424</v>
      </c>
      <c r="AT114" s="192" t="s">
        <v>465</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386</v>
      </c>
      <c r="BM114" s="192" t="s">
        <v>495</v>
      </c>
    </row>
    <row r="115" spans="1:65" s="14" customFormat="1" ht="11.25">
      <c r="B115" s="205"/>
      <c r="C115" s="206"/>
      <c r="D115" s="196" t="s">
        <v>388</v>
      </c>
      <c r="E115" s="207" t="s">
        <v>19</v>
      </c>
      <c r="F115" s="208" t="s">
        <v>6410</v>
      </c>
      <c r="G115" s="206"/>
      <c r="H115" s="209">
        <v>20.7</v>
      </c>
      <c r="I115" s="210"/>
      <c r="J115" s="206"/>
      <c r="K115" s="206"/>
      <c r="L115" s="211"/>
      <c r="M115" s="212"/>
      <c r="N115" s="213"/>
      <c r="O115" s="213"/>
      <c r="P115" s="213"/>
      <c r="Q115" s="213"/>
      <c r="R115" s="213"/>
      <c r="S115" s="213"/>
      <c r="T115" s="214"/>
      <c r="AT115" s="215" t="s">
        <v>388</v>
      </c>
      <c r="AU115" s="215" t="s">
        <v>82</v>
      </c>
      <c r="AV115" s="14" t="s">
        <v>82</v>
      </c>
      <c r="AW115" s="14" t="s">
        <v>33</v>
      </c>
      <c r="AX115" s="14" t="s">
        <v>72</v>
      </c>
      <c r="AY115" s="215" t="s">
        <v>380</v>
      </c>
    </row>
    <row r="116" spans="1:65" s="15" customFormat="1" ht="11.25">
      <c r="B116" s="216"/>
      <c r="C116" s="217"/>
      <c r="D116" s="196" t="s">
        <v>388</v>
      </c>
      <c r="E116" s="218" t="s">
        <v>19</v>
      </c>
      <c r="F116" s="219" t="s">
        <v>419</v>
      </c>
      <c r="G116" s="217"/>
      <c r="H116" s="220">
        <v>20.7</v>
      </c>
      <c r="I116" s="221"/>
      <c r="J116" s="217"/>
      <c r="K116" s="217"/>
      <c r="L116" s="222"/>
      <c r="M116" s="223"/>
      <c r="N116" s="224"/>
      <c r="O116" s="224"/>
      <c r="P116" s="224"/>
      <c r="Q116" s="224"/>
      <c r="R116" s="224"/>
      <c r="S116" s="224"/>
      <c r="T116" s="225"/>
      <c r="AT116" s="226" t="s">
        <v>388</v>
      </c>
      <c r="AU116" s="226" t="s">
        <v>82</v>
      </c>
      <c r="AV116" s="15" t="s">
        <v>386</v>
      </c>
      <c r="AW116" s="15" t="s">
        <v>33</v>
      </c>
      <c r="AX116" s="15" t="s">
        <v>79</v>
      </c>
      <c r="AY116" s="226" t="s">
        <v>380</v>
      </c>
    </row>
    <row r="117" spans="1:65" s="12" customFormat="1" ht="22.9" customHeight="1">
      <c r="B117" s="165"/>
      <c r="C117" s="166"/>
      <c r="D117" s="167" t="s">
        <v>71</v>
      </c>
      <c r="E117" s="179" t="s">
        <v>405</v>
      </c>
      <c r="F117" s="179" t="s">
        <v>6411</v>
      </c>
      <c r="G117" s="166"/>
      <c r="H117" s="166"/>
      <c r="I117" s="169"/>
      <c r="J117" s="180">
        <f>BK117</f>
        <v>0</v>
      </c>
      <c r="K117" s="166"/>
      <c r="L117" s="171"/>
      <c r="M117" s="172"/>
      <c r="N117" s="173"/>
      <c r="O117" s="173"/>
      <c r="P117" s="174">
        <f>SUM(P118:P137)</f>
        <v>0</v>
      </c>
      <c r="Q117" s="173"/>
      <c r="R117" s="174">
        <f>SUM(R118:R137)</f>
        <v>0</v>
      </c>
      <c r="S117" s="173"/>
      <c r="T117" s="175">
        <f>SUM(T118:T137)</f>
        <v>0</v>
      </c>
      <c r="AR117" s="176" t="s">
        <v>79</v>
      </c>
      <c r="AT117" s="177" t="s">
        <v>71</v>
      </c>
      <c r="AU117" s="177" t="s">
        <v>79</v>
      </c>
      <c r="AY117" s="176" t="s">
        <v>380</v>
      </c>
      <c r="BK117" s="178">
        <f>SUM(BK118:BK137)</f>
        <v>0</v>
      </c>
    </row>
    <row r="118" spans="1:65" s="2" customFormat="1" ht="24.2" customHeight="1">
      <c r="A118" s="36"/>
      <c r="B118" s="37"/>
      <c r="C118" s="181" t="s">
        <v>128</v>
      </c>
      <c r="D118" s="181" t="s">
        <v>382</v>
      </c>
      <c r="E118" s="182" t="s">
        <v>6146</v>
      </c>
      <c r="F118" s="183" t="s">
        <v>6147</v>
      </c>
      <c r="G118" s="184" t="s">
        <v>398</v>
      </c>
      <c r="H118" s="185">
        <v>18</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386</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386</v>
      </c>
      <c r="BM118" s="192" t="s">
        <v>505</v>
      </c>
    </row>
    <row r="119" spans="1:65" s="13" customFormat="1" ht="11.25">
      <c r="B119" s="194"/>
      <c r="C119" s="195"/>
      <c r="D119" s="196" t="s">
        <v>388</v>
      </c>
      <c r="E119" s="197" t="s">
        <v>19</v>
      </c>
      <c r="F119" s="198" t="s">
        <v>6412</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4" customFormat="1" ht="11.25">
      <c r="B120" s="205"/>
      <c r="C120" s="206"/>
      <c r="D120" s="196" t="s">
        <v>388</v>
      </c>
      <c r="E120" s="207" t="s">
        <v>19</v>
      </c>
      <c r="F120" s="208" t="s">
        <v>6390</v>
      </c>
      <c r="G120" s="206"/>
      <c r="H120" s="209">
        <v>18</v>
      </c>
      <c r="I120" s="210"/>
      <c r="J120" s="206"/>
      <c r="K120" s="206"/>
      <c r="L120" s="211"/>
      <c r="M120" s="212"/>
      <c r="N120" s="213"/>
      <c r="O120" s="213"/>
      <c r="P120" s="213"/>
      <c r="Q120" s="213"/>
      <c r="R120" s="213"/>
      <c r="S120" s="213"/>
      <c r="T120" s="214"/>
      <c r="AT120" s="215" t="s">
        <v>388</v>
      </c>
      <c r="AU120" s="215" t="s">
        <v>82</v>
      </c>
      <c r="AV120" s="14" t="s">
        <v>82</v>
      </c>
      <c r="AW120" s="14" t="s">
        <v>33</v>
      </c>
      <c r="AX120" s="14" t="s">
        <v>72</v>
      </c>
      <c r="AY120" s="215" t="s">
        <v>380</v>
      </c>
    </row>
    <row r="121" spans="1:65" s="15" customFormat="1" ht="11.25">
      <c r="B121" s="216"/>
      <c r="C121" s="217"/>
      <c r="D121" s="196" t="s">
        <v>388</v>
      </c>
      <c r="E121" s="218" t="s">
        <v>19</v>
      </c>
      <c r="F121" s="219" t="s">
        <v>419</v>
      </c>
      <c r="G121" s="217"/>
      <c r="H121" s="220">
        <v>18</v>
      </c>
      <c r="I121" s="221"/>
      <c r="J121" s="217"/>
      <c r="K121" s="217"/>
      <c r="L121" s="222"/>
      <c r="M121" s="223"/>
      <c r="N121" s="224"/>
      <c r="O121" s="224"/>
      <c r="P121" s="224"/>
      <c r="Q121" s="224"/>
      <c r="R121" s="224"/>
      <c r="S121" s="224"/>
      <c r="T121" s="225"/>
      <c r="AT121" s="226" t="s">
        <v>388</v>
      </c>
      <c r="AU121" s="226" t="s">
        <v>82</v>
      </c>
      <c r="AV121" s="15" t="s">
        <v>386</v>
      </c>
      <c r="AW121" s="15" t="s">
        <v>33</v>
      </c>
      <c r="AX121" s="15" t="s">
        <v>79</v>
      </c>
      <c r="AY121" s="226" t="s">
        <v>380</v>
      </c>
    </row>
    <row r="122" spans="1:65" s="2" customFormat="1" ht="16.5" customHeight="1">
      <c r="A122" s="36"/>
      <c r="B122" s="37"/>
      <c r="C122" s="181" t="s">
        <v>131</v>
      </c>
      <c r="D122" s="181" t="s">
        <v>382</v>
      </c>
      <c r="E122" s="182" t="s">
        <v>6149</v>
      </c>
      <c r="F122" s="183" t="s">
        <v>6150</v>
      </c>
      <c r="G122" s="184" t="s">
        <v>398</v>
      </c>
      <c r="H122" s="185">
        <v>18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386</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386</v>
      </c>
      <c r="BM122" s="192" t="s">
        <v>514</v>
      </c>
    </row>
    <row r="123" spans="1:65" s="13" customFormat="1" ht="11.25">
      <c r="B123" s="194"/>
      <c r="C123" s="195"/>
      <c r="D123" s="196" t="s">
        <v>388</v>
      </c>
      <c r="E123" s="197" t="s">
        <v>19</v>
      </c>
      <c r="F123" s="198" t="s">
        <v>6412</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6390</v>
      </c>
      <c r="G124" s="206"/>
      <c r="H124" s="209">
        <v>18</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5" customFormat="1" ht="11.25">
      <c r="B125" s="216"/>
      <c r="C125" s="217"/>
      <c r="D125" s="196" t="s">
        <v>388</v>
      </c>
      <c r="E125" s="218" t="s">
        <v>19</v>
      </c>
      <c r="F125" s="219" t="s">
        <v>419</v>
      </c>
      <c r="G125" s="217"/>
      <c r="H125" s="220">
        <v>18</v>
      </c>
      <c r="I125" s="221"/>
      <c r="J125" s="217"/>
      <c r="K125" s="217"/>
      <c r="L125" s="222"/>
      <c r="M125" s="223"/>
      <c r="N125" s="224"/>
      <c r="O125" s="224"/>
      <c r="P125" s="224"/>
      <c r="Q125" s="224"/>
      <c r="R125" s="224"/>
      <c r="S125" s="224"/>
      <c r="T125" s="225"/>
      <c r="AT125" s="226" t="s">
        <v>388</v>
      </c>
      <c r="AU125" s="226" t="s">
        <v>82</v>
      </c>
      <c r="AV125" s="15" t="s">
        <v>386</v>
      </c>
      <c r="AW125" s="15" t="s">
        <v>33</v>
      </c>
      <c r="AX125" s="15" t="s">
        <v>79</v>
      </c>
      <c r="AY125" s="226" t="s">
        <v>380</v>
      </c>
    </row>
    <row r="126" spans="1:65" s="2" customFormat="1" ht="16.5" customHeight="1">
      <c r="A126" s="36"/>
      <c r="B126" s="37"/>
      <c r="C126" s="181" t="s">
        <v>134</v>
      </c>
      <c r="D126" s="181" t="s">
        <v>382</v>
      </c>
      <c r="E126" s="182" t="s">
        <v>6413</v>
      </c>
      <c r="F126" s="183" t="s">
        <v>6414</v>
      </c>
      <c r="G126" s="184" t="s">
        <v>398</v>
      </c>
      <c r="H126" s="185">
        <v>18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386</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386</v>
      </c>
      <c r="BM126" s="192" t="s">
        <v>525</v>
      </c>
    </row>
    <row r="127" spans="1:65" s="13" customFormat="1" ht="11.25">
      <c r="B127" s="194"/>
      <c r="C127" s="195"/>
      <c r="D127" s="196" t="s">
        <v>388</v>
      </c>
      <c r="E127" s="197" t="s">
        <v>19</v>
      </c>
      <c r="F127" s="198" t="s">
        <v>6412</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6390</v>
      </c>
      <c r="G128" s="206"/>
      <c r="H128" s="209">
        <v>18</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18</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8</v>
      </c>
      <c r="D130" s="181" t="s">
        <v>382</v>
      </c>
      <c r="E130" s="182" t="s">
        <v>6139</v>
      </c>
      <c r="F130" s="183" t="s">
        <v>6140</v>
      </c>
      <c r="G130" s="184" t="s">
        <v>398</v>
      </c>
      <c r="H130" s="185">
        <v>18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386</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386</v>
      </c>
      <c r="BM130" s="192" t="s">
        <v>534</v>
      </c>
    </row>
    <row r="131" spans="1:65" s="13" customFormat="1" ht="11.25">
      <c r="B131" s="194"/>
      <c r="C131" s="195"/>
      <c r="D131" s="196" t="s">
        <v>388</v>
      </c>
      <c r="E131" s="197" t="s">
        <v>19</v>
      </c>
      <c r="F131" s="198" t="s">
        <v>6412</v>
      </c>
      <c r="G131" s="195"/>
      <c r="H131" s="197" t="s">
        <v>19</v>
      </c>
      <c r="I131" s="199"/>
      <c r="J131" s="195"/>
      <c r="K131" s="195"/>
      <c r="L131" s="200"/>
      <c r="M131" s="201"/>
      <c r="N131" s="202"/>
      <c r="O131" s="202"/>
      <c r="P131" s="202"/>
      <c r="Q131" s="202"/>
      <c r="R131" s="202"/>
      <c r="S131" s="202"/>
      <c r="T131" s="203"/>
      <c r="AT131" s="204" t="s">
        <v>388</v>
      </c>
      <c r="AU131" s="204" t="s">
        <v>82</v>
      </c>
      <c r="AV131" s="13" t="s">
        <v>79</v>
      </c>
      <c r="AW131" s="13" t="s">
        <v>33</v>
      </c>
      <c r="AX131" s="13" t="s">
        <v>72</v>
      </c>
      <c r="AY131" s="204" t="s">
        <v>380</v>
      </c>
    </row>
    <row r="132" spans="1:65" s="14" customFormat="1" ht="11.25">
      <c r="B132" s="205"/>
      <c r="C132" s="206"/>
      <c r="D132" s="196" t="s">
        <v>388</v>
      </c>
      <c r="E132" s="207" t="s">
        <v>19</v>
      </c>
      <c r="F132" s="208" t="s">
        <v>6390</v>
      </c>
      <c r="G132" s="206"/>
      <c r="H132" s="209">
        <v>18</v>
      </c>
      <c r="I132" s="210"/>
      <c r="J132" s="206"/>
      <c r="K132" s="206"/>
      <c r="L132" s="211"/>
      <c r="M132" s="212"/>
      <c r="N132" s="213"/>
      <c r="O132" s="213"/>
      <c r="P132" s="213"/>
      <c r="Q132" s="213"/>
      <c r="R132" s="213"/>
      <c r="S132" s="213"/>
      <c r="T132" s="214"/>
      <c r="AT132" s="215" t="s">
        <v>388</v>
      </c>
      <c r="AU132" s="215" t="s">
        <v>82</v>
      </c>
      <c r="AV132" s="14" t="s">
        <v>82</v>
      </c>
      <c r="AW132" s="14" t="s">
        <v>33</v>
      </c>
      <c r="AX132" s="14" t="s">
        <v>72</v>
      </c>
      <c r="AY132" s="215" t="s">
        <v>380</v>
      </c>
    </row>
    <row r="133" spans="1:65" s="15" customFormat="1" ht="11.25">
      <c r="B133" s="216"/>
      <c r="C133" s="217"/>
      <c r="D133" s="196" t="s">
        <v>388</v>
      </c>
      <c r="E133" s="218" t="s">
        <v>19</v>
      </c>
      <c r="F133" s="219" t="s">
        <v>419</v>
      </c>
      <c r="G133" s="217"/>
      <c r="H133" s="220">
        <v>18</v>
      </c>
      <c r="I133" s="221"/>
      <c r="J133" s="217"/>
      <c r="K133" s="217"/>
      <c r="L133" s="222"/>
      <c r="M133" s="223"/>
      <c r="N133" s="224"/>
      <c r="O133" s="224"/>
      <c r="P133" s="224"/>
      <c r="Q133" s="224"/>
      <c r="R133" s="224"/>
      <c r="S133" s="224"/>
      <c r="T133" s="225"/>
      <c r="AT133" s="226" t="s">
        <v>388</v>
      </c>
      <c r="AU133" s="226" t="s">
        <v>82</v>
      </c>
      <c r="AV133" s="15" t="s">
        <v>386</v>
      </c>
      <c r="AW133" s="15" t="s">
        <v>33</v>
      </c>
      <c r="AX133" s="15" t="s">
        <v>79</v>
      </c>
      <c r="AY133" s="226" t="s">
        <v>380</v>
      </c>
    </row>
    <row r="134" spans="1:65" s="2" customFormat="1" ht="16.5" customHeight="1">
      <c r="A134" s="36"/>
      <c r="B134" s="37"/>
      <c r="C134" s="181" t="s">
        <v>281</v>
      </c>
      <c r="D134" s="181" t="s">
        <v>382</v>
      </c>
      <c r="E134" s="182" t="s">
        <v>6198</v>
      </c>
      <c r="F134" s="183" t="s">
        <v>6199</v>
      </c>
      <c r="G134" s="184" t="s">
        <v>452</v>
      </c>
      <c r="H134" s="185">
        <v>38</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386</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386</v>
      </c>
      <c r="BM134" s="192" t="s">
        <v>546</v>
      </c>
    </row>
    <row r="135" spans="1:65" s="13" customFormat="1" ht="11.25">
      <c r="B135" s="194"/>
      <c r="C135" s="195"/>
      <c r="D135" s="196" t="s">
        <v>388</v>
      </c>
      <c r="E135" s="197" t="s">
        <v>19</v>
      </c>
      <c r="F135" s="198" t="s">
        <v>6412</v>
      </c>
      <c r="G135" s="195"/>
      <c r="H135" s="197" t="s">
        <v>19</v>
      </c>
      <c r="I135" s="199"/>
      <c r="J135" s="195"/>
      <c r="K135" s="195"/>
      <c r="L135" s="200"/>
      <c r="M135" s="201"/>
      <c r="N135" s="202"/>
      <c r="O135" s="202"/>
      <c r="P135" s="202"/>
      <c r="Q135" s="202"/>
      <c r="R135" s="202"/>
      <c r="S135" s="202"/>
      <c r="T135" s="203"/>
      <c r="AT135" s="204" t="s">
        <v>388</v>
      </c>
      <c r="AU135" s="204" t="s">
        <v>82</v>
      </c>
      <c r="AV135" s="13" t="s">
        <v>79</v>
      </c>
      <c r="AW135" s="13" t="s">
        <v>33</v>
      </c>
      <c r="AX135" s="13" t="s">
        <v>72</v>
      </c>
      <c r="AY135" s="204" t="s">
        <v>380</v>
      </c>
    </row>
    <row r="136" spans="1:65" s="14" customFormat="1" ht="11.25">
      <c r="B136" s="205"/>
      <c r="C136" s="206"/>
      <c r="D136" s="196" t="s">
        <v>388</v>
      </c>
      <c r="E136" s="207" t="s">
        <v>19</v>
      </c>
      <c r="F136" s="208" t="s">
        <v>6415</v>
      </c>
      <c r="G136" s="206"/>
      <c r="H136" s="209">
        <v>38</v>
      </c>
      <c r="I136" s="210"/>
      <c r="J136" s="206"/>
      <c r="K136" s="206"/>
      <c r="L136" s="211"/>
      <c r="M136" s="212"/>
      <c r="N136" s="213"/>
      <c r="O136" s="213"/>
      <c r="P136" s="213"/>
      <c r="Q136" s="213"/>
      <c r="R136" s="213"/>
      <c r="S136" s="213"/>
      <c r="T136" s="214"/>
      <c r="AT136" s="215" t="s">
        <v>388</v>
      </c>
      <c r="AU136" s="215" t="s">
        <v>82</v>
      </c>
      <c r="AV136" s="14" t="s">
        <v>82</v>
      </c>
      <c r="AW136" s="14" t="s">
        <v>33</v>
      </c>
      <c r="AX136" s="14" t="s">
        <v>72</v>
      </c>
      <c r="AY136" s="215" t="s">
        <v>380</v>
      </c>
    </row>
    <row r="137" spans="1:65" s="15" customFormat="1" ht="11.25">
      <c r="B137" s="216"/>
      <c r="C137" s="217"/>
      <c r="D137" s="196" t="s">
        <v>388</v>
      </c>
      <c r="E137" s="218" t="s">
        <v>19</v>
      </c>
      <c r="F137" s="219" t="s">
        <v>419</v>
      </c>
      <c r="G137" s="217"/>
      <c r="H137" s="220">
        <v>38</v>
      </c>
      <c r="I137" s="221"/>
      <c r="J137" s="217"/>
      <c r="K137" s="217"/>
      <c r="L137" s="222"/>
      <c r="M137" s="223"/>
      <c r="N137" s="224"/>
      <c r="O137" s="224"/>
      <c r="P137" s="224"/>
      <c r="Q137" s="224"/>
      <c r="R137" s="224"/>
      <c r="S137" s="224"/>
      <c r="T137" s="225"/>
      <c r="AT137" s="226" t="s">
        <v>388</v>
      </c>
      <c r="AU137" s="226" t="s">
        <v>82</v>
      </c>
      <c r="AV137" s="15" t="s">
        <v>386</v>
      </c>
      <c r="AW137" s="15" t="s">
        <v>33</v>
      </c>
      <c r="AX137" s="15" t="s">
        <v>79</v>
      </c>
      <c r="AY137" s="226" t="s">
        <v>380</v>
      </c>
    </row>
    <row r="138" spans="1:65" s="12" customFormat="1" ht="22.9" customHeight="1">
      <c r="B138" s="165"/>
      <c r="C138" s="166"/>
      <c r="D138" s="167" t="s">
        <v>71</v>
      </c>
      <c r="E138" s="179" t="s">
        <v>424</v>
      </c>
      <c r="F138" s="179" t="s">
        <v>2855</v>
      </c>
      <c r="G138" s="166"/>
      <c r="H138" s="166"/>
      <c r="I138" s="169"/>
      <c r="J138" s="180">
        <f>BK138</f>
        <v>0</v>
      </c>
      <c r="K138" s="166"/>
      <c r="L138" s="171"/>
      <c r="M138" s="172"/>
      <c r="N138" s="173"/>
      <c r="O138" s="173"/>
      <c r="P138" s="174">
        <f>SUM(P139:P150)</f>
        <v>0</v>
      </c>
      <c r="Q138" s="173"/>
      <c r="R138" s="174">
        <f>SUM(R139:R150)</f>
        <v>0</v>
      </c>
      <c r="S138" s="173"/>
      <c r="T138" s="175">
        <f>SUM(T139:T150)</f>
        <v>0</v>
      </c>
      <c r="AR138" s="176" t="s">
        <v>79</v>
      </c>
      <c r="AT138" s="177" t="s">
        <v>71</v>
      </c>
      <c r="AU138" s="177" t="s">
        <v>79</v>
      </c>
      <c r="AY138" s="176" t="s">
        <v>380</v>
      </c>
      <c r="BK138" s="178">
        <f>SUM(BK139:BK150)</f>
        <v>0</v>
      </c>
    </row>
    <row r="139" spans="1:65" s="2" customFormat="1" ht="24.2" customHeight="1">
      <c r="A139" s="36"/>
      <c r="B139" s="37"/>
      <c r="C139" s="181" t="s">
        <v>471</v>
      </c>
      <c r="D139" s="181" t="s">
        <v>382</v>
      </c>
      <c r="E139" s="182" t="s">
        <v>6416</v>
      </c>
      <c r="F139" s="183" t="s">
        <v>6417</v>
      </c>
      <c r="G139" s="184" t="s">
        <v>452</v>
      </c>
      <c r="H139" s="185">
        <v>19.803000000000001</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386</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386</v>
      </c>
      <c r="BM139" s="192" t="s">
        <v>556</v>
      </c>
    </row>
    <row r="140" spans="1:65" s="14" customFormat="1" ht="11.25">
      <c r="B140" s="205"/>
      <c r="C140" s="206"/>
      <c r="D140" s="196" t="s">
        <v>388</v>
      </c>
      <c r="E140" s="207" t="s">
        <v>19</v>
      </c>
      <c r="F140" s="208" t="s">
        <v>6418</v>
      </c>
      <c r="G140" s="206"/>
      <c r="H140" s="209">
        <v>19.803000000000001</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5" customFormat="1" ht="11.25">
      <c r="B141" s="216"/>
      <c r="C141" s="217"/>
      <c r="D141" s="196" t="s">
        <v>388</v>
      </c>
      <c r="E141" s="218" t="s">
        <v>19</v>
      </c>
      <c r="F141" s="219" t="s">
        <v>419</v>
      </c>
      <c r="G141" s="217"/>
      <c r="H141" s="220">
        <v>19.803000000000001</v>
      </c>
      <c r="I141" s="221"/>
      <c r="J141" s="217"/>
      <c r="K141" s="217"/>
      <c r="L141" s="222"/>
      <c r="M141" s="223"/>
      <c r="N141" s="224"/>
      <c r="O141" s="224"/>
      <c r="P141" s="224"/>
      <c r="Q141" s="224"/>
      <c r="R141" s="224"/>
      <c r="S141" s="224"/>
      <c r="T141" s="225"/>
      <c r="AT141" s="226" t="s">
        <v>388</v>
      </c>
      <c r="AU141" s="226" t="s">
        <v>82</v>
      </c>
      <c r="AV141" s="15" t="s">
        <v>386</v>
      </c>
      <c r="AW141" s="15" t="s">
        <v>33</v>
      </c>
      <c r="AX141" s="15" t="s">
        <v>79</v>
      </c>
      <c r="AY141" s="226" t="s">
        <v>380</v>
      </c>
    </row>
    <row r="142" spans="1:65" s="2" customFormat="1" ht="16.5" customHeight="1">
      <c r="A142" s="36"/>
      <c r="B142" s="37"/>
      <c r="C142" s="227" t="s">
        <v>477</v>
      </c>
      <c r="D142" s="227" t="s">
        <v>465</v>
      </c>
      <c r="E142" s="228" t="s">
        <v>6419</v>
      </c>
      <c r="F142" s="229" t="s">
        <v>6420</v>
      </c>
      <c r="G142" s="230" t="s">
        <v>452</v>
      </c>
      <c r="H142" s="231">
        <v>19.803000000000001</v>
      </c>
      <c r="I142" s="232"/>
      <c r="J142" s="233">
        <f t="shared" ref="J142:J150" si="0">ROUND(I142*H142,2)</f>
        <v>0</v>
      </c>
      <c r="K142" s="229" t="s">
        <v>19</v>
      </c>
      <c r="L142" s="234"/>
      <c r="M142" s="235" t="s">
        <v>19</v>
      </c>
      <c r="N142" s="236" t="s">
        <v>43</v>
      </c>
      <c r="O142" s="66"/>
      <c r="P142" s="190">
        <f t="shared" ref="P142:P150" si="1">O142*H142</f>
        <v>0</v>
      </c>
      <c r="Q142" s="190">
        <v>0</v>
      </c>
      <c r="R142" s="190">
        <f t="shared" ref="R142:R150" si="2">Q142*H142</f>
        <v>0</v>
      </c>
      <c r="S142" s="190">
        <v>0</v>
      </c>
      <c r="T142" s="191">
        <f t="shared" ref="T142:T150" si="3">S142*H142</f>
        <v>0</v>
      </c>
      <c r="U142" s="36"/>
      <c r="V142" s="36"/>
      <c r="W142" s="36"/>
      <c r="X142" s="36"/>
      <c r="Y142" s="36"/>
      <c r="Z142" s="36"/>
      <c r="AA142" s="36"/>
      <c r="AB142" s="36"/>
      <c r="AC142" s="36"/>
      <c r="AD142" s="36"/>
      <c r="AE142" s="36"/>
      <c r="AR142" s="192" t="s">
        <v>424</v>
      </c>
      <c r="AT142" s="192" t="s">
        <v>465</v>
      </c>
      <c r="AU142" s="192" t="s">
        <v>82</v>
      </c>
      <c r="AY142" s="19" t="s">
        <v>380</v>
      </c>
      <c r="BE142" s="193">
        <f t="shared" ref="BE142:BE150" si="4">IF(N142="základní",J142,0)</f>
        <v>0</v>
      </c>
      <c r="BF142" s="193">
        <f t="shared" ref="BF142:BF150" si="5">IF(N142="snížená",J142,0)</f>
        <v>0</v>
      </c>
      <c r="BG142" s="193">
        <f t="shared" ref="BG142:BG150" si="6">IF(N142="zákl. přenesená",J142,0)</f>
        <v>0</v>
      </c>
      <c r="BH142" s="193">
        <f t="shared" ref="BH142:BH150" si="7">IF(N142="sníž. přenesená",J142,0)</f>
        <v>0</v>
      </c>
      <c r="BI142" s="193">
        <f t="shared" ref="BI142:BI150" si="8">IF(N142="nulová",J142,0)</f>
        <v>0</v>
      </c>
      <c r="BJ142" s="19" t="s">
        <v>79</v>
      </c>
      <c r="BK142" s="193">
        <f t="shared" ref="BK142:BK150" si="9">ROUND(I142*H142,2)</f>
        <v>0</v>
      </c>
      <c r="BL142" s="19" t="s">
        <v>386</v>
      </c>
      <c r="BM142" s="192" t="s">
        <v>579</v>
      </c>
    </row>
    <row r="143" spans="1:65" s="2" customFormat="1" ht="24.2" customHeight="1">
      <c r="A143" s="36"/>
      <c r="B143" s="37"/>
      <c r="C143" s="181" t="s">
        <v>284</v>
      </c>
      <c r="D143" s="181" t="s">
        <v>382</v>
      </c>
      <c r="E143" s="182" t="s">
        <v>6421</v>
      </c>
      <c r="F143" s="183" t="s">
        <v>6422</v>
      </c>
      <c r="G143" s="184" t="s">
        <v>641</v>
      </c>
      <c r="H143" s="185">
        <v>2</v>
      </c>
      <c r="I143" s="186"/>
      <c r="J143" s="187">
        <f t="shared" si="0"/>
        <v>0</v>
      </c>
      <c r="K143" s="183" t="s">
        <v>19</v>
      </c>
      <c r="L143" s="41"/>
      <c r="M143" s="188" t="s">
        <v>19</v>
      </c>
      <c r="N143" s="189" t="s">
        <v>43</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386</v>
      </c>
      <c r="AT143" s="192" t="s">
        <v>382</v>
      </c>
      <c r="AU143" s="192" t="s">
        <v>82</v>
      </c>
      <c r="AY143" s="19" t="s">
        <v>380</v>
      </c>
      <c r="BE143" s="193">
        <f t="shared" si="4"/>
        <v>0</v>
      </c>
      <c r="BF143" s="193">
        <f t="shared" si="5"/>
        <v>0</v>
      </c>
      <c r="BG143" s="193">
        <f t="shared" si="6"/>
        <v>0</v>
      </c>
      <c r="BH143" s="193">
        <f t="shared" si="7"/>
        <v>0</v>
      </c>
      <c r="BI143" s="193">
        <f t="shared" si="8"/>
        <v>0</v>
      </c>
      <c r="BJ143" s="19" t="s">
        <v>79</v>
      </c>
      <c r="BK143" s="193">
        <f t="shared" si="9"/>
        <v>0</v>
      </c>
      <c r="BL143" s="19" t="s">
        <v>386</v>
      </c>
      <c r="BM143" s="192" t="s">
        <v>619</v>
      </c>
    </row>
    <row r="144" spans="1:65" s="2" customFormat="1" ht="16.5" customHeight="1">
      <c r="A144" s="36"/>
      <c r="B144" s="37"/>
      <c r="C144" s="227" t="s">
        <v>486</v>
      </c>
      <c r="D144" s="227" t="s">
        <v>465</v>
      </c>
      <c r="E144" s="228" t="s">
        <v>6423</v>
      </c>
      <c r="F144" s="229" t="s">
        <v>6424</v>
      </c>
      <c r="G144" s="230" t="s">
        <v>641</v>
      </c>
      <c r="H144" s="231">
        <v>2</v>
      </c>
      <c r="I144" s="232"/>
      <c r="J144" s="233">
        <f t="shared" si="0"/>
        <v>0</v>
      </c>
      <c r="K144" s="229" t="s">
        <v>19</v>
      </c>
      <c r="L144" s="234"/>
      <c r="M144" s="235" t="s">
        <v>19</v>
      </c>
      <c r="N144" s="236" t="s">
        <v>43</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424</v>
      </c>
      <c r="AT144" s="192" t="s">
        <v>465</v>
      </c>
      <c r="AU144" s="192" t="s">
        <v>82</v>
      </c>
      <c r="AY144" s="19" t="s">
        <v>380</v>
      </c>
      <c r="BE144" s="193">
        <f t="shared" si="4"/>
        <v>0</v>
      </c>
      <c r="BF144" s="193">
        <f t="shared" si="5"/>
        <v>0</v>
      </c>
      <c r="BG144" s="193">
        <f t="shared" si="6"/>
        <v>0</v>
      </c>
      <c r="BH144" s="193">
        <f t="shared" si="7"/>
        <v>0</v>
      </c>
      <c r="BI144" s="193">
        <f t="shared" si="8"/>
        <v>0</v>
      </c>
      <c r="BJ144" s="19" t="s">
        <v>79</v>
      </c>
      <c r="BK144" s="193">
        <f t="shared" si="9"/>
        <v>0</v>
      </c>
      <c r="BL144" s="19" t="s">
        <v>386</v>
      </c>
      <c r="BM144" s="192" t="s">
        <v>631</v>
      </c>
    </row>
    <row r="145" spans="1:65" s="2" customFormat="1" ht="16.5" customHeight="1">
      <c r="A145" s="36"/>
      <c r="B145" s="37"/>
      <c r="C145" s="181" t="s">
        <v>7</v>
      </c>
      <c r="D145" s="181" t="s">
        <v>382</v>
      </c>
      <c r="E145" s="182" t="s">
        <v>6425</v>
      </c>
      <c r="F145" s="183" t="s">
        <v>6426</v>
      </c>
      <c r="G145" s="184" t="s">
        <v>641</v>
      </c>
      <c r="H145" s="185">
        <v>1</v>
      </c>
      <c r="I145" s="186"/>
      <c r="J145" s="187">
        <f t="shared" si="0"/>
        <v>0</v>
      </c>
      <c r="K145" s="183" t="s">
        <v>19</v>
      </c>
      <c r="L145" s="41"/>
      <c r="M145" s="188" t="s">
        <v>19</v>
      </c>
      <c r="N145" s="189" t="s">
        <v>43</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386</v>
      </c>
      <c r="AT145" s="192" t="s">
        <v>382</v>
      </c>
      <c r="AU145" s="192" t="s">
        <v>82</v>
      </c>
      <c r="AY145" s="19" t="s">
        <v>380</v>
      </c>
      <c r="BE145" s="193">
        <f t="shared" si="4"/>
        <v>0</v>
      </c>
      <c r="BF145" s="193">
        <f t="shared" si="5"/>
        <v>0</v>
      </c>
      <c r="BG145" s="193">
        <f t="shared" si="6"/>
        <v>0</v>
      </c>
      <c r="BH145" s="193">
        <f t="shared" si="7"/>
        <v>0</v>
      </c>
      <c r="BI145" s="193">
        <f t="shared" si="8"/>
        <v>0</v>
      </c>
      <c r="BJ145" s="19" t="s">
        <v>79</v>
      </c>
      <c r="BK145" s="193">
        <f t="shared" si="9"/>
        <v>0</v>
      </c>
      <c r="BL145" s="19" t="s">
        <v>386</v>
      </c>
      <c r="BM145" s="192" t="s">
        <v>644</v>
      </c>
    </row>
    <row r="146" spans="1:65" s="2" customFormat="1" ht="24.2" customHeight="1">
      <c r="A146" s="36"/>
      <c r="B146" s="37"/>
      <c r="C146" s="181" t="s">
        <v>495</v>
      </c>
      <c r="D146" s="181" t="s">
        <v>382</v>
      </c>
      <c r="E146" s="182" t="s">
        <v>6427</v>
      </c>
      <c r="F146" s="183" t="s">
        <v>6428</v>
      </c>
      <c r="G146" s="184" t="s">
        <v>641</v>
      </c>
      <c r="H146" s="185">
        <v>1</v>
      </c>
      <c r="I146" s="186"/>
      <c r="J146" s="187">
        <f t="shared" si="0"/>
        <v>0</v>
      </c>
      <c r="K146" s="183" t="s">
        <v>19</v>
      </c>
      <c r="L146" s="41"/>
      <c r="M146" s="188" t="s">
        <v>19</v>
      </c>
      <c r="N146" s="189" t="s">
        <v>43</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386</v>
      </c>
      <c r="AT146" s="192" t="s">
        <v>382</v>
      </c>
      <c r="AU146" s="192" t="s">
        <v>82</v>
      </c>
      <c r="AY146" s="19" t="s">
        <v>380</v>
      </c>
      <c r="BE146" s="193">
        <f t="shared" si="4"/>
        <v>0</v>
      </c>
      <c r="BF146" s="193">
        <f t="shared" si="5"/>
        <v>0</v>
      </c>
      <c r="BG146" s="193">
        <f t="shared" si="6"/>
        <v>0</v>
      </c>
      <c r="BH146" s="193">
        <f t="shared" si="7"/>
        <v>0</v>
      </c>
      <c r="BI146" s="193">
        <f t="shared" si="8"/>
        <v>0</v>
      </c>
      <c r="BJ146" s="19" t="s">
        <v>79</v>
      </c>
      <c r="BK146" s="193">
        <f t="shared" si="9"/>
        <v>0</v>
      </c>
      <c r="BL146" s="19" t="s">
        <v>386</v>
      </c>
      <c r="BM146" s="192" t="s">
        <v>652</v>
      </c>
    </row>
    <row r="147" spans="1:65" s="2" customFormat="1" ht="16.5" customHeight="1">
      <c r="A147" s="36"/>
      <c r="B147" s="37"/>
      <c r="C147" s="227" t="s">
        <v>500</v>
      </c>
      <c r="D147" s="227" t="s">
        <v>465</v>
      </c>
      <c r="E147" s="228" t="s">
        <v>6429</v>
      </c>
      <c r="F147" s="229" t="s">
        <v>6430</v>
      </c>
      <c r="G147" s="230" t="s">
        <v>641</v>
      </c>
      <c r="H147" s="231">
        <v>1</v>
      </c>
      <c r="I147" s="232"/>
      <c r="J147" s="233">
        <f t="shared" si="0"/>
        <v>0</v>
      </c>
      <c r="K147" s="229" t="s">
        <v>19</v>
      </c>
      <c r="L147" s="234"/>
      <c r="M147" s="235" t="s">
        <v>19</v>
      </c>
      <c r="N147" s="236" t="s">
        <v>43</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424</v>
      </c>
      <c r="AT147" s="192" t="s">
        <v>465</v>
      </c>
      <c r="AU147" s="192" t="s">
        <v>82</v>
      </c>
      <c r="AY147" s="19" t="s">
        <v>380</v>
      </c>
      <c r="BE147" s="193">
        <f t="shared" si="4"/>
        <v>0</v>
      </c>
      <c r="BF147" s="193">
        <f t="shared" si="5"/>
        <v>0</v>
      </c>
      <c r="BG147" s="193">
        <f t="shared" si="6"/>
        <v>0</v>
      </c>
      <c r="BH147" s="193">
        <f t="shared" si="7"/>
        <v>0</v>
      </c>
      <c r="BI147" s="193">
        <f t="shared" si="8"/>
        <v>0</v>
      </c>
      <c r="BJ147" s="19" t="s">
        <v>79</v>
      </c>
      <c r="BK147" s="193">
        <f t="shared" si="9"/>
        <v>0</v>
      </c>
      <c r="BL147" s="19" t="s">
        <v>386</v>
      </c>
      <c r="BM147" s="192" t="s">
        <v>660</v>
      </c>
    </row>
    <row r="148" spans="1:65" s="2" customFormat="1" ht="21.75" customHeight="1">
      <c r="A148" s="36"/>
      <c r="B148" s="37"/>
      <c r="C148" s="227" t="s">
        <v>505</v>
      </c>
      <c r="D148" s="227" t="s">
        <v>465</v>
      </c>
      <c r="E148" s="228" t="s">
        <v>97</v>
      </c>
      <c r="F148" s="229" t="s">
        <v>6431</v>
      </c>
      <c r="G148" s="230" t="s">
        <v>641</v>
      </c>
      <c r="H148" s="231">
        <v>1</v>
      </c>
      <c r="I148" s="232"/>
      <c r="J148" s="233">
        <f t="shared" si="0"/>
        <v>0</v>
      </c>
      <c r="K148" s="229" t="s">
        <v>19</v>
      </c>
      <c r="L148" s="234"/>
      <c r="M148" s="235" t="s">
        <v>19</v>
      </c>
      <c r="N148" s="236" t="s">
        <v>43</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424</v>
      </c>
      <c r="AT148" s="192" t="s">
        <v>465</v>
      </c>
      <c r="AU148" s="192" t="s">
        <v>82</v>
      </c>
      <c r="AY148" s="19" t="s">
        <v>380</v>
      </c>
      <c r="BE148" s="193">
        <f t="shared" si="4"/>
        <v>0</v>
      </c>
      <c r="BF148" s="193">
        <f t="shared" si="5"/>
        <v>0</v>
      </c>
      <c r="BG148" s="193">
        <f t="shared" si="6"/>
        <v>0</v>
      </c>
      <c r="BH148" s="193">
        <f t="shared" si="7"/>
        <v>0</v>
      </c>
      <c r="BI148" s="193">
        <f t="shared" si="8"/>
        <v>0</v>
      </c>
      <c r="BJ148" s="19" t="s">
        <v>79</v>
      </c>
      <c r="BK148" s="193">
        <f t="shared" si="9"/>
        <v>0</v>
      </c>
      <c r="BL148" s="19" t="s">
        <v>386</v>
      </c>
      <c r="BM148" s="192" t="s">
        <v>668</v>
      </c>
    </row>
    <row r="149" spans="1:65" s="2" customFormat="1" ht="16.5" customHeight="1">
      <c r="A149" s="36"/>
      <c r="B149" s="37"/>
      <c r="C149" s="227" t="s">
        <v>509</v>
      </c>
      <c r="D149" s="227" t="s">
        <v>465</v>
      </c>
      <c r="E149" s="228" t="s">
        <v>104</v>
      </c>
      <c r="F149" s="229" t="s">
        <v>6432</v>
      </c>
      <c r="G149" s="230" t="s">
        <v>641</v>
      </c>
      <c r="H149" s="231">
        <v>1</v>
      </c>
      <c r="I149" s="232"/>
      <c r="J149" s="233">
        <f t="shared" si="0"/>
        <v>0</v>
      </c>
      <c r="K149" s="229" t="s">
        <v>19</v>
      </c>
      <c r="L149" s="234"/>
      <c r="M149" s="235" t="s">
        <v>19</v>
      </c>
      <c r="N149" s="236" t="s">
        <v>43</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424</v>
      </c>
      <c r="AT149" s="192" t="s">
        <v>465</v>
      </c>
      <c r="AU149" s="192" t="s">
        <v>82</v>
      </c>
      <c r="AY149" s="19" t="s">
        <v>380</v>
      </c>
      <c r="BE149" s="193">
        <f t="shared" si="4"/>
        <v>0</v>
      </c>
      <c r="BF149" s="193">
        <f t="shared" si="5"/>
        <v>0</v>
      </c>
      <c r="BG149" s="193">
        <f t="shared" si="6"/>
        <v>0</v>
      </c>
      <c r="BH149" s="193">
        <f t="shared" si="7"/>
        <v>0</v>
      </c>
      <c r="BI149" s="193">
        <f t="shared" si="8"/>
        <v>0</v>
      </c>
      <c r="BJ149" s="19" t="s">
        <v>79</v>
      </c>
      <c r="BK149" s="193">
        <f t="shared" si="9"/>
        <v>0</v>
      </c>
      <c r="BL149" s="19" t="s">
        <v>386</v>
      </c>
      <c r="BM149" s="192" t="s">
        <v>677</v>
      </c>
    </row>
    <row r="150" spans="1:65" s="2" customFormat="1" ht="16.5" customHeight="1">
      <c r="A150" s="36"/>
      <c r="B150" s="37"/>
      <c r="C150" s="227" t="s">
        <v>514</v>
      </c>
      <c r="D150" s="227" t="s">
        <v>465</v>
      </c>
      <c r="E150" s="228" t="s">
        <v>107</v>
      </c>
      <c r="F150" s="229" t="s">
        <v>6433</v>
      </c>
      <c r="G150" s="230" t="s">
        <v>641</v>
      </c>
      <c r="H150" s="231">
        <v>1</v>
      </c>
      <c r="I150" s="232"/>
      <c r="J150" s="233">
        <f t="shared" si="0"/>
        <v>0</v>
      </c>
      <c r="K150" s="229" t="s">
        <v>19</v>
      </c>
      <c r="L150" s="234"/>
      <c r="M150" s="264" t="s">
        <v>19</v>
      </c>
      <c r="N150" s="265" t="s">
        <v>43</v>
      </c>
      <c r="O150" s="254"/>
      <c r="P150" s="255">
        <f t="shared" si="1"/>
        <v>0</v>
      </c>
      <c r="Q150" s="255">
        <v>0</v>
      </c>
      <c r="R150" s="255">
        <f t="shared" si="2"/>
        <v>0</v>
      </c>
      <c r="S150" s="255">
        <v>0</v>
      </c>
      <c r="T150" s="256">
        <f t="shared" si="3"/>
        <v>0</v>
      </c>
      <c r="U150" s="36"/>
      <c r="V150" s="36"/>
      <c r="W150" s="36"/>
      <c r="X150" s="36"/>
      <c r="Y150" s="36"/>
      <c r="Z150" s="36"/>
      <c r="AA150" s="36"/>
      <c r="AB150" s="36"/>
      <c r="AC150" s="36"/>
      <c r="AD150" s="36"/>
      <c r="AE150" s="36"/>
      <c r="AR150" s="192" t="s">
        <v>424</v>
      </c>
      <c r="AT150" s="192" t="s">
        <v>465</v>
      </c>
      <c r="AU150" s="192" t="s">
        <v>82</v>
      </c>
      <c r="AY150" s="19" t="s">
        <v>380</v>
      </c>
      <c r="BE150" s="193">
        <f t="shared" si="4"/>
        <v>0</v>
      </c>
      <c r="BF150" s="193">
        <f t="shared" si="5"/>
        <v>0</v>
      </c>
      <c r="BG150" s="193">
        <f t="shared" si="6"/>
        <v>0</v>
      </c>
      <c r="BH150" s="193">
        <f t="shared" si="7"/>
        <v>0</v>
      </c>
      <c r="BI150" s="193">
        <f t="shared" si="8"/>
        <v>0</v>
      </c>
      <c r="BJ150" s="19" t="s">
        <v>79</v>
      </c>
      <c r="BK150" s="193">
        <f t="shared" si="9"/>
        <v>0</v>
      </c>
      <c r="BL150" s="19" t="s">
        <v>386</v>
      </c>
      <c r="BM150" s="192" t="s">
        <v>699</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e4p25o4G23QLWEVVukotXhDaGDGExZBHl/5S7bGg7f3bgMyYZtzVkICxZEQlcbVTg+PZKPVXGGu4bR5Ulq7hkA==" saltValue="ftSqhpsjdJiK+YBcsbuxi+QkcyELXr80j3Vdb+Eh/oZgKUpcK9F0aVGJUQXD4X4gXsCf+dNH13x0JYkZGd72Ng==" spinCount="100000" sheet="1" objects="1" scenarios="1" formatColumns="0" formatRows="0" autoFilter="0"/>
  <autoFilter ref="C82:K150" xr:uid="{00000000-0009-0000-0000-00003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6434</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ROUND((SUM(BE84:BE183)),  2)</f>
        <v>0</v>
      </c>
      <c r="G33" s="36"/>
      <c r="H33" s="36"/>
      <c r="I33" s="127">
        <v>0.21</v>
      </c>
      <c r="J33" s="126">
        <f>ROUND(((SUM(BE84:BE183))*I33),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ROUND((SUM(BF84:BF183)),  2)</f>
        <v>0</v>
      </c>
      <c r="G34" s="36"/>
      <c r="H34" s="36"/>
      <c r="I34" s="127">
        <v>0.15</v>
      </c>
      <c r="J34" s="126">
        <f>ROUND(((SUM(BF84:BF183))*I34),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ROUND((SUM(BG84:BG183)),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ROUND((SUM(BH84:BH183)),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ROUND((SUM(BI84:BI183)),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04 - PŘÍPOJKA METROPOLITNÍ POČÍTAČOVÉ SÍTĚ UP</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6435</v>
      </c>
      <c r="E60" s="146"/>
      <c r="F60" s="146"/>
      <c r="G60" s="146"/>
      <c r="H60" s="146"/>
      <c r="I60" s="146"/>
      <c r="J60" s="147">
        <f>J85</f>
        <v>0</v>
      </c>
      <c r="K60" s="144"/>
      <c r="L60" s="148"/>
    </row>
    <row r="61" spans="1:47" s="9" customFormat="1" ht="24.95" customHeight="1">
      <c r="B61" s="143"/>
      <c r="C61" s="144"/>
      <c r="D61" s="145" t="s">
        <v>6436</v>
      </c>
      <c r="E61" s="146"/>
      <c r="F61" s="146"/>
      <c r="G61" s="146"/>
      <c r="H61" s="146"/>
      <c r="I61" s="146"/>
      <c r="J61" s="147">
        <f>J100</f>
        <v>0</v>
      </c>
      <c r="K61" s="144"/>
      <c r="L61" s="148"/>
    </row>
    <row r="62" spans="1:47" s="9" customFormat="1" ht="24.95" customHeight="1">
      <c r="B62" s="143"/>
      <c r="C62" s="144"/>
      <c r="D62" s="145" t="s">
        <v>6437</v>
      </c>
      <c r="E62" s="146"/>
      <c r="F62" s="146"/>
      <c r="G62" s="146"/>
      <c r="H62" s="146"/>
      <c r="I62" s="146"/>
      <c r="J62" s="147">
        <f>J129</f>
        <v>0</v>
      </c>
      <c r="K62" s="144"/>
      <c r="L62" s="148"/>
    </row>
    <row r="63" spans="1:47" s="9" customFormat="1" ht="24.95" customHeight="1">
      <c r="B63" s="143"/>
      <c r="C63" s="144"/>
      <c r="D63" s="145" t="s">
        <v>6438</v>
      </c>
      <c r="E63" s="146"/>
      <c r="F63" s="146"/>
      <c r="G63" s="146"/>
      <c r="H63" s="146"/>
      <c r="I63" s="146"/>
      <c r="J63" s="147">
        <f>J133</f>
        <v>0</v>
      </c>
      <c r="K63" s="144"/>
      <c r="L63" s="148"/>
    </row>
    <row r="64" spans="1:47" s="9" customFormat="1" ht="24.95" customHeight="1">
      <c r="B64" s="143"/>
      <c r="C64" s="144"/>
      <c r="D64" s="145" t="s">
        <v>6439</v>
      </c>
      <c r="E64" s="146"/>
      <c r="F64" s="146"/>
      <c r="G64" s="146"/>
      <c r="H64" s="146"/>
      <c r="I64" s="146"/>
      <c r="J64" s="147">
        <f>J135</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365</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282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04 - PŘÍPOJKA METROPOLITNÍ POČÍTAČOVÉ SÍTĚ UP</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4. 8. 2021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366</v>
      </c>
      <c r="D83" s="157" t="s">
        <v>57</v>
      </c>
      <c r="E83" s="157" t="s">
        <v>53</v>
      </c>
      <c r="F83" s="157" t="s">
        <v>54</v>
      </c>
      <c r="G83" s="157" t="s">
        <v>367</v>
      </c>
      <c r="H83" s="157" t="s">
        <v>368</v>
      </c>
      <c r="I83" s="157" t="s">
        <v>369</v>
      </c>
      <c r="J83" s="157" t="s">
        <v>334</v>
      </c>
      <c r="K83" s="158" t="s">
        <v>370</v>
      </c>
      <c r="L83" s="159"/>
      <c r="M83" s="70" t="s">
        <v>19</v>
      </c>
      <c r="N83" s="71" t="s">
        <v>42</v>
      </c>
      <c r="O83" s="71" t="s">
        <v>371</v>
      </c>
      <c r="P83" s="71" t="s">
        <v>372</v>
      </c>
      <c r="Q83" s="71" t="s">
        <v>373</v>
      </c>
      <c r="R83" s="71" t="s">
        <v>374</v>
      </c>
      <c r="S83" s="71" t="s">
        <v>375</v>
      </c>
      <c r="T83" s="72" t="s">
        <v>376</v>
      </c>
      <c r="U83" s="154"/>
      <c r="V83" s="154"/>
      <c r="W83" s="154"/>
      <c r="X83" s="154"/>
      <c r="Y83" s="154"/>
      <c r="Z83" s="154"/>
      <c r="AA83" s="154"/>
      <c r="AB83" s="154"/>
      <c r="AC83" s="154"/>
      <c r="AD83" s="154"/>
      <c r="AE83" s="154"/>
    </row>
    <row r="84" spans="1:65" s="2" customFormat="1" ht="22.9" customHeight="1">
      <c r="A84" s="36"/>
      <c r="B84" s="37"/>
      <c r="C84" s="77" t="s">
        <v>377</v>
      </c>
      <c r="D84" s="38"/>
      <c r="E84" s="38"/>
      <c r="F84" s="38"/>
      <c r="G84" s="38"/>
      <c r="H84" s="38"/>
      <c r="I84" s="38"/>
      <c r="J84" s="160">
        <f>BK84</f>
        <v>0</v>
      </c>
      <c r="K84" s="38"/>
      <c r="L84" s="41"/>
      <c r="M84" s="73"/>
      <c r="N84" s="161"/>
      <c r="O84" s="74"/>
      <c r="P84" s="162">
        <f>P85+P100+P129+P133+P135</f>
        <v>0</v>
      </c>
      <c r="Q84" s="74"/>
      <c r="R84" s="162">
        <f>R85+R100+R129+R133+R135</f>
        <v>0</v>
      </c>
      <c r="S84" s="74"/>
      <c r="T84" s="163">
        <f>T85+T100+T129+T133+T135</f>
        <v>0</v>
      </c>
      <c r="U84" s="36"/>
      <c r="V84" s="36"/>
      <c r="W84" s="36"/>
      <c r="X84" s="36"/>
      <c r="Y84" s="36"/>
      <c r="Z84" s="36"/>
      <c r="AA84" s="36"/>
      <c r="AB84" s="36"/>
      <c r="AC84" s="36"/>
      <c r="AD84" s="36"/>
      <c r="AE84" s="36"/>
      <c r="AT84" s="19" t="s">
        <v>71</v>
      </c>
      <c r="AU84" s="19" t="s">
        <v>335</v>
      </c>
      <c r="BK84" s="164">
        <f>BK85+BK100+BK129+BK133+BK135</f>
        <v>0</v>
      </c>
    </row>
    <row r="85" spans="1:65" s="12" customFormat="1" ht="25.9" customHeight="1">
      <c r="B85" s="165"/>
      <c r="C85" s="166"/>
      <c r="D85" s="167" t="s">
        <v>71</v>
      </c>
      <c r="E85" s="168" t="s">
        <v>4693</v>
      </c>
      <c r="F85" s="168" t="s">
        <v>6440</v>
      </c>
      <c r="G85" s="166"/>
      <c r="H85" s="166"/>
      <c r="I85" s="169"/>
      <c r="J85" s="170">
        <f>BK85</f>
        <v>0</v>
      </c>
      <c r="K85" s="166"/>
      <c r="L85" s="171"/>
      <c r="M85" s="172"/>
      <c r="N85" s="173"/>
      <c r="O85" s="173"/>
      <c r="P85" s="174">
        <f>SUM(P86:P99)</f>
        <v>0</v>
      </c>
      <c r="Q85" s="173"/>
      <c r="R85" s="174">
        <f>SUM(R86:R99)</f>
        <v>0</v>
      </c>
      <c r="S85" s="173"/>
      <c r="T85" s="175">
        <f>SUM(T86:T99)</f>
        <v>0</v>
      </c>
      <c r="AR85" s="176" t="s">
        <v>79</v>
      </c>
      <c r="AT85" s="177" t="s">
        <v>71</v>
      </c>
      <c r="AU85" s="177" t="s">
        <v>72</v>
      </c>
      <c r="AY85" s="176" t="s">
        <v>380</v>
      </c>
      <c r="BK85" s="178">
        <f>SUM(BK86:BK99)</f>
        <v>0</v>
      </c>
    </row>
    <row r="86" spans="1:65" s="2" customFormat="1" ht="16.5" customHeight="1">
      <c r="A86" s="36"/>
      <c r="B86" s="37"/>
      <c r="C86" s="181" t="s">
        <v>79</v>
      </c>
      <c r="D86" s="181" t="s">
        <v>382</v>
      </c>
      <c r="E86" s="182" t="s">
        <v>6441</v>
      </c>
      <c r="F86" s="183" t="s">
        <v>6442</v>
      </c>
      <c r="G86" s="184" t="s">
        <v>452</v>
      </c>
      <c r="H86" s="185">
        <v>12</v>
      </c>
      <c r="I86" s="186"/>
      <c r="J86" s="187">
        <f t="shared" ref="J86:J99" si="0">ROUND(I86*H86,2)</f>
        <v>0</v>
      </c>
      <c r="K86" s="183" t="s">
        <v>19</v>
      </c>
      <c r="L86" s="41"/>
      <c r="M86" s="188" t="s">
        <v>19</v>
      </c>
      <c r="N86" s="189" t="s">
        <v>43</v>
      </c>
      <c r="O86" s="66"/>
      <c r="P86" s="190">
        <f t="shared" ref="P86:P99" si="1">O86*H86</f>
        <v>0</v>
      </c>
      <c r="Q86" s="190">
        <v>0</v>
      </c>
      <c r="R86" s="190">
        <f t="shared" ref="R86:R99" si="2">Q86*H86</f>
        <v>0</v>
      </c>
      <c r="S86" s="190">
        <v>0</v>
      </c>
      <c r="T86" s="191">
        <f t="shared" ref="T86:T99" si="3">S86*H86</f>
        <v>0</v>
      </c>
      <c r="U86" s="36"/>
      <c r="V86" s="36"/>
      <c r="W86" s="36"/>
      <c r="X86" s="36"/>
      <c r="Y86" s="36"/>
      <c r="Z86" s="36"/>
      <c r="AA86" s="36"/>
      <c r="AB86" s="36"/>
      <c r="AC86" s="36"/>
      <c r="AD86" s="36"/>
      <c r="AE86" s="36"/>
      <c r="AR86" s="192" t="s">
        <v>386</v>
      </c>
      <c r="AT86" s="192" t="s">
        <v>382</v>
      </c>
      <c r="AU86" s="192" t="s">
        <v>79</v>
      </c>
      <c r="AY86" s="19" t="s">
        <v>380</v>
      </c>
      <c r="BE86" s="193">
        <f t="shared" ref="BE86:BE99" si="4">IF(N86="základní",J86,0)</f>
        <v>0</v>
      </c>
      <c r="BF86" s="193">
        <f t="shared" ref="BF86:BF99" si="5">IF(N86="snížená",J86,0)</f>
        <v>0</v>
      </c>
      <c r="BG86" s="193">
        <f t="shared" ref="BG86:BG99" si="6">IF(N86="zákl. přenesená",J86,0)</f>
        <v>0</v>
      </c>
      <c r="BH86" s="193">
        <f t="shared" ref="BH86:BH99" si="7">IF(N86="sníž. přenesená",J86,0)</f>
        <v>0</v>
      </c>
      <c r="BI86" s="193">
        <f t="shared" ref="BI86:BI99" si="8">IF(N86="nulová",J86,0)</f>
        <v>0</v>
      </c>
      <c r="BJ86" s="19" t="s">
        <v>79</v>
      </c>
      <c r="BK86" s="193">
        <f t="shared" ref="BK86:BK99" si="9">ROUND(I86*H86,2)</f>
        <v>0</v>
      </c>
      <c r="BL86" s="19" t="s">
        <v>386</v>
      </c>
      <c r="BM86" s="192" t="s">
        <v>82</v>
      </c>
    </row>
    <row r="87" spans="1:65" s="2" customFormat="1" ht="16.5" customHeight="1">
      <c r="A87" s="36"/>
      <c r="B87" s="37"/>
      <c r="C87" s="181" t="s">
        <v>82</v>
      </c>
      <c r="D87" s="181" t="s">
        <v>382</v>
      </c>
      <c r="E87" s="182" t="s">
        <v>6443</v>
      </c>
      <c r="F87" s="183" t="s">
        <v>6444</v>
      </c>
      <c r="G87" s="184" t="s">
        <v>452</v>
      </c>
      <c r="H87" s="185">
        <v>50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386</v>
      </c>
      <c r="AT87" s="192" t="s">
        <v>382</v>
      </c>
      <c r="AU87" s="192" t="s">
        <v>79</v>
      </c>
      <c r="AY87" s="19" t="s">
        <v>380</v>
      </c>
      <c r="BE87" s="193">
        <f t="shared" si="4"/>
        <v>0</v>
      </c>
      <c r="BF87" s="193">
        <f t="shared" si="5"/>
        <v>0</v>
      </c>
      <c r="BG87" s="193">
        <f t="shared" si="6"/>
        <v>0</v>
      </c>
      <c r="BH87" s="193">
        <f t="shared" si="7"/>
        <v>0</v>
      </c>
      <c r="BI87" s="193">
        <f t="shared" si="8"/>
        <v>0</v>
      </c>
      <c r="BJ87" s="19" t="s">
        <v>79</v>
      </c>
      <c r="BK87" s="193">
        <f t="shared" si="9"/>
        <v>0</v>
      </c>
      <c r="BL87" s="19" t="s">
        <v>386</v>
      </c>
      <c r="BM87" s="192" t="s">
        <v>386</v>
      </c>
    </row>
    <row r="88" spans="1:65" s="2" customFormat="1" ht="16.5" customHeight="1">
      <c r="A88" s="36"/>
      <c r="B88" s="37"/>
      <c r="C88" s="181" t="s">
        <v>99</v>
      </c>
      <c r="D88" s="181" t="s">
        <v>382</v>
      </c>
      <c r="E88" s="182" t="s">
        <v>6445</v>
      </c>
      <c r="F88" s="183" t="s">
        <v>6446</v>
      </c>
      <c r="G88" s="184" t="s">
        <v>452</v>
      </c>
      <c r="H88" s="185">
        <v>44</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386</v>
      </c>
      <c r="AT88" s="192" t="s">
        <v>382</v>
      </c>
      <c r="AU88" s="192" t="s">
        <v>79</v>
      </c>
      <c r="AY88" s="19" t="s">
        <v>380</v>
      </c>
      <c r="BE88" s="193">
        <f t="shared" si="4"/>
        <v>0</v>
      </c>
      <c r="BF88" s="193">
        <f t="shared" si="5"/>
        <v>0</v>
      </c>
      <c r="BG88" s="193">
        <f t="shared" si="6"/>
        <v>0</v>
      </c>
      <c r="BH88" s="193">
        <f t="shared" si="7"/>
        <v>0</v>
      </c>
      <c r="BI88" s="193">
        <f t="shared" si="8"/>
        <v>0</v>
      </c>
      <c r="BJ88" s="19" t="s">
        <v>79</v>
      </c>
      <c r="BK88" s="193">
        <f t="shared" si="9"/>
        <v>0</v>
      </c>
      <c r="BL88" s="19" t="s">
        <v>386</v>
      </c>
      <c r="BM88" s="192" t="s">
        <v>411</v>
      </c>
    </row>
    <row r="89" spans="1:65" s="2" customFormat="1" ht="16.5" customHeight="1">
      <c r="A89" s="36"/>
      <c r="B89" s="37"/>
      <c r="C89" s="181" t="s">
        <v>386</v>
      </c>
      <c r="D89" s="181" t="s">
        <v>382</v>
      </c>
      <c r="E89" s="182" t="s">
        <v>6447</v>
      </c>
      <c r="F89" s="183" t="s">
        <v>6448</v>
      </c>
      <c r="G89" s="184" t="s">
        <v>2393</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386</v>
      </c>
      <c r="AT89" s="192" t="s">
        <v>382</v>
      </c>
      <c r="AU89" s="192" t="s">
        <v>79</v>
      </c>
      <c r="AY89" s="19" t="s">
        <v>380</v>
      </c>
      <c r="BE89" s="193">
        <f t="shared" si="4"/>
        <v>0</v>
      </c>
      <c r="BF89" s="193">
        <f t="shared" si="5"/>
        <v>0</v>
      </c>
      <c r="BG89" s="193">
        <f t="shared" si="6"/>
        <v>0</v>
      </c>
      <c r="BH89" s="193">
        <f t="shared" si="7"/>
        <v>0</v>
      </c>
      <c r="BI89" s="193">
        <f t="shared" si="8"/>
        <v>0</v>
      </c>
      <c r="BJ89" s="19" t="s">
        <v>79</v>
      </c>
      <c r="BK89" s="193">
        <f t="shared" si="9"/>
        <v>0</v>
      </c>
      <c r="BL89" s="19" t="s">
        <v>386</v>
      </c>
      <c r="BM89" s="192" t="s">
        <v>424</v>
      </c>
    </row>
    <row r="90" spans="1:65" s="2" customFormat="1" ht="16.5" customHeight="1">
      <c r="A90" s="36"/>
      <c r="B90" s="37"/>
      <c r="C90" s="181" t="s">
        <v>405</v>
      </c>
      <c r="D90" s="181" t="s">
        <v>382</v>
      </c>
      <c r="E90" s="182" t="s">
        <v>6449</v>
      </c>
      <c r="F90" s="183" t="s">
        <v>6450</v>
      </c>
      <c r="G90" s="184" t="s">
        <v>2393</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386</v>
      </c>
      <c r="AT90" s="192" t="s">
        <v>382</v>
      </c>
      <c r="AU90" s="192" t="s">
        <v>79</v>
      </c>
      <c r="AY90" s="19" t="s">
        <v>380</v>
      </c>
      <c r="BE90" s="193">
        <f t="shared" si="4"/>
        <v>0</v>
      </c>
      <c r="BF90" s="193">
        <f t="shared" si="5"/>
        <v>0</v>
      </c>
      <c r="BG90" s="193">
        <f t="shared" si="6"/>
        <v>0</v>
      </c>
      <c r="BH90" s="193">
        <f t="shared" si="7"/>
        <v>0</v>
      </c>
      <c r="BI90" s="193">
        <f t="shared" si="8"/>
        <v>0</v>
      </c>
      <c r="BJ90" s="19" t="s">
        <v>79</v>
      </c>
      <c r="BK90" s="193">
        <f t="shared" si="9"/>
        <v>0</v>
      </c>
      <c r="BL90" s="19" t="s">
        <v>386</v>
      </c>
      <c r="BM90" s="192" t="s">
        <v>122</v>
      </c>
    </row>
    <row r="91" spans="1:65" s="2" customFormat="1" ht="16.5" customHeight="1">
      <c r="A91" s="36"/>
      <c r="B91" s="37"/>
      <c r="C91" s="181" t="s">
        <v>411</v>
      </c>
      <c r="D91" s="181" t="s">
        <v>382</v>
      </c>
      <c r="E91" s="182" t="s">
        <v>6451</v>
      </c>
      <c r="F91" s="183" t="s">
        <v>6452</v>
      </c>
      <c r="G91" s="184" t="s">
        <v>2393</v>
      </c>
      <c r="H91" s="185">
        <v>4</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386</v>
      </c>
      <c r="AT91" s="192" t="s">
        <v>382</v>
      </c>
      <c r="AU91" s="192" t="s">
        <v>79</v>
      </c>
      <c r="AY91" s="19" t="s">
        <v>380</v>
      </c>
      <c r="BE91" s="193">
        <f t="shared" si="4"/>
        <v>0</v>
      </c>
      <c r="BF91" s="193">
        <f t="shared" si="5"/>
        <v>0</v>
      </c>
      <c r="BG91" s="193">
        <f t="shared" si="6"/>
        <v>0</v>
      </c>
      <c r="BH91" s="193">
        <f t="shared" si="7"/>
        <v>0</v>
      </c>
      <c r="BI91" s="193">
        <f t="shared" si="8"/>
        <v>0</v>
      </c>
      <c r="BJ91" s="19" t="s">
        <v>79</v>
      </c>
      <c r="BK91" s="193">
        <f t="shared" si="9"/>
        <v>0</v>
      </c>
      <c r="BL91" s="19" t="s">
        <v>386</v>
      </c>
      <c r="BM91" s="192" t="s">
        <v>128</v>
      </c>
    </row>
    <row r="92" spans="1:65" s="2" customFormat="1" ht="16.5" customHeight="1">
      <c r="A92" s="36"/>
      <c r="B92" s="37"/>
      <c r="C92" s="181" t="s">
        <v>420</v>
      </c>
      <c r="D92" s="181" t="s">
        <v>382</v>
      </c>
      <c r="E92" s="182" t="s">
        <v>6453</v>
      </c>
      <c r="F92" s="183" t="s">
        <v>6454</v>
      </c>
      <c r="G92" s="184" t="s">
        <v>452</v>
      </c>
      <c r="H92" s="185">
        <v>98</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386</v>
      </c>
      <c r="AT92" s="192" t="s">
        <v>382</v>
      </c>
      <c r="AU92" s="192" t="s">
        <v>79</v>
      </c>
      <c r="AY92" s="19" t="s">
        <v>380</v>
      </c>
      <c r="BE92" s="193">
        <f t="shared" si="4"/>
        <v>0</v>
      </c>
      <c r="BF92" s="193">
        <f t="shared" si="5"/>
        <v>0</v>
      </c>
      <c r="BG92" s="193">
        <f t="shared" si="6"/>
        <v>0</v>
      </c>
      <c r="BH92" s="193">
        <f t="shared" si="7"/>
        <v>0</v>
      </c>
      <c r="BI92" s="193">
        <f t="shared" si="8"/>
        <v>0</v>
      </c>
      <c r="BJ92" s="19" t="s">
        <v>79</v>
      </c>
      <c r="BK92" s="193">
        <f t="shared" si="9"/>
        <v>0</v>
      </c>
      <c r="BL92" s="19" t="s">
        <v>386</v>
      </c>
      <c r="BM92" s="192" t="s">
        <v>134</v>
      </c>
    </row>
    <row r="93" spans="1:65" s="2" customFormat="1" ht="16.5" customHeight="1">
      <c r="A93" s="36"/>
      <c r="B93" s="37"/>
      <c r="C93" s="181" t="s">
        <v>424</v>
      </c>
      <c r="D93" s="181" t="s">
        <v>382</v>
      </c>
      <c r="E93" s="182" t="s">
        <v>6455</v>
      </c>
      <c r="F93" s="183" t="s">
        <v>6456</v>
      </c>
      <c r="G93" s="184" t="s">
        <v>452</v>
      </c>
      <c r="H93" s="185">
        <v>46</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386</v>
      </c>
      <c r="AT93" s="192" t="s">
        <v>382</v>
      </c>
      <c r="AU93" s="192" t="s">
        <v>79</v>
      </c>
      <c r="AY93" s="19" t="s">
        <v>380</v>
      </c>
      <c r="BE93" s="193">
        <f t="shared" si="4"/>
        <v>0</v>
      </c>
      <c r="BF93" s="193">
        <f t="shared" si="5"/>
        <v>0</v>
      </c>
      <c r="BG93" s="193">
        <f t="shared" si="6"/>
        <v>0</v>
      </c>
      <c r="BH93" s="193">
        <f t="shared" si="7"/>
        <v>0</v>
      </c>
      <c r="BI93" s="193">
        <f t="shared" si="8"/>
        <v>0</v>
      </c>
      <c r="BJ93" s="19" t="s">
        <v>79</v>
      </c>
      <c r="BK93" s="193">
        <f t="shared" si="9"/>
        <v>0</v>
      </c>
      <c r="BL93" s="19" t="s">
        <v>386</v>
      </c>
      <c r="BM93" s="192" t="s">
        <v>281</v>
      </c>
    </row>
    <row r="94" spans="1:65" s="2" customFormat="1" ht="16.5" customHeight="1">
      <c r="A94" s="36"/>
      <c r="B94" s="37"/>
      <c r="C94" s="181" t="s">
        <v>430</v>
      </c>
      <c r="D94" s="181" t="s">
        <v>382</v>
      </c>
      <c r="E94" s="182" t="s">
        <v>6457</v>
      </c>
      <c r="F94" s="183" t="s">
        <v>6458</v>
      </c>
      <c r="G94" s="184" t="s">
        <v>452</v>
      </c>
      <c r="H94" s="185">
        <v>22</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386</v>
      </c>
      <c r="AT94" s="192" t="s">
        <v>382</v>
      </c>
      <c r="AU94" s="192" t="s">
        <v>79</v>
      </c>
      <c r="AY94" s="19" t="s">
        <v>380</v>
      </c>
      <c r="BE94" s="193">
        <f t="shared" si="4"/>
        <v>0</v>
      </c>
      <c r="BF94" s="193">
        <f t="shared" si="5"/>
        <v>0</v>
      </c>
      <c r="BG94" s="193">
        <f t="shared" si="6"/>
        <v>0</v>
      </c>
      <c r="BH94" s="193">
        <f t="shared" si="7"/>
        <v>0</v>
      </c>
      <c r="BI94" s="193">
        <f t="shared" si="8"/>
        <v>0</v>
      </c>
      <c r="BJ94" s="19" t="s">
        <v>79</v>
      </c>
      <c r="BK94" s="193">
        <f t="shared" si="9"/>
        <v>0</v>
      </c>
      <c r="BL94" s="19" t="s">
        <v>386</v>
      </c>
      <c r="BM94" s="192" t="s">
        <v>477</v>
      </c>
    </row>
    <row r="95" spans="1:65" s="2" customFormat="1" ht="16.5" customHeight="1">
      <c r="A95" s="36"/>
      <c r="B95" s="37"/>
      <c r="C95" s="181" t="s">
        <v>122</v>
      </c>
      <c r="D95" s="181" t="s">
        <v>382</v>
      </c>
      <c r="E95" s="182" t="s">
        <v>6459</v>
      </c>
      <c r="F95" s="183" t="s">
        <v>6460</v>
      </c>
      <c r="G95" s="184" t="s">
        <v>452</v>
      </c>
      <c r="H95" s="185">
        <v>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386</v>
      </c>
      <c r="AT95" s="192" t="s">
        <v>382</v>
      </c>
      <c r="AU95" s="192" t="s">
        <v>79</v>
      </c>
      <c r="AY95" s="19" t="s">
        <v>380</v>
      </c>
      <c r="BE95" s="193">
        <f t="shared" si="4"/>
        <v>0</v>
      </c>
      <c r="BF95" s="193">
        <f t="shared" si="5"/>
        <v>0</v>
      </c>
      <c r="BG95" s="193">
        <f t="shared" si="6"/>
        <v>0</v>
      </c>
      <c r="BH95" s="193">
        <f t="shared" si="7"/>
        <v>0</v>
      </c>
      <c r="BI95" s="193">
        <f t="shared" si="8"/>
        <v>0</v>
      </c>
      <c r="BJ95" s="19" t="s">
        <v>79</v>
      </c>
      <c r="BK95" s="193">
        <f t="shared" si="9"/>
        <v>0</v>
      </c>
      <c r="BL95" s="19" t="s">
        <v>386</v>
      </c>
      <c r="BM95" s="192" t="s">
        <v>486</v>
      </c>
    </row>
    <row r="96" spans="1:65" s="2" customFormat="1" ht="16.5" customHeight="1">
      <c r="A96" s="36"/>
      <c r="B96" s="37"/>
      <c r="C96" s="181" t="s">
        <v>125</v>
      </c>
      <c r="D96" s="181" t="s">
        <v>382</v>
      </c>
      <c r="E96" s="182" t="s">
        <v>6461</v>
      </c>
      <c r="F96" s="183" t="s">
        <v>6462</v>
      </c>
      <c r="G96" s="184" t="s">
        <v>452</v>
      </c>
      <c r="H96" s="185">
        <v>10</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386</v>
      </c>
      <c r="AT96" s="192" t="s">
        <v>382</v>
      </c>
      <c r="AU96" s="192" t="s">
        <v>79</v>
      </c>
      <c r="AY96" s="19" t="s">
        <v>380</v>
      </c>
      <c r="BE96" s="193">
        <f t="shared" si="4"/>
        <v>0</v>
      </c>
      <c r="BF96" s="193">
        <f t="shared" si="5"/>
        <v>0</v>
      </c>
      <c r="BG96" s="193">
        <f t="shared" si="6"/>
        <v>0</v>
      </c>
      <c r="BH96" s="193">
        <f t="shared" si="7"/>
        <v>0</v>
      </c>
      <c r="BI96" s="193">
        <f t="shared" si="8"/>
        <v>0</v>
      </c>
      <c r="BJ96" s="19" t="s">
        <v>79</v>
      </c>
      <c r="BK96" s="193">
        <f t="shared" si="9"/>
        <v>0</v>
      </c>
      <c r="BL96" s="19" t="s">
        <v>386</v>
      </c>
      <c r="BM96" s="192" t="s">
        <v>495</v>
      </c>
    </row>
    <row r="97" spans="1:65" s="2" customFormat="1" ht="16.5" customHeight="1">
      <c r="A97" s="36"/>
      <c r="B97" s="37"/>
      <c r="C97" s="181" t="s">
        <v>128</v>
      </c>
      <c r="D97" s="181" t="s">
        <v>382</v>
      </c>
      <c r="E97" s="182" t="s">
        <v>6463</v>
      </c>
      <c r="F97" s="183" t="s">
        <v>6464</v>
      </c>
      <c r="G97" s="184" t="s">
        <v>452</v>
      </c>
      <c r="H97" s="185">
        <v>170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386</v>
      </c>
      <c r="AT97" s="192" t="s">
        <v>382</v>
      </c>
      <c r="AU97" s="192" t="s">
        <v>79</v>
      </c>
      <c r="AY97" s="19" t="s">
        <v>380</v>
      </c>
      <c r="BE97" s="193">
        <f t="shared" si="4"/>
        <v>0</v>
      </c>
      <c r="BF97" s="193">
        <f t="shared" si="5"/>
        <v>0</v>
      </c>
      <c r="BG97" s="193">
        <f t="shared" si="6"/>
        <v>0</v>
      </c>
      <c r="BH97" s="193">
        <f t="shared" si="7"/>
        <v>0</v>
      </c>
      <c r="BI97" s="193">
        <f t="shared" si="8"/>
        <v>0</v>
      </c>
      <c r="BJ97" s="19" t="s">
        <v>79</v>
      </c>
      <c r="BK97" s="193">
        <f t="shared" si="9"/>
        <v>0</v>
      </c>
      <c r="BL97" s="19" t="s">
        <v>386</v>
      </c>
      <c r="BM97" s="192" t="s">
        <v>505</v>
      </c>
    </row>
    <row r="98" spans="1:65" s="2" customFormat="1" ht="16.5" customHeight="1">
      <c r="A98" s="36"/>
      <c r="B98" s="37"/>
      <c r="C98" s="181" t="s">
        <v>131</v>
      </c>
      <c r="D98" s="181" t="s">
        <v>382</v>
      </c>
      <c r="E98" s="182" t="s">
        <v>6465</v>
      </c>
      <c r="F98" s="183" t="s">
        <v>6466</v>
      </c>
      <c r="G98" s="184" t="s">
        <v>452</v>
      </c>
      <c r="H98" s="185">
        <v>4</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386</v>
      </c>
      <c r="AT98" s="192" t="s">
        <v>382</v>
      </c>
      <c r="AU98" s="192" t="s">
        <v>79</v>
      </c>
      <c r="AY98" s="19" t="s">
        <v>380</v>
      </c>
      <c r="BE98" s="193">
        <f t="shared" si="4"/>
        <v>0</v>
      </c>
      <c r="BF98" s="193">
        <f t="shared" si="5"/>
        <v>0</v>
      </c>
      <c r="BG98" s="193">
        <f t="shared" si="6"/>
        <v>0</v>
      </c>
      <c r="BH98" s="193">
        <f t="shared" si="7"/>
        <v>0</v>
      </c>
      <c r="BI98" s="193">
        <f t="shared" si="8"/>
        <v>0</v>
      </c>
      <c r="BJ98" s="19" t="s">
        <v>79</v>
      </c>
      <c r="BK98" s="193">
        <f t="shared" si="9"/>
        <v>0</v>
      </c>
      <c r="BL98" s="19" t="s">
        <v>386</v>
      </c>
      <c r="BM98" s="192" t="s">
        <v>514</v>
      </c>
    </row>
    <row r="99" spans="1:65" s="2" customFormat="1" ht="16.5" customHeight="1">
      <c r="A99" s="36"/>
      <c r="B99" s="37"/>
      <c r="C99" s="181" t="s">
        <v>134</v>
      </c>
      <c r="D99" s="181" t="s">
        <v>382</v>
      </c>
      <c r="E99" s="182" t="s">
        <v>6467</v>
      </c>
      <c r="F99" s="183" t="s">
        <v>6468</v>
      </c>
      <c r="G99" s="184" t="s">
        <v>2393</v>
      </c>
      <c r="H99" s="185">
        <v>4</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386</v>
      </c>
      <c r="AT99" s="192" t="s">
        <v>382</v>
      </c>
      <c r="AU99" s="192" t="s">
        <v>79</v>
      </c>
      <c r="AY99" s="19" t="s">
        <v>380</v>
      </c>
      <c r="BE99" s="193">
        <f t="shared" si="4"/>
        <v>0</v>
      </c>
      <c r="BF99" s="193">
        <f t="shared" si="5"/>
        <v>0</v>
      </c>
      <c r="BG99" s="193">
        <f t="shared" si="6"/>
        <v>0</v>
      </c>
      <c r="BH99" s="193">
        <f t="shared" si="7"/>
        <v>0</v>
      </c>
      <c r="BI99" s="193">
        <f t="shared" si="8"/>
        <v>0</v>
      </c>
      <c r="BJ99" s="19" t="s">
        <v>79</v>
      </c>
      <c r="BK99" s="193">
        <f t="shared" si="9"/>
        <v>0</v>
      </c>
      <c r="BL99" s="19" t="s">
        <v>386</v>
      </c>
      <c r="BM99" s="192" t="s">
        <v>525</v>
      </c>
    </row>
    <row r="100" spans="1:65" s="12" customFormat="1" ht="25.9" customHeight="1">
      <c r="B100" s="165"/>
      <c r="C100" s="166"/>
      <c r="D100" s="167" t="s">
        <v>71</v>
      </c>
      <c r="E100" s="168" t="s">
        <v>6469</v>
      </c>
      <c r="F100" s="168" t="s">
        <v>5907</v>
      </c>
      <c r="G100" s="166"/>
      <c r="H100" s="166"/>
      <c r="I100" s="169"/>
      <c r="J100" s="170">
        <f>BK100</f>
        <v>0</v>
      </c>
      <c r="K100" s="166"/>
      <c r="L100" s="171"/>
      <c r="M100" s="172"/>
      <c r="N100" s="173"/>
      <c r="O100" s="173"/>
      <c r="P100" s="174">
        <f>SUM(P101:P128)</f>
        <v>0</v>
      </c>
      <c r="Q100" s="173"/>
      <c r="R100" s="174">
        <f>SUM(R101:R128)</f>
        <v>0</v>
      </c>
      <c r="S100" s="173"/>
      <c r="T100" s="175">
        <f>SUM(T101:T128)</f>
        <v>0</v>
      </c>
      <c r="AR100" s="176" t="s">
        <v>79</v>
      </c>
      <c r="AT100" s="177" t="s">
        <v>71</v>
      </c>
      <c r="AU100" s="177" t="s">
        <v>72</v>
      </c>
      <c r="AY100" s="176" t="s">
        <v>380</v>
      </c>
      <c r="BK100" s="178">
        <f>SUM(BK101:BK128)</f>
        <v>0</v>
      </c>
    </row>
    <row r="101" spans="1:65" s="2" customFormat="1" ht="16.5" customHeight="1">
      <c r="A101" s="36"/>
      <c r="B101" s="37"/>
      <c r="C101" s="181" t="s">
        <v>8</v>
      </c>
      <c r="D101" s="181" t="s">
        <v>382</v>
      </c>
      <c r="E101" s="182" t="s">
        <v>6470</v>
      </c>
      <c r="F101" s="183" t="s">
        <v>6471</v>
      </c>
      <c r="G101" s="184" t="s">
        <v>452</v>
      </c>
      <c r="H101" s="185">
        <v>240</v>
      </c>
      <c r="I101" s="186"/>
      <c r="J101" s="187">
        <f t="shared" ref="J101:J128" si="10">ROUND(I101*H101,2)</f>
        <v>0</v>
      </c>
      <c r="K101" s="183" t="s">
        <v>19</v>
      </c>
      <c r="L101" s="41"/>
      <c r="M101" s="188" t="s">
        <v>19</v>
      </c>
      <c r="N101" s="189" t="s">
        <v>43</v>
      </c>
      <c r="O101" s="66"/>
      <c r="P101" s="190">
        <f t="shared" ref="P101:P128" si="11">O101*H101</f>
        <v>0</v>
      </c>
      <c r="Q101" s="190">
        <v>0</v>
      </c>
      <c r="R101" s="190">
        <f t="shared" ref="R101:R128" si="12">Q101*H101</f>
        <v>0</v>
      </c>
      <c r="S101" s="190">
        <v>0</v>
      </c>
      <c r="T101" s="191">
        <f t="shared" ref="T101:T128" si="13">S101*H101</f>
        <v>0</v>
      </c>
      <c r="U101" s="36"/>
      <c r="V101" s="36"/>
      <c r="W101" s="36"/>
      <c r="X101" s="36"/>
      <c r="Y101" s="36"/>
      <c r="Z101" s="36"/>
      <c r="AA101" s="36"/>
      <c r="AB101" s="36"/>
      <c r="AC101" s="36"/>
      <c r="AD101" s="36"/>
      <c r="AE101" s="36"/>
      <c r="AR101" s="192" t="s">
        <v>281</v>
      </c>
      <c r="AT101" s="192" t="s">
        <v>382</v>
      </c>
      <c r="AU101" s="192" t="s">
        <v>79</v>
      </c>
      <c r="AY101" s="19" t="s">
        <v>380</v>
      </c>
      <c r="BE101" s="193">
        <f t="shared" ref="BE101:BE128" si="14">IF(N101="základní",J101,0)</f>
        <v>0</v>
      </c>
      <c r="BF101" s="193">
        <f t="shared" ref="BF101:BF128" si="15">IF(N101="snížená",J101,0)</f>
        <v>0</v>
      </c>
      <c r="BG101" s="193">
        <f t="shared" ref="BG101:BG128" si="16">IF(N101="zákl. přenesená",J101,0)</f>
        <v>0</v>
      </c>
      <c r="BH101" s="193">
        <f t="shared" ref="BH101:BH128" si="17">IF(N101="sníž. přenesená",J101,0)</f>
        <v>0</v>
      </c>
      <c r="BI101" s="193">
        <f t="shared" ref="BI101:BI128" si="18">IF(N101="nulová",J101,0)</f>
        <v>0</v>
      </c>
      <c r="BJ101" s="19" t="s">
        <v>79</v>
      </c>
      <c r="BK101" s="193">
        <f t="shared" ref="BK101:BK128" si="19">ROUND(I101*H101,2)</f>
        <v>0</v>
      </c>
      <c r="BL101" s="19" t="s">
        <v>281</v>
      </c>
      <c r="BM101" s="192" t="s">
        <v>534</v>
      </c>
    </row>
    <row r="102" spans="1:65" s="2" customFormat="1" ht="16.5" customHeight="1">
      <c r="A102" s="36"/>
      <c r="B102" s="37"/>
      <c r="C102" s="181" t="s">
        <v>281</v>
      </c>
      <c r="D102" s="181" t="s">
        <v>382</v>
      </c>
      <c r="E102" s="182" t="s">
        <v>6472</v>
      </c>
      <c r="F102" s="183" t="s">
        <v>6473</v>
      </c>
      <c r="G102" s="184" t="s">
        <v>452</v>
      </c>
      <c r="H102" s="185">
        <v>795</v>
      </c>
      <c r="I102" s="186"/>
      <c r="J102" s="187">
        <f t="shared" si="10"/>
        <v>0</v>
      </c>
      <c r="K102" s="183" t="s">
        <v>19</v>
      </c>
      <c r="L102" s="41"/>
      <c r="M102" s="188" t="s">
        <v>19</v>
      </c>
      <c r="N102" s="189" t="s">
        <v>43</v>
      </c>
      <c r="O102" s="66"/>
      <c r="P102" s="190">
        <f t="shared" si="11"/>
        <v>0</v>
      </c>
      <c r="Q102" s="190">
        <v>0</v>
      </c>
      <c r="R102" s="190">
        <f t="shared" si="12"/>
        <v>0</v>
      </c>
      <c r="S102" s="190">
        <v>0</v>
      </c>
      <c r="T102" s="191">
        <f t="shared" si="13"/>
        <v>0</v>
      </c>
      <c r="U102" s="36"/>
      <c r="V102" s="36"/>
      <c r="W102" s="36"/>
      <c r="X102" s="36"/>
      <c r="Y102" s="36"/>
      <c r="Z102" s="36"/>
      <c r="AA102" s="36"/>
      <c r="AB102" s="36"/>
      <c r="AC102" s="36"/>
      <c r="AD102" s="36"/>
      <c r="AE102" s="36"/>
      <c r="AR102" s="192" t="s">
        <v>281</v>
      </c>
      <c r="AT102" s="192" t="s">
        <v>382</v>
      </c>
      <c r="AU102" s="192" t="s">
        <v>79</v>
      </c>
      <c r="AY102" s="19" t="s">
        <v>380</v>
      </c>
      <c r="BE102" s="193">
        <f t="shared" si="14"/>
        <v>0</v>
      </c>
      <c r="BF102" s="193">
        <f t="shared" si="15"/>
        <v>0</v>
      </c>
      <c r="BG102" s="193">
        <f t="shared" si="16"/>
        <v>0</v>
      </c>
      <c r="BH102" s="193">
        <f t="shared" si="17"/>
        <v>0</v>
      </c>
      <c r="BI102" s="193">
        <f t="shared" si="18"/>
        <v>0</v>
      </c>
      <c r="BJ102" s="19" t="s">
        <v>79</v>
      </c>
      <c r="BK102" s="193">
        <f t="shared" si="19"/>
        <v>0</v>
      </c>
      <c r="BL102" s="19" t="s">
        <v>281</v>
      </c>
      <c r="BM102" s="192" t="s">
        <v>546</v>
      </c>
    </row>
    <row r="103" spans="1:65" s="2" customFormat="1" ht="16.5" customHeight="1">
      <c r="A103" s="36"/>
      <c r="B103" s="37"/>
      <c r="C103" s="181" t="s">
        <v>471</v>
      </c>
      <c r="D103" s="181" t="s">
        <v>382</v>
      </c>
      <c r="E103" s="182" t="s">
        <v>6474</v>
      </c>
      <c r="F103" s="183" t="s">
        <v>6475</v>
      </c>
      <c r="G103" s="184" t="s">
        <v>452</v>
      </c>
      <c r="H103" s="185">
        <v>360</v>
      </c>
      <c r="I103" s="186"/>
      <c r="J103" s="187">
        <f t="shared" si="10"/>
        <v>0</v>
      </c>
      <c r="K103" s="183" t="s">
        <v>19</v>
      </c>
      <c r="L103" s="41"/>
      <c r="M103" s="188" t="s">
        <v>19</v>
      </c>
      <c r="N103" s="189" t="s">
        <v>43</v>
      </c>
      <c r="O103" s="66"/>
      <c r="P103" s="190">
        <f t="shared" si="11"/>
        <v>0</v>
      </c>
      <c r="Q103" s="190">
        <v>0</v>
      </c>
      <c r="R103" s="190">
        <f t="shared" si="12"/>
        <v>0</v>
      </c>
      <c r="S103" s="190">
        <v>0</v>
      </c>
      <c r="T103" s="191">
        <f t="shared" si="13"/>
        <v>0</v>
      </c>
      <c r="U103" s="36"/>
      <c r="V103" s="36"/>
      <c r="W103" s="36"/>
      <c r="X103" s="36"/>
      <c r="Y103" s="36"/>
      <c r="Z103" s="36"/>
      <c r="AA103" s="36"/>
      <c r="AB103" s="36"/>
      <c r="AC103" s="36"/>
      <c r="AD103" s="36"/>
      <c r="AE103" s="36"/>
      <c r="AR103" s="192" t="s">
        <v>281</v>
      </c>
      <c r="AT103" s="192" t="s">
        <v>382</v>
      </c>
      <c r="AU103" s="192" t="s">
        <v>79</v>
      </c>
      <c r="AY103" s="19" t="s">
        <v>380</v>
      </c>
      <c r="BE103" s="193">
        <f t="shared" si="14"/>
        <v>0</v>
      </c>
      <c r="BF103" s="193">
        <f t="shared" si="15"/>
        <v>0</v>
      </c>
      <c r="BG103" s="193">
        <f t="shared" si="16"/>
        <v>0</v>
      </c>
      <c r="BH103" s="193">
        <f t="shared" si="17"/>
        <v>0</v>
      </c>
      <c r="BI103" s="193">
        <f t="shared" si="18"/>
        <v>0</v>
      </c>
      <c r="BJ103" s="19" t="s">
        <v>79</v>
      </c>
      <c r="BK103" s="193">
        <f t="shared" si="19"/>
        <v>0</v>
      </c>
      <c r="BL103" s="19" t="s">
        <v>281</v>
      </c>
      <c r="BM103" s="192" t="s">
        <v>556</v>
      </c>
    </row>
    <row r="104" spans="1:65" s="2" customFormat="1" ht="16.5" customHeight="1">
      <c r="A104" s="36"/>
      <c r="B104" s="37"/>
      <c r="C104" s="181" t="s">
        <v>477</v>
      </c>
      <c r="D104" s="181" t="s">
        <v>382</v>
      </c>
      <c r="E104" s="182" t="s">
        <v>6476</v>
      </c>
      <c r="F104" s="183" t="s">
        <v>6477</v>
      </c>
      <c r="G104" s="184" t="s">
        <v>2393</v>
      </c>
      <c r="H104" s="185">
        <v>6</v>
      </c>
      <c r="I104" s="186"/>
      <c r="J104" s="187">
        <f t="shared" si="10"/>
        <v>0</v>
      </c>
      <c r="K104" s="183" t="s">
        <v>19</v>
      </c>
      <c r="L104" s="41"/>
      <c r="M104" s="188" t="s">
        <v>19</v>
      </c>
      <c r="N104" s="189" t="s">
        <v>43</v>
      </c>
      <c r="O104" s="66"/>
      <c r="P104" s="190">
        <f t="shared" si="11"/>
        <v>0</v>
      </c>
      <c r="Q104" s="190">
        <v>0</v>
      </c>
      <c r="R104" s="190">
        <f t="shared" si="12"/>
        <v>0</v>
      </c>
      <c r="S104" s="190">
        <v>0</v>
      </c>
      <c r="T104" s="191">
        <f t="shared" si="13"/>
        <v>0</v>
      </c>
      <c r="U104" s="36"/>
      <c r="V104" s="36"/>
      <c r="W104" s="36"/>
      <c r="X104" s="36"/>
      <c r="Y104" s="36"/>
      <c r="Z104" s="36"/>
      <c r="AA104" s="36"/>
      <c r="AB104" s="36"/>
      <c r="AC104" s="36"/>
      <c r="AD104" s="36"/>
      <c r="AE104" s="36"/>
      <c r="AR104" s="192" t="s">
        <v>281</v>
      </c>
      <c r="AT104" s="192" t="s">
        <v>382</v>
      </c>
      <c r="AU104" s="192" t="s">
        <v>79</v>
      </c>
      <c r="AY104" s="19" t="s">
        <v>380</v>
      </c>
      <c r="BE104" s="193">
        <f t="shared" si="14"/>
        <v>0</v>
      </c>
      <c r="BF104" s="193">
        <f t="shared" si="15"/>
        <v>0</v>
      </c>
      <c r="BG104" s="193">
        <f t="shared" si="16"/>
        <v>0</v>
      </c>
      <c r="BH104" s="193">
        <f t="shared" si="17"/>
        <v>0</v>
      </c>
      <c r="BI104" s="193">
        <f t="shared" si="18"/>
        <v>0</v>
      </c>
      <c r="BJ104" s="19" t="s">
        <v>79</v>
      </c>
      <c r="BK104" s="193">
        <f t="shared" si="19"/>
        <v>0</v>
      </c>
      <c r="BL104" s="19" t="s">
        <v>281</v>
      </c>
      <c r="BM104" s="192" t="s">
        <v>579</v>
      </c>
    </row>
    <row r="105" spans="1:65" s="2" customFormat="1" ht="16.5" customHeight="1">
      <c r="A105" s="36"/>
      <c r="B105" s="37"/>
      <c r="C105" s="181" t="s">
        <v>284</v>
      </c>
      <c r="D105" s="181" t="s">
        <v>382</v>
      </c>
      <c r="E105" s="182" t="s">
        <v>6478</v>
      </c>
      <c r="F105" s="183" t="s">
        <v>6479</v>
      </c>
      <c r="G105" s="184" t="s">
        <v>2393</v>
      </c>
      <c r="H105" s="185">
        <v>6</v>
      </c>
      <c r="I105" s="186"/>
      <c r="J105" s="187">
        <f t="shared" si="10"/>
        <v>0</v>
      </c>
      <c r="K105" s="183" t="s">
        <v>19</v>
      </c>
      <c r="L105" s="41"/>
      <c r="M105" s="188" t="s">
        <v>19</v>
      </c>
      <c r="N105" s="189" t="s">
        <v>43</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281</v>
      </c>
      <c r="AT105" s="192" t="s">
        <v>382</v>
      </c>
      <c r="AU105" s="192" t="s">
        <v>79</v>
      </c>
      <c r="AY105" s="19" t="s">
        <v>380</v>
      </c>
      <c r="BE105" s="193">
        <f t="shared" si="14"/>
        <v>0</v>
      </c>
      <c r="BF105" s="193">
        <f t="shared" si="15"/>
        <v>0</v>
      </c>
      <c r="BG105" s="193">
        <f t="shared" si="16"/>
        <v>0</v>
      </c>
      <c r="BH105" s="193">
        <f t="shared" si="17"/>
        <v>0</v>
      </c>
      <c r="BI105" s="193">
        <f t="shared" si="18"/>
        <v>0</v>
      </c>
      <c r="BJ105" s="19" t="s">
        <v>79</v>
      </c>
      <c r="BK105" s="193">
        <f t="shared" si="19"/>
        <v>0</v>
      </c>
      <c r="BL105" s="19" t="s">
        <v>281</v>
      </c>
      <c r="BM105" s="192" t="s">
        <v>619</v>
      </c>
    </row>
    <row r="106" spans="1:65" s="2" customFormat="1" ht="16.5" customHeight="1">
      <c r="A106" s="36"/>
      <c r="B106" s="37"/>
      <c r="C106" s="181" t="s">
        <v>486</v>
      </c>
      <c r="D106" s="181" t="s">
        <v>382</v>
      </c>
      <c r="E106" s="182" t="s">
        <v>6480</v>
      </c>
      <c r="F106" s="183" t="s">
        <v>6481</v>
      </c>
      <c r="G106" s="184" t="s">
        <v>2393</v>
      </c>
      <c r="H106" s="185">
        <v>1</v>
      </c>
      <c r="I106" s="186"/>
      <c r="J106" s="187">
        <f t="shared" si="10"/>
        <v>0</v>
      </c>
      <c r="K106" s="183" t="s">
        <v>19</v>
      </c>
      <c r="L106" s="41"/>
      <c r="M106" s="188" t="s">
        <v>19</v>
      </c>
      <c r="N106" s="189" t="s">
        <v>43</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281</v>
      </c>
      <c r="AT106" s="192" t="s">
        <v>382</v>
      </c>
      <c r="AU106" s="192" t="s">
        <v>79</v>
      </c>
      <c r="AY106" s="19" t="s">
        <v>380</v>
      </c>
      <c r="BE106" s="193">
        <f t="shared" si="14"/>
        <v>0</v>
      </c>
      <c r="BF106" s="193">
        <f t="shared" si="15"/>
        <v>0</v>
      </c>
      <c r="BG106" s="193">
        <f t="shared" si="16"/>
        <v>0</v>
      </c>
      <c r="BH106" s="193">
        <f t="shared" si="17"/>
        <v>0</v>
      </c>
      <c r="BI106" s="193">
        <f t="shared" si="18"/>
        <v>0</v>
      </c>
      <c r="BJ106" s="19" t="s">
        <v>79</v>
      </c>
      <c r="BK106" s="193">
        <f t="shared" si="19"/>
        <v>0</v>
      </c>
      <c r="BL106" s="19" t="s">
        <v>281</v>
      </c>
      <c r="BM106" s="192" t="s">
        <v>631</v>
      </c>
    </row>
    <row r="107" spans="1:65" s="2" customFormat="1" ht="16.5" customHeight="1">
      <c r="A107" s="36"/>
      <c r="B107" s="37"/>
      <c r="C107" s="181" t="s">
        <v>7</v>
      </c>
      <c r="D107" s="181" t="s">
        <v>382</v>
      </c>
      <c r="E107" s="182" t="s">
        <v>6482</v>
      </c>
      <c r="F107" s="183" t="s">
        <v>6483</v>
      </c>
      <c r="G107" s="184" t="s">
        <v>2393</v>
      </c>
      <c r="H107" s="185">
        <v>24</v>
      </c>
      <c r="I107" s="186"/>
      <c r="J107" s="187">
        <f t="shared" si="10"/>
        <v>0</v>
      </c>
      <c r="K107" s="183" t="s">
        <v>19</v>
      </c>
      <c r="L107" s="41"/>
      <c r="M107" s="188" t="s">
        <v>19</v>
      </c>
      <c r="N107" s="189" t="s">
        <v>43</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281</v>
      </c>
      <c r="AT107" s="192" t="s">
        <v>382</v>
      </c>
      <c r="AU107" s="192" t="s">
        <v>79</v>
      </c>
      <c r="AY107" s="19" t="s">
        <v>380</v>
      </c>
      <c r="BE107" s="193">
        <f t="shared" si="14"/>
        <v>0</v>
      </c>
      <c r="BF107" s="193">
        <f t="shared" si="15"/>
        <v>0</v>
      </c>
      <c r="BG107" s="193">
        <f t="shared" si="16"/>
        <v>0</v>
      </c>
      <c r="BH107" s="193">
        <f t="shared" si="17"/>
        <v>0</v>
      </c>
      <c r="BI107" s="193">
        <f t="shared" si="18"/>
        <v>0</v>
      </c>
      <c r="BJ107" s="19" t="s">
        <v>79</v>
      </c>
      <c r="BK107" s="193">
        <f t="shared" si="19"/>
        <v>0</v>
      </c>
      <c r="BL107" s="19" t="s">
        <v>281</v>
      </c>
      <c r="BM107" s="192" t="s">
        <v>644</v>
      </c>
    </row>
    <row r="108" spans="1:65" s="2" customFormat="1" ht="16.5" customHeight="1">
      <c r="A108" s="36"/>
      <c r="B108" s="37"/>
      <c r="C108" s="181" t="s">
        <v>495</v>
      </c>
      <c r="D108" s="181" t="s">
        <v>382</v>
      </c>
      <c r="E108" s="182" t="s">
        <v>6484</v>
      </c>
      <c r="F108" s="183" t="s">
        <v>6485</v>
      </c>
      <c r="G108" s="184" t="s">
        <v>2393</v>
      </c>
      <c r="H108" s="185">
        <v>24</v>
      </c>
      <c r="I108" s="186"/>
      <c r="J108" s="187">
        <f t="shared" si="10"/>
        <v>0</v>
      </c>
      <c r="K108" s="183" t="s">
        <v>19</v>
      </c>
      <c r="L108" s="41"/>
      <c r="M108" s="188" t="s">
        <v>19</v>
      </c>
      <c r="N108" s="189" t="s">
        <v>43</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281</v>
      </c>
      <c r="AT108" s="192" t="s">
        <v>382</v>
      </c>
      <c r="AU108" s="192" t="s">
        <v>79</v>
      </c>
      <c r="AY108" s="19" t="s">
        <v>380</v>
      </c>
      <c r="BE108" s="193">
        <f t="shared" si="14"/>
        <v>0</v>
      </c>
      <c r="BF108" s="193">
        <f t="shared" si="15"/>
        <v>0</v>
      </c>
      <c r="BG108" s="193">
        <f t="shared" si="16"/>
        <v>0</v>
      </c>
      <c r="BH108" s="193">
        <f t="shared" si="17"/>
        <v>0</v>
      </c>
      <c r="BI108" s="193">
        <f t="shared" si="18"/>
        <v>0</v>
      </c>
      <c r="BJ108" s="19" t="s">
        <v>79</v>
      </c>
      <c r="BK108" s="193">
        <f t="shared" si="19"/>
        <v>0</v>
      </c>
      <c r="BL108" s="19" t="s">
        <v>281</v>
      </c>
      <c r="BM108" s="192" t="s">
        <v>652</v>
      </c>
    </row>
    <row r="109" spans="1:65" s="2" customFormat="1" ht="16.5" customHeight="1">
      <c r="A109" s="36"/>
      <c r="B109" s="37"/>
      <c r="C109" s="181" t="s">
        <v>500</v>
      </c>
      <c r="D109" s="181" t="s">
        <v>382</v>
      </c>
      <c r="E109" s="182" t="s">
        <v>6486</v>
      </c>
      <c r="F109" s="183" t="s">
        <v>6487</v>
      </c>
      <c r="G109" s="184" t="s">
        <v>2393</v>
      </c>
      <c r="H109" s="185">
        <v>1</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281</v>
      </c>
      <c r="AT109" s="192" t="s">
        <v>382</v>
      </c>
      <c r="AU109" s="192" t="s">
        <v>79</v>
      </c>
      <c r="AY109" s="19" t="s">
        <v>380</v>
      </c>
      <c r="BE109" s="193">
        <f t="shared" si="14"/>
        <v>0</v>
      </c>
      <c r="BF109" s="193">
        <f t="shared" si="15"/>
        <v>0</v>
      </c>
      <c r="BG109" s="193">
        <f t="shared" si="16"/>
        <v>0</v>
      </c>
      <c r="BH109" s="193">
        <f t="shared" si="17"/>
        <v>0</v>
      </c>
      <c r="BI109" s="193">
        <f t="shared" si="18"/>
        <v>0</v>
      </c>
      <c r="BJ109" s="19" t="s">
        <v>79</v>
      </c>
      <c r="BK109" s="193">
        <f t="shared" si="19"/>
        <v>0</v>
      </c>
      <c r="BL109" s="19" t="s">
        <v>281</v>
      </c>
      <c r="BM109" s="192" t="s">
        <v>660</v>
      </c>
    </row>
    <row r="110" spans="1:65" s="2" customFormat="1" ht="16.5" customHeight="1">
      <c r="A110" s="36"/>
      <c r="B110" s="37"/>
      <c r="C110" s="181" t="s">
        <v>505</v>
      </c>
      <c r="D110" s="181" t="s">
        <v>382</v>
      </c>
      <c r="E110" s="182" t="s">
        <v>6488</v>
      </c>
      <c r="F110" s="183" t="s">
        <v>6489</v>
      </c>
      <c r="G110" s="184" t="s">
        <v>2393</v>
      </c>
      <c r="H110" s="185">
        <v>1</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281</v>
      </c>
      <c r="AT110" s="192" t="s">
        <v>382</v>
      </c>
      <c r="AU110" s="192" t="s">
        <v>79</v>
      </c>
      <c r="AY110" s="19" t="s">
        <v>380</v>
      </c>
      <c r="BE110" s="193">
        <f t="shared" si="14"/>
        <v>0</v>
      </c>
      <c r="BF110" s="193">
        <f t="shared" si="15"/>
        <v>0</v>
      </c>
      <c r="BG110" s="193">
        <f t="shared" si="16"/>
        <v>0</v>
      </c>
      <c r="BH110" s="193">
        <f t="shared" si="17"/>
        <v>0</v>
      </c>
      <c r="BI110" s="193">
        <f t="shared" si="18"/>
        <v>0</v>
      </c>
      <c r="BJ110" s="19" t="s">
        <v>79</v>
      </c>
      <c r="BK110" s="193">
        <f t="shared" si="19"/>
        <v>0</v>
      </c>
      <c r="BL110" s="19" t="s">
        <v>281</v>
      </c>
      <c r="BM110" s="192" t="s">
        <v>668</v>
      </c>
    </row>
    <row r="111" spans="1:65" s="2" customFormat="1" ht="16.5" customHeight="1">
      <c r="A111" s="36"/>
      <c r="B111" s="37"/>
      <c r="C111" s="181" t="s">
        <v>509</v>
      </c>
      <c r="D111" s="181" t="s">
        <v>382</v>
      </c>
      <c r="E111" s="182" t="s">
        <v>6490</v>
      </c>
      <c r="F111" s="183" t="s">
        <v>6491</v>
      </c>
      <c r="G111" s="184" t="s">
        <v>2006</v>
      </c>
      <c r="H111" s="185">
        <v>1</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281</v>
      </c>
      <c r="AT111" s="192" t="s">
        <v>382</v>
      </c>
      <c r="AU111" s="192" t="s">
        <v>79</v>
      </c>
      <c r="AY111" s="19" t="s">
        <v>380</v>
      </c>
      <c r="BE111" s="193">
        <f t="shared" si="14"/>
        <v>0</v>
      </c>
      <c r="BF111" s="193">
        <f t="shared" si="15"/>
        <v>0</v>
      </c>
      <c r="BG111" s="193">
        <f t="shared" si="16"/>
        <v>0</v>
      </c>
      <c r="BH111" s="193">
        <f t="shared" si="17"/>
        <v>0</v>
      </c>
      <c r="BI111" s="193">
        <f t="shared" si="18"/>
        <v>0</v>
      </c>
      <c r="BJ111" s="19" t="s">
        <v>79</v>
      </c>
      <c r="BK111" s="193">
        <f t="shared" si="19"/>
        <v>0</v>
      </c>
      <c r="BL111" s="19" t="s">
        <v>281</v>
      </c>
      <c r="BM111" s="192" t="s">
        <v>677</v>
      </c>
    </row>
    <row r="112" spans="1:65" s="2" customFormat="1" ht="16.5" customHeight="1">
      <c r="A112" s="36"/>
      <c r="B112" s="37"/>
      <c r="C112" s="181" t="s">
        <v>514</v>
      </c>
      <c r="D112" s="181" t="s">
        <v>382</v>
      </c>
      <c r="E112" s="182" t="s">
        <v>6492</v>
      </c>
      <c r="F112" s="183" t="s">
        <v>6493</v>
      </c>
      <c r="G112" s="184" t="s">
        <v>2393</v>
      </c>
      <c r="H112" s="185">
        <v>2</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281</v>
      </c>
      <c r="AT112" s="192" t="s">
        <v>382</v>
      </c>
      <c r="AU112" s="192" t="s">
        <v>79</v>
      </c>
      <c r="AY112" s="19" t="s">
        <v>380</v>
      </c>
      <c r="BE112" s="193">
        <f t="shared" si="14"/>
        <v>0</v>
      </c>
      <c r="BF112" s="193">
        <f t="shared" si="15"/>
        <v>0</v>
      </c>
      <c r="BG112" s="193">
        <f t="shared" si="16"/>
        <v>0</v>
      </c>
      <c r="BH112" s="193">
        <f t="shared" si="17"/>
        <v>0</v>
      </c>
      <c r="BI112" s="193">
        <f t="shared" si="18"/>
        <v>0</v>
      </c>
      <c r="BJ112" s="19" t="s">
        <v>79</v>
      </c>
      <c r="BK112" s="193">
        <f t="shared" si="19"/>
        <v>0</v>
      </c>
      <c r="BL112" s="19" t="s">
        <v>281</v>
      </c>
      <c r="BM112" s="192" t="s">
        <v>699</v>
      </c>
    </row>
    <row r="113" spans="1:65" s="2" customFormat="1" ht="16.5" customHeight="1">
      <c r="A113" s="36"/>
      <c r="B113" s="37"/>
      <c r="C113" s="181" t="s">
        <v>520</v>
      </c>
      <c r="D113" s="181" t="s">
        <v>382</v>
      </c>
      <c r="E113" s="182" t="s">
        <v>6494</v>
      </c>
      <c r="F113" s="183" t="s">
        <v>6495</v>
      </c>
      <c r="G113" s="184" t="s">
        <v>2393</v>
      </c>
      <c r="H113" s="185">
        <v>2</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281</v>
      </c>
      <c r="AT113" s="192" t="s">
        <v>382</v>
      </c>
      <c r="AU113" s="192" t="s">
        <v>79</v>
      </c>
      <c r="AY113" s="19" t="s">
        <v>380</v>
      </c>
      <c r="BE113" s="193">
        <f t="shared" si="14"/>
        <v>0</v>
      </c>
      <c r="BF113" s="193">
        <f t="shared" si="15"/>
        <v>0</v>
      </c>
      <c r="BG113" s="193">
        <f t="shared" si="16"/>
        <v>0</v>
      </c>
      <c r="BH113" s="193">
        <f t="shared" si="17"/>
        <v>0</v>
      </c>
      <c r="BI113" s="193">
        <f t="shared" si="18"/>
        <v>0</v>
      </c>
      <c r="BJ113" s="19" t="s">
        <v>79</v>
      </c>
      <c r="BK113" s="193">
        <f t="shared" si="19"/>
        <v>0</v>
      </c>
      <c r="BL113" s="19" t="s">
        <v>281</v>
      </c>
      <c r="BM113" s="192" t="s">
        <v>709</v>
      </c>
    </row>
    <row r="114" spans="1:65" s="2" customFormat="1" ht="16.5" customHeight="1">
      <c r="A114" s="36"/>
      <c r="B114" s="37"/>
      <c r="C114" s="181" t="s">
        <v>525</v>
      </c>
      <c r="D114" s="181" t="s">
        <v>382</v>
      </c>
      <c r="E114" s="182" t="s">
        <v>6496</v>
      </c>
      <c r="F114" s="183" t="s">
        <v>6497</v>
      </c>
      <c r="G114" s="184" t="s">
        <v>2393</v>
      </c>
      <c r="H114" s="185">
        <v>12</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281</v>
      </c>
      <c r="AT114" s="192" t="s">
        <v>382</v>
      </c>
      <c r="AU114" s="192" t="s">
        <v>79</v>
      </c>
      <c r="AY114" s="19" t="s">
        <v>380</v>
      </c>
      <c r="BE114" s="193">
        <f t="shared" si="14"/>
        <v>0</v>
      </c>
      <c r="BF114" s="193">
        <f t="shared" si="15"/>
        <v>0</v>
      </c>
      <c r="BG114" s="193">
        <f t="shared" si="16"/>
        <v>0</v>
      </c>
      <c r="BH114" s="193">
        <f t="shared" si="17"/>
        <v>0</v>
      </c>
      <c r="BI114" s="193">
        <f t="shared" si="18"/>
        <v>0</v>
      </c>
      <c r="BJ114" s="19" t="s">
        <v>79</v>
      </c>
      <c r="BK114" s="193">
        <f t="shared" si="19"/>
        <v>0</v>
      </c>
      <c r="BL114" s="19" t="s">
        <v>281</v>
      </c>
      <c r="BM114" s="192" t="s">
        <v>733</v>
      </c>
    </row>
    <row r="115" spans="1:65" s="2" customFormat="1" ht="16.5" customHeight="1">
      <c r="A115" s="36"/>
      <c r="B115" s="37"/>
      <c r="C115" s="181" t="s">
        <v>529</v>
      </c>
      <c r="D115" s="181" t="s">
        <v>382</v>
      </c>
      <c r="E115" s="182" t="s">
        <v>6498</v>
      </c>
      <c r="F115" s="183" t="s">
        <v>6499</v>
      </c>
      <c r="G115" s="184" t="s">
        <v>2393</v>
      </c>
      <c r="H115" s="185">
        <v>6</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281</v>
      </c>
      <c r="AT115" s="192" t="s">
        <v>382</v>
      </c>
      <c r="AU115" s="192" t="s">
        <v>79</v>
      </c>
      <c r="AY115" s="19" t="s">
        <v>380</v>
      </c>
      <c r="BE115" s="193">
        <f t="shared" si="14"/>
        <v>0</v>
      </c>
      <c r="BF115" s="193">
        <f t="shared" si="15"/>
        <v>0</v>
      </c>
      <c r="BG115" s="193">
        <f t="shared" si="16"/>
        <v>0</v>
      </c>
      <c r="BH115" s="193">
        <f t="shared" si="17"/>
        <v>0</v>
      </c>
      <c r="BI115" s="193">
        <f t="shared" si="18"/>
        <v>0</v>
      </c>
      <c r="BJ115" s="19" t="s">
        <v>79</v>
      </c>
      <c r="BK115" s="193">
        <f t="shared" si="19"/>
        <v>0</v>
      </c>
      <c r="BL115" s="19" t="s">
        <v>281</v>
      </c>
      <c r="BM115" s="192" t="s">
        <v>753</v>
      </c>
    </row>
    <row r="116" spans="1:65" s="2" customFormat="1" ht="16.5" customHeight="1">
      <c r="A116" s="36"/>
      <c r="B116" s="37"/>
      <c r="C116" s="181" t="s">
        <v>534</v>
      </c>
      <c r="D116" s="181" t="s">
        <v>382</v>
      </c>
      <c r="E116" s="182" t="s">
        <v>6500</v>
      </c>
      <c r="F116" s="183" t="s">
        <v>6501</v>
      </c>
      <c r="G116" s="184" t="s">
        <v>2393</v>
      </c>
      <c r="H116" s="185">
        <v>2</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281</v>
      </c>
      <c r="AT116" s="192" t="s">
        <v>382</v>
      </c>
      <c r="AU116" s="192" t="s">
        <v>79</v>
      </c>
      <c r="AY116" s="19" t="s">
        <v>380</v>
      </c>
      <c r="BE116" s="193">
        <f t="shared" si="14"/>
        <v>0</v>
      </c>
      <c r="BF116" s="193">
        <f t="shared" si="15"/>
        <v>0</v>
      </c>
      <c r="BG116" s="193">
        <f t="shared" si="16"/>
        <v>0</v>
      </c>
      <c r="BH116" s="193">
        <f t="shared" si="17"/>
        <v>0</v>
      </c>
      <c r="BI116" s="193">
        <f t="shared" si="18"/>
        <v>0</v>
      </c>
      <c r="BJ116" s="19" t="s">
        <v>79</v>
      </c>
      <c r="BK116" s="193">
        <f t="shared" si="19"/>
        <v>0</v>
      </c>
      <c r="BL116" s="19" t="s">
        <v>281</v>
      </c>
      <c r="BM116" s="192" t="s">
        <v>767</v>
      </c>
    </row>
    <row r="117" spans="1:65" s="2" customFormat="1" ht="16.5" customHeight="1">
      <c r="A117" s="36"/>
      <c r="B117" s="37"/>
      <c r="C117" s="181" t="s">
        <v>540</v>
      </c>
      <c r="D117" s="181" t="s">
        <v>382</v>
      </c>
      <c r="E117" s="182" t="s">
        <v>6502</v>
      </c>
      <c r="F117" s="183" t="s">
        <v>6503</v>
      </c>
      <c r="G117" s="184" t="s">
        <v>452</v>
      </c>
      <c r="H117" s="185">
        <v>360</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281</v>
      </c>
      <c r="AT117" s="192" t="s">
        <v>382</v>
      </c>
      <c r="AU117" s="192" t="s">
        <v>79</v>
      </c>
      <c r="AY117" s="19" t="s">
        <v>380</v>
      </c>
      <c r="BE117" s="193">
        <f t="shared" si="14"/>
        <v>0</v>
      </c>
      <c r="BF117" s="193">
        <f t="shared" si="15"/>
        <v>0</v>
      </c>
      <c r="BG117" s="193">
        <f t="shared" si="16"/>
        <v>0</v>
      </c>
      <c r="BH117" s="193">
        <f t="shared" si="17"/>
        <v>0</v>
      </c>
      <c r="BI117" s="193">
        <f t="shared" si="18"/>
        <v>0</v>
      </c>
      <c r="BJ117" s="19" t="s">
        <v>79</v>
      </c>
      <c r="BK117" s="193">
        <f t="shared" si="19"/>
        <v>0</v>
      </c>
      <c r="BL117" s="19" t="s">
        <v>281</v>
      </c>
      <c r="BM117" s="192" t="s">
        <v>776</v>
      </c>
    </row>
    <row r="118" spans="1:65" s="2" customFormat="1" ht="16.5" customHeight="1">
      <c r="A118" s="36"/>
      <c r="B118" s="37"/>
      <c r="C118" s="181" t="s">
        <v>546</v>
      </c>
      <c r="D118" s="181" t="s">
        <v>382</v>
      </c>
      <c r="E118" s="182" t="s">
        <v>6504</v>
      </c>
      <c r="F118" s="183" t="s">
        <v>6505</v>
      </c>
      <c r="G118" s="184" t="s">
        <v>452</v>
      </c>
      <c r="H118" s="185">
        <v>225</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281</v>
      </c>
      <c r="AT118" s="192" t="s">
        <v>382</v>
      </c>
      <c r="AU118" s="192" t="s">
        <v>79</v>
      </c>
      <c r="AY118" s="19" t="s">
        <v>380</v>
      </c>
      <c r="BE118" s="193">
        <f t="shared" si="14"/>
        <v>0</v>
      </c>
      <c r="BF118" s="193">
        <f t="shared" si="15"/>
        <v>0</v>
      </c>
      <c r="BG118" s="193">
        <f t="shared" si="16"/>
        <v>0</v>
      </c>
      <c r="BH118" s="193">
        <f t="shared" si="17"/>
        <v>0</v>
      </c>
      <c r="BI118" s="193">
        <f t="shared" si="18"/>
        <v>0</v>
      </c>
      <c r="BJ118" s="19" t="s">
        <v>79</v>
      </c>
      <c r="BK118" s="193">
        <f t="shared" si="19"/>
        <v>0</v>
      </c>
      <c r="BL118" s="19" t="s">
        <v>281</v>
      </c>
      <c r="BM118" s="192" t="s">
        <v>787</v>
      </c>
    </row>
    <row r="119" spans="1:65" s="2" customFormat="1" ht="16.5" customHeight="1">
      <c r="A119" s="36"/>
      <c r="B119" s="37"/>
      <c r="C119" s="181" t="s">
        <v>552</v>
      </c>
      <c r="D119" s="181" t="s">
        <v>382</v>
      </c>
      <c r="E119" s="182" t="s">
        <v>6506</v>
      </c>
      <c r="F119" s="183" t="s">
        <v>6507</v>
      </c>
      <c r="G119" s="184" t="s">
        <v>2393</v>
      </c>
      <c r="H119" s="185">
        <v>1</v>
      </c>
      <c r="I119" s="186"/>
      <c r="J119" s="187">
        <f t="shared" si="10"/>
        <v>0</v>
      </c>
      <c r="K119" s="183" t="s">
        <v>19</v>
      </c>
      <c r="L119" s="41"/>
      <c r="M119" s="188" t="s">
        <v>19</v>
      </c>
      <c r="N119" s="189"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281</v>
      </c>
      <c r="AT119" s="192" t="s">
        <v>382</v>
      </c>
      <c r="AU119" s="192" t="s">
        <v>79</v>
      </c>
      <c r="AY119" s="19" t="s">
        <v>380</v>
      </c>
      <c r="BE119" s="193">
        <f t="shared" si="14"/>
        <v>0</v>
      </c>
      <c r="BF119" s="193">
        <f t="shared" si="15"/>
        <v>0</v>
      </c>
      <c r="BG119" s="193">
        <f t="shared" si="16"/>
        <v>0</v>
      </c>
      <c r="BH119" s="193">
        <f t="shared" si="17"/>
        <v>0</v>
      </c>
      <c r="BI119" s="193">
        <f t="shared" si="18"/>
        <v>0</v>
      </c>
      <c r="BJ119" s="19" t="s">
        <v>79</v>
      </c>
      <c r="BK119" s="193">
        <f t="shared" si="19"/>
        <v>0</v>
      </c>
      <c r="BL119" s="19" t="s">
        <v>281</v>
      </c>
      <c r="BM119" s="192" t="s">
        <v>795</v>
      </c>
    </row>
    <row r="120" spans="1:65" s="2" customFormat="1" ht="16.5" customHeight="1">
      <c r="A120" s="36"/>
      <c r="B120" s="37"/>
      <c r="C120" s="181" t="s">
        <v>556</v>
      </c>
      <c r="D120" s="181" t="s">
        <v>382</v>
      </c>
      <c r="E120" s="182" t="s">
        <v>6508</v>
      </c>
      <c r="F120" s="183" t="s">
        <v>6509</v>
      </c>
      <c r="G120" s="184" t="s">
        <v>2393</v>
      </c>
      <c r="H120" s="185">
        <v>2</v>
      </c>
      <c r="I120" s="186"/>
      <c r="J120" s="187">
        <f t="shared" si="10"/>
        <v>0</v>
      </c>
      <c r="K120" s="183" t="s">
        <v>19</v>
      </c>
      <c r="L120" s="41"/>
      <c r="M120" s="188" t="s">
        <v>19</v>
      </c>
      <c r="N120" s="189"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281</v>
      </c>
      <c r="AT120" s="192" t="s">
        <v>382</v>
      </c>
      <c r="AU120" s="192" t="s">
        <v>79</v>
      </c>
      <c r="AY120" s="19" t="s">
        <v>380</v>
      </c>
      <c r="BE120" s="193">
        <f t="shared" si="14"/>
        <v>0</v>
      </c>
      <c r="BF120" s="193">
        <f t="shared" si="15"/>
        <v>0</v>
      </c>
      <c r="BG120" s="193">
        <f t="shared" si="16"/>
        <v>0</v>
      </c>
      <c r="BH120" s="193">
        <f t="shared" si="17"/>
        <v>0</v>
      </c>
      <c r="BI120" s="193">
        <f t="shared" si="18"/>
        <v>0</v>
      </c>
      <c r="BJ120" s="19" t="s">
        <v>79</v>
      </c>
      <c r="BK120" s="193">
        <f t="shared" si="19"/>
        <v>0</v>
      </c>
      <c r="BL120" s="19" t="s">
        <v>281</v>
      </c>
      <c r="BM120" s="192" t="s">
        <v>804</v>
      </c>
    </row>
    <row r="121" spans="1:65" s="2" customFormat="1" ht="16.5" customHeight="1">
      <c r="A121" s="36"/>
      <c r="B121" s="37"/>
      <c r="C121" s="181" t="s">
        <v>565</v>
      </c>
      <c r="D121" s="181" t="s">
        <v>382</v>
      </c>
      <c r="E121" s="182" t="s">
        <v>6510</v>
      </c>
      <c r="F121" s="183" t="s">
        <v>6511</v>
      </c>
      <c r="G121" s="184" t="s">
        <v>2393</v>
      </c>
      <c r="H121" s="185">
        <v>1</v>
      </c>
      <c r="I121" s="186"/>
      <c r="J121" s="187">
        <f t="shared" si="10"/>
        <v>0</v>
      </c>
      <c r="K121" s="183" t="s">
        <v>19</v>
      </c>
      <c r="L121" s="41"/>
      <c r="M121" s="188" t="s">
        <v>19</v>
      </c>
      <c r="N121" s="189"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281</v>
      </c>
      <c r="AT121" s="192" t="s">
        <v>382</v>
      </c>
      <c r="AU121" s="192" t="s">
        <v>79</v>
      </c>
      <c r="AY121" s="19" t="s">
        <v>380</v>
      </c>
      <c r="BE121" s="193">
        <f t="shared" si="14"/>
        <v>0</v>
      </c>
      <c r="BF121" s="193">
        <f t="shared" si="15"/>
        <v>0</v>
      </c>
      <c r="BG121" s="193">
        <f t="shared" si="16"/>
        <v>0</v>
      </c>
      <c r="BH121" s="193">
        <f t="shared" si="17"/>
        <v>0</v>
      </c>
      <c r="BI121" s="193">
        <f t="shared" si="18"/>
        <v>0</v>
      </c>
      <c r="BJ121" s="19" t="s">
        <v>79</v>
      </c>
      <c r="BK121" s="193">
        <f t="shared" si="19"/>
        <v>0</v>
      </c>
      <c r="BL121" s="19" t="s">
        <v>281</v>
      </c>
      <c r="BM121" s="192" t="s">
        <v>831</v>
      </c>
    </row>
    <row r="122" spans="1:65" s="2" customFormat="1" ht="16.5" customHeight="1">
      <c r="A122" s="36"/>
      <c r="B122" s="37"/>
      <c r="C122" s="181" t="s">
        <v>579</v>
      </c>
      <c r="D122" s="181" t="s">
        <v>382</v>
      </c>
      <c r="E122" s="182" t="s">
        <v>6512</v>
      </c>
      <c r="F122" s="183" t="s">
        <v>6513</v>
      </c>
      <c r="G122" s="184" t="s">
        <v>2393</v>
      </c>
      <c r="H122" s="185">
        <v>24</v>
      </c>
      <c r="I122" s="186"/>
      <c r="J122" s="187">
        <f t="shared" si="10"/>
        <v>0</v>
      </c>
      <c r="K122" s="183" t="s">
        <v>19</v>
      </c>
      <c r="L122" s="41"/>
      <c r="M122" s="188" t="s">
        <v>19</v>
      </c>
      <c r="N122" s="189"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281</v>
      </c>
      <c r="AT122" s="192" t="s">
        <v>382</v>
      </c>
      <c r="AU122" s="192" t="s">
        <v>79</v>
      </c>
      <c r="AY122" s="19" t="s">
        <v>380</v>
      </c>
      <c r="BE122" s="193">
        <f t="shared" si="14"/>
        <v>0</v>
      </c>
      <c r="BF122" s="193">
        <f t="shared" si="15"/>
        <v>0</v>
      </c>
      <c r="BG122" s="193">
        <f t="shared" si="16"/>
        <v>0</v>
      </c>
      <c r="BH122" s="193">
        <f t="shared" si="17"/>
        <v>0</v>
      </c>
      <c r="BI122" s="193">
        <f t="shared" si="18"/>
        <v>0</v>
      </c>
      <c r="BJ122" s="19" t="s">
        <v>79</v>
      </c>
      <c r="BK122" s="193">
        <f t="shared" si="19"/>
        <v>0</v>
      </c>
      <c r="BL122" s="19" t="s">
        <v>281</v>
      </c>
      <c r="BM122" s="192" t="s">
        <v>841</v>
      </c>
    </row>
    <row r="123" spans="1:65" s="2" customFormat="1" ht="16.5" customHeight="1">
      <c r="A123" s="36"/>
      <c r="B123" s="37"/>
      <c r="C123" s="181" t="s">
        <v>600</v>
      </c>
      <c r="D123" s="181" t="s">
        <v>382</v>
      </c>
      <c r="E123" s="182" t="s">
        <v>6514</v>
      </c>
      <c r="F123" s="183" t="s">
        <v>6515</v>
      </c>
      <c r="G123" s="184" t="s">
        <v>2393</v>
      </c>
      <c r="H123" s="185">
        <v>50</v>
      </c>
      <c r="I123" s="186"/>
      <c r="J123" s="187">
        <f t="shared" si="10"/>
        <v>0</v>
      </c>
      <c r="K123" s="183" t="s">
        <v>19</v>
      </c>
      <c r="L123" s="41"/>
      <c r="M123" s="188" t="s">
        <v>19</v>
      </c>
      <c r="N123" s="189"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281</v>
      </c>
      <c r="AT123" s="192" t="s">
        <v>382</v>
      </c>
      <c r="AU123" s="192" t="s">
        <v>79</v>
      </c>
      <c r="AY123" s="19" t="s">
        <v>380</v>
      </c>
      <c r="BE123" s="193">
        <f t="shared" si="14"/>
        <v>0</v>
      </c>
      <c r="BF123" s="193">
        <f t="shared" si="15"/>
        <v>0</v>
      </c>
      <c r="BG123" s="193">
        <f t="shared" si="16"/>
        <v>0</v>
      </c>
      <c r="BH123" s="193">
        <f t="shared" si="17"/>
        <v>0</v>
      </c>
      <c r="BI123" s="193">
        <f t="shared" si="18"/>
        <v>0</v>
      </c>
      <c r="BJ123" s="19" t="s">
        <v>79</v>
      </c>
      <c r="BK123" s="193">
        <f t="shared" si="19"/>
        <v>0</v>
      </c>
      <c r="BL123" s="19" t="s">
        <v>281</v>
      </c>
      <c r="BM123" s="192" t="s">
        <v>851</v>
      </c>
    </row>
    <row r="124" spans="1:65" s="2" customFormat="1" ht="16.5" customHeight="1">
      <c r="A124" s="36"/>
      <c r="B124" s="37"/>
      <c r="C124" s="181" t="s">
        <v>619</v>
      </c>
      <c r="D124" s="181" t="s">
        <v>382</v>
      </c>
      <c r="E124" s="182" t="s">
        <v>6516</v>
      </c>
      <c r="F124" s="183" t="s">
        <v>6517</v>
      </c>
      <c r="G124" s="184" t="s">
        <v>2393</v>
      </c>
      <c r="H124" s="185">
        <v>2</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281</v>
      </c>
      <c r="AT124" s="192" t="s">
        <v>382</v>
      </c>
      <c r="AU124" s="192" t="s">
        <v>79</v>
      </c>
      <c r="AY124" s="19" t="s">
        <v>380</v>
      </c>
      <c r="BE124" s="193">
        <f t="shared" si="14"/>
        <v>0</v>
      </c>
      <c r="BF124" s="193">
        <f t="shared" si="15"/>
        <v>0</v>
      </c>
      <c r="BG124" s="193">
        <f t="shared" si="16"/>
        <v>0</v>
      </c>
      <c r="BH124" s="193">
        <f t="shared" si="17"/>
        <v>0</v>
      </c>
      <c r="BI124" s="193">
        <f t="shared" si="18"/>
        <v>0</v>
      </c>
      <c r="BJ124" s="19" t="s">
        <v>79</v>
      </c>
      <c r="BK124" s="193">
        <f t="shared" si="19"/>
        <v>0</v>
      </c>
      <c r="BL124" s="19" t="s">
        <v>281</v>
      </c>
      <c r="BM124" s="192" t="s">
        <v>859</v>
      </c>
    </row>
    <row r="125" spans="1:65" s="2" customFormat="1" ht="16.5" customHeight="1">
      <c r="A125" s="36"/>
      <c r="B125" s="37"/>
      <c r="C125" s="181" t="s">
        <v>623</v>
      </c>
      <c r="D125" s="181" t="s">
        <v>382</v>
      </c>
      <c r="E125" s="182" t="s">
        <v>6518</v>
      </c>
      <c r="F125" s="183" t="s">
        <v>6519</v>
      </c>
      <c r="G125" s="184" t="s">
        <v>2006</v>
      </c>
      <c r="H125" s="185">
        <v>1</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281</v>
      </c>
      <c r="AT125" s="192" t="s">
        <v>382</v>
      </c>
      <c r="AU125" s="192" t="s">
        <v>79</v>
      </c>
      <c r="AY125" s="19" t="s">
        <v>380</v>
      </c>
      <c r="BE125" s="193">
        <f t="shared" si="14"/>
        <v>0</v>
      </c>
      <c r="BF125" s="193">
        <f t="shared" si="15"/>
        <v>0</v>
      </c>
      <c r="BG125" s="193">
        <f t="shared" si="16"/>
        <v>0</v>
      </c>
      <c r="BH125" s="193">
        <f t="shared" si="17"/>
        <v>0</v>
      </c>
      <c r="BI125" s="193">
        <f t="shared" si="18"/>
        <v>0</v>
      </c>
      <c r="BJ125" s="19" t="s">
        <v>79</v>
      </c>
      <c r="BK125" s="193">
        <f t="shared" si="19"/>
        <v>0</v>
      </c>
      <c r="BL125" s="19" t="s">
        <v>281</v>
      </c>
      <c r="BM125" s="192" t="s">
        <v>867</v>
      </c>
    </row>
    <row r="126" spans="1:65" s="2" customFormat="1" ht="16.5" customHeight="1">
      <c r="A126" s="36"/>
      <c r="B126" s="37"/>
      <c r="C126" s="181" t="s">
        <v>631</v>
      </c>
      <c r="D126" s="181" t="s">
        <v>382</v>
      </c>
      <c r="E126" s="182" t="s">
        <v>6520</v>
      </c>
      <c r="F126" s="183" t="s">
        <v>6521</v>
      </c>
      <c r="G126" s="184" t="s">
        <v>452</v>
      </c>
      <c r="H126" s="185">
        <v>185</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281</v>
      </c>
      <c r="AT126" s="192" t="s">
        <v>382</v>
      </c>
      <c r="AU126" s="192" t="s">
        <v>79</v>
      </c>
      <c r="AY126" s="19" t="s">
        <v>380</v>
      </c>
      <c r="BE126" s="193">
        <f t="shared" si="14"/>
        <v>0</v>
      </c>
      <c r="BF126" s="193">
        <f t="shared" si="15"/>
        <v>0</v>
      </c>
      <c r="BG126" s="193">
        <f t="shared" si="16"/>
        <v>0</v>
      </c>
      <c r="BH126" s="193">
        <f t="shared" si="17"/>
        <v>0</v>
      </c>
      <c r="BI126" s="193">
        <f t="shared" si="18"/>
        <v>0</v>
      </c>
      <c r="BJ126" s="19" t="s">
        <v>79</v>
      </c>
      <c r="BK126" s="193">
        <f t="shared" si="19"/>
        <v>0</v>
      </c>
      <c r="BL126" s="19" t="s">
        <v>281</v>
      </c>
      <c r="BM126" s="192" t="s">
        <v>884</v>
      </c>
    </row>
    <row r="127" spans="1:65" s="2" customFormat="1" ht="16.5" customHeight="1">
      <c r="A127" s="36"/>
      <c r="B127" s="37"/>
      <c r="C127" s="181" t="s">
        <v>638</v>
      </c>
      <c r="D127" s="181" t="s">
        <v>382</v>
      </c>
      <c r="E127" s="182" t="s">
        <v>6522</v>
      </c>
      <c r="F127" s="183" t="s">
        <v>6523</v>
      </c>
      <c r="G127" s="184" t="s">
        <v>452</v>
      </c>
      <c r="H127" s="185">
        <v>295</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281</v>
      </c>
      <c r="AT127" s="192" t="s">
        <v>382</v>
      </c>
      <c r="AU127" s="192" t="s">
        <v>79</v>
      </c>
      <c r="AY127" s="19" t="s">
        <v>380</v>
      </c>
      <c r="BE127" s="193">
        <f t="shared" si="14"/>
        <v>0</v>
      </c>
      <c r="BF127" s="193">
        <f t="shared" si="15"/>
        <v>0</v>
      </c>
      <c r="BG127" s="193">
        <f t="shared" si="16"/>
        <v>0</v>
      </c>
      <c r="BH127" s="193">
        <f t="shared" si="17"/>
        <v>0</v>
      </c>
      <c r="BI127" s="193">
        <f t="shared" si="18"/>
        <v>0</v>
      </c>
      <c r="BJ127" s="19" t="s">
        <v>79</v>
      </c>
      <c r="BK127" s="193">
        <f t="shared" si="19"/>
        <v>0</v>
      </c>
      <c r="BL127" s="19" t="s">
        <v>281</v>
      </c>
      <c r="BM127" s="192" t="s">
        <v>910</v>
      </c>
    </row>
    <row r="128" spans="1:65" s="2" customFormat="1" ht="16.5" customHeight="1">
      <c r="A128" s="36"/>
      <c r="B128" s="37"/>
      <c r="C128" s="181" t="s">
        <v>644</v>
      </c>
      <c r="D128" s="181" t="s">
        <v>382</v>
      </c>
      <c r="E128" s="182" t="s">
        <v>6524</v>
      </c>
      <c r="F128" s="183" t="s">
        <v>6525</v>
      </c>
      <c r="G128" s="184" t="s">
        <v>2393</v>
      </c>
      <c r="H128" s="185">
        <v>2</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281</v>
      </c>
      <c r="AT128" s="192" t="s">
        <v>382</v>
      </c>
      <c r="AU128" s="192" t="s">
        <v>79</v>
      </c>
      <c r="AY128" s="19" t="s">
        <v>380</v>
      </c>
      <c r="BE128" s="193">
        <f t="shared" si="14"/>
        <v>0</v>
      </c>
      <c r="BF128" s="193">
        <f t="shared" si="15"/>
        <v>0</v>
      </c>
      <c r="BG128" s="193">
        <f t="shared" si="16"/>
        <v>0</v>
      </c>
      <c r="BH128" s="193">
        <f t="shared" si="17"/>
        <v>0</v>
      </c>
      <c r="BI128" s="193">
        <f t="shared" si="18"/>
        <v>0</v>
      </c>
      <c r="BJ128" s="19" t="s">
        <v>79</v>
      </c>
      <c r="BK128" s="193">
        <f t="shared" si="19"/>
        <v>0</v>
      </c>
      <c r="BL128" s="19" t="s">
        <v>281</v>
      </c>
      <c r="BM128" s="192" t="s">
        <v>927</v>
      </c>
    </row>
    <row r="129" spans="1:65" s="12" customFormat="1" ht="25.9" customHeight="1">
      <c r="B129" s="165"/>
      <c r="C129" s="166"/>
      <c r="D129" s="167" t="s">
        <v>71</v>
      </c>
      <c r="E129" s="168" t="s">
        <v>6526</v>
      </c>
      <c r="F129" s="168" t="s">
        <v>6527</v>
      </c>
      <c r="G129" s="166"/>
      <c r="H129" s="166"/>
      <c r="I129" s="169"/>
      <c r="J129" s="170">
        <f>BK129</f>
        <v>0</v>
      </c>
      <c r="K129" s="166"/>
      <c r="L129" s="171"/>
      <c r="M129" s="172"/>
      <c r="N129" s="173"/>
      <c r="O129" s="173"/>
      <c r="P129" s="174">
        <f>SUM(P130:P132)</f>
        <v>0</v>
      </c>
      <c r="Q129" s="173"/>
      <c r="R129" s="174">
        <f>SUM(R130:R132)</f>
        <v>0</v>
      </c>
      <c r="S129" s="173"/>
      <c r="T129" s="175">
        <f>SUM(T130:T132)</f>
        <v>0</v>
      </c>
      <c r="AR129" s="176" t="s">
        <v>79</v>
      </c>
      <c r="AT129" s="177" t="s">
        <v>71</v>
      </c>
      <c r="AU129" s="177" t="s">
        <v>72</v>
      </c>
      <c r="AY129" s="176" t="s">
        <v>380</v>
      </c>
      <c r="BK129" s="178">
        <f>SUM(BK130:BK132)</f>
        <v>0</v>
      </c>
    </row>
    <row r="130" spans="1:65" s="2" customFormat="1" ht="16.5" customHeight="1">
      <c r="A130" s="36"/>
      <c r="B130" s="37"/>
      <c r="C130" s="181" t="s">
        <v>648</v>
      </c>
      <c r="D130" s="181" t="s">
        <v>382</v>
      </c>
      <c r="E130" s="182" t="s">
        <v>6528</v>
      </c>
      <c r="F130" s="183" t="s">
        <v>6529</v>
      </c>
      <c r="G130" s="184" t="s">
        <v>2393</v>
      </c>
      <c r="H130" s="185">
        <v>2</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386</v>
      </c>
      <c r="AT130" s="192" t="s">
        <v>382</v>
      </c>
      <c r="AU130" s="192" t="s">
        <v>79</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386</v>
      </c>
      <c r="BM130" s="192" t="s">
        <v>936</v>
      </c>
    </row>
    <row r="131" spans="1:65" s="2" customFormat="1" ht="16.5" customHeight="1">
      <c r="A131" s="36"/>
      <c r="B131" s="37"/>
      <c r="C131" s="181" t="s">
        <v>652</v>
      </c>
      <c r="D131" s="181" t="s">
        <v>382</v>
      </c>
      <c r="E131" s="182" t="s">
        <v>6530</v>
      </c>
      <c r="F131" s="183" t="s">
        <v>6531</v>
      </c>
      <c r="G131" s="184" t="s">
        <v>452</v>
      </c>
      <c r="H131" s="185">
        <v>70</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386</v>
      </c>
      <c r="AT131" s="192" t="s">
        <v>382</v>
      </c>
      <c r="AU131" s="192" t="s">
        <v>79</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386</v>
      </c>
      <c r="BM131" s="192" t="s">
        <v>946</v>
      </c>
    </row>
    <row r="132" spans="1:65" s="2" customFormat="1" ht="16.5" customHeight="1">
      <c r="A132" s="36"/>
      <c r="B132" s="37"/>
      <c r="C132" s="181" t="s">
        <v>656</v>
      </c>
      <c r="D132" s="181" t="s">
        <v>382</v>
      </c>
      <c r="E132" s="182" t="s">
        <v>6532</v>
      </c>
      <c r="F132" s="183" t="s">
        <v>6533</v>
      </c>
      <c r="G132" s="184" t="s">
        <v>2393</v>
      </c>
      <c r="H132" s="185">
        <v>1</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386</v>
      </c>
      <c r="AT132" s="192" t="s">
        <v>382</v>
      </c>
      <c r="AU132" s="192" t="s">
        <v>79</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386</v>
      </c>
      <c r="BM132" s="192" t="s">
        <v>955</v>
      </c>
    </row>
    <row r="133" spans="1:65" s="12" customFormat="1" ht="25.9" customHeight="1">
      <c r="B133" s="165"/>
      <c r="C133" s="166"/>
      <c r="D133" s="167" t="s">
        <v>71</v>
      </c>
      <c r="E133" s="168" t="s">
        <v>6534</v>
      </c>
      <c r="F133" s="168" t="s">
        <v>6535</v>
      </c>
      <c r="G133" s="166"/>
      <c r="H133" s="166"/>
      <c r="I133" s="169"/>
      <c r="J133" s="170">
        <f>BK133</f>
        <v>0</v>
      </c>
      <c r="K133" s="166"/>
      <c r="L133" s="171"/>
      <c r="M133" s="172"/>
      <c r="N133" s="173"/>
      <c r="O133" s="173"/>
      <c r="P133" s="174">
        <f>P134</f>
        <v>0</v>
      </c>
      <c r="Q133" s="173"/>
      <c r="R133" s="174">
        <f>R134</f>
        <v>0</v>
      </c>
      <c r="S133" s="173"/>
      <c r="T133" s="175">
        <f>T134</f>
        <v>0</v>
      </c>
      <c r="AR133" s="176" t="s">
        <v>79</v>
      </c>
      <c r="AT133" s="177" t="s">
        <v>71</v>
      </c>
      <c r="AU133" s="177" t="s">
        <v>72</v>
      </c>
      <c r="AY133" s="176" t="s">
        <v>380</v>
      </c>
      <c r="BK133" s="178">
        <f>BK134</f>
        <v>0</v>
      </c>
    </row>
    <row r="134" spans="1:65" s="2" customFormat="1" ht="16.5" customHeight="1">
      <c r="A134" s="36"/>
      <c r="B134" s="37"/>
      <c r="C134" s="181" t="s">
        <v>660</v>
      </c>
      <c r="D134" s="181" t="s">
        <v>382</v>
      </c>
      <c r="E134" s="182" t="s">
        <v>6536</v>
      </c>
      <c r="F134" s="183" t="s">
        <v>6537</v>
      </c>
      <c r="G134" s="184" t="s">
        <v>2006</v>
      </c>
      <c r="H134" s="185">
        <v>1</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79</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963</v>
      </c>
    </row>
    <row r="135" spans="1:65" s="12" customFormat="1" ht="25.9" customHeight="1">
      <c r="B135" s="165"/>
      <c r="C135" s="166"/>
      <c r="D135" s="167" t="s">
        <v>71</v>
      </c>
      <c r="E135" s="168" t="s">
        <v>6538</v>
      </c>
      <c r="F135" s="168" t="s">
        <v>5840</v>
      </c>
      <c r="G135" s="166"/>
      <c r="H135" s="166"/>
      <c r="I135" s="169"/>
      <c r="J135" s="170">
        <f>BK135</f>
        <v>0</v>
      </c>
      <c r="K135" s="166"/>
      <c r="L135" s="171"/>
      <c r="M135" s="172"/>
      <c r="N135" s="173"/>
      <c r="O135" s="173"/>
      <c r="P135" s="174">
        <f>SUM(P136:P183)</f>
        <v>0</v>
      </c>
      <c r="Q135" s="173"/>
      <c r="R135" s="174">
        <f>SUM(R136:R183)</f>
        <v>0</v>
      </c>
      <c r="S135" s="173"/>
      <c r="T135" s="175">
        <f>SUM(T136:T183)</f>
        <v>0</v>
      </c>
      <c r="AR135" s="176" t="s">
        <v>79</v>
      </c>
      <c r="AT135" s="177" t="s">
        <v>71</v>
      </c>
      <c r="AU135" s="177" t="s">
        <v>72</v>
      </c>
      <c r="AY135" s="176" t="s">
        <v>380</v>
      </c>
      <c r="BK135" s="178">
        <f>SUM(BK136:BK183)</f>
        <v>0</v>
      </c>
    </row>
    <row r="136" spans="1:65" s="2" customFormat="1" ht="16.5" customHeight="1">
      <c r="A136" s="36"/>
      <c r="B136" s="37"/>
      <c r="C136" s="181" t="s">
        <v>664</v>
      </c>
      <c r="D136" s="181" t="s">
        <v>382</v>
      </c>
      <c r="E136" s="182" t="s">
        <v>6539</v>
      </c>
      <c r="F136" s="183" t="s">
        <v>6540</v>
      </c>
      <c r="G136" s="184" t="s">
        <v>2393</v>
      </c>
      <c r="H136" s="185">
        <v>6</v>
      </c>
      <c r="I136" s="186"/>
      <c r="J136" s="187">
        <f t="shared" ref="J136:J183" si="20">ROUND(I136*H136,2)</f>
        <v>0</v>
      </c>
      <c r="K136" s="183" t="s">
        <v>19</v>
      </c>
      <c r="L136" s="41"/>
      <c r="M136" s="188" t="s">
        <v>19</v>
      </c>
      <c r="N136" s="189" t="s">
        <v>43</v>
      </c>
      <c r="O136" s="66"/>
      <c r="P136" s="190">
        <f t="shared" ref="P136:P183" si="21">O136*H136</f>
        <v>0</v>
      </c>
      <c r="Q136" s="190">
        <v>0</v>
      </c>
      <c r="R136" s="190">
        <f t="shared" ref="R136:R183" si="22">Q136*H136</f>
        <v>0</v>
      </c>
      <c r="S136" s="190">
        <v>0</v>
      </c>
      <c r="T136" s="191">
        <f t="shared" ref="T136:T183" si="23">S136*H136</f>
        <v>0</v>
      </c>
      <c r="U136" s="36"/>
      <c r="V136" s="36"/>
      <c r="W136" s="36"/>
      <c r="X136" s="36"/>
      <c r="Y136" s="36"/>
      <c r="Z136" s="36"/>
      <c r="AA136" s="36"/>
      <c r="AB136" s="36"/>
      <c r="AC136" s="36"/>
      <c r="AD136" s="36"/>
      <c r="AE136" s="36"/>
      <c r="AR136" s="192" t="s">
        <v>281</v>
      </c>
      <c r="AT136" s="192" t="s">
        <v>382</v>
      </c>
      <c r="AU136" s="192" t="s">
        <v>79</v>
      </c>
      <c r="AY136" s="19" t="s">
        <v>380</v>
      </c>
      <c r="BE136" s="193">
        <f t="shared" ref="BE136:BE183" si="24">IF(N136="základní",J136,0)</f>
        <v>0</v>
      </c>
      <c r="BF136" s="193">
        <f t="shared" ref="BF136:BF183" si="25">IF(N136="snížená",J136,0)</f>
        <v>0</v>
      </c>
      <c r="BG136" s="193">
        <f t="shared" ref="BG136:BG183" si="26">IF(N136="zákl. přenesená",J136,0)</f>
        <v>0</v>
      </c>
      <c r="BH136" s="193">
        <f t="shared" ref="BH136:BH183" si="27">IF(N136="sníž. přenesená",J136,0)</f>
        <v>0</v>
      </c>
      <c r="BI136" s="193">
        <f t="shared" ref="BI136:BI183" si="28">IF(N136="nulová",J136,0)</f>
        <v>0</v>
      </c>
      <c r="BJ136" s="19" t="s">
        <v>79</v>
      </c>
      <c r="BK136" s="193">
        <f t="shared" ref="BK136:BK183" si="29">ROUND(I136*H136,2)</f>
        <v>0</v>
      </c>
      <c r="BL136" s="19" t="s">
        <v>281</v>
      </c>
      <c r="BM136" s="192" t="s">
        <v>971</v>
      </c>
    </row>
    <row r="137" spans="1:65" s="2" customFormat="1" ht="16.5" customHeight="1">
      <c r="A137" s="36"/>
      <c r="B137" s="37"/>
      <c r="C137" s="181" t="s">
        <v>668</v>
      </c>
      <c r="D137" s="181" t="s">
        <v>382</v>
      </c>
      <c r="E137" s="182" t="s">
        <v>6541</v>
      </c>
      <c r="F137" s="183" t="s">
        <v>6542</v>
      </c>
      <c r="G137" s="184" t="s">
        <v>2393</v>
      </c>
      <c r="H137" s="185">
        <v>6</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281</v>
      </c>
      <c r="AT137" s="192" t="s">
        <v>382</v>
      </c>
      <c r="AU137" s="192" t="s">
        <v>79</v>
      </c>
      <c r="AY137" s="19" t="s">
        <v>380</v>
      </c>
      <c r="BE137" s="193">
        <f t="shared" si="24"/>
        <v>0</v>
      </c>
      <c r="BF137" s="193">
        <f t="shared" si="25"/>
        <v>0</v>
      </c>
      <c r="BG137" s="193">
        <f t="shared" si="26"/>
        <v>0</v>
      </c>
      <c r="BH137" s="193">
        <f t="shared" si="27"/>
        <v>0</v>
      </c>
      <c r="BI137" s="193">
        <f t="shared" si="28"/>
        <v>0</v>
      </c>
      <c r="BJ137" s="19" t="s">
        <v>79</v>
      </c>
      <c r="BK137" s="193">
        <f t="shared" si="29"/>
        <v>0</v>
      </c>
      <c r="BL137" s="19" t="s">
        <v>281</v>
      </c>
      <c r="BM137" s="192" t="s">
        <v>979</v>
      </c>
    </row>
    <row r="138" spans="1:65" s="2" customFormat="1" ht="16.5" customHeight="1">
      <c r="A138" s="36"/>
      <c r="B138" s="37"/>
      <c r="C138" s="181" t="s">
        <v>672</v>
      </c>
      <c r="D138" s="181" t="s">
        <v>382</v>
      </c>
      <c r="E138" s="182" t="s">
        <v>6543</v>
      </c>
      <c r="F138" s="183" t="s">
        <v>6544</v>
      </c>
      <c r="G138" s="184" t="s">
        <v>2393</v>
      </c>
      <c r="H138" s="185">
        <v>148</v>
      </c>
      <c r="I138" s="186"/>
      <c r="J138" s="187">
        <f t="shared" si="20"/>
        <v>0</v>
      </c>
      <c r="K138" s="183" t="s">
        <v>19</v>
      </c>
      <c r="L138" s="41"/>
      <c r="M138" s="188" t="s">
        <v>19</v>
      </c>
      <c r="N138" s="189" t="s">
        <v>43</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281</v>
      </c>
      <c r="AT138" s="192" t="s">
        <v>382</v>
      </c>
      <c r="AU138" s="192" t="s">
        <v>79</v>
      </c>
      <c r="AY138" s="19" t="s">
        <v>380</v>
      </c>
      <c r="BE138" s="193">
        <f t="shared" si="24"/>
        <v>0</v>
      </c>
      <c r="BF138" s="193">
        <f t="shared" si="25"/>
        <v>0</v>
      </c>
      <c r="BG138" s="193">
        <f t="shared" si="26"/>
        <v>0</v>
      </c>
      <c r="BH138" s="193">
        <f t="shared" si="27"/>
        <v>0</v>
      </c>
      <c r="BI138" s="193">
        <f t="shared" si="28"/>
        <v>0</v>
      </c>
      <c r="BJ138" s="19" t="s">
        <v>79</v>
      </c>
      <c r="BK138" s="193">
        <f t="shared" si="29"/>
        <v>0</v>
      </c>
      <c r="BL138" s="19" t="s">
        <v>281</v>
      </c>
      <c r="BM138" s="192" t="s">
        <v>987</v>
      </c>
    </row>
    <row r="139" spans="1:65" s="2" customFormat="1" ht="16.5" customHeight="1">
      <c r="A139" s="36"/>
      <c r="B139" s="37"/>
      <c r="C139" s="181" t="s">
        <v>677</v>
      </c>
      <c r="D139" s="181" t="s">
        <v>382</v>
      </c>
      <c r="E139" s="182" t="s">
        <v>6545</v>
      </c>
      <c r="F139" s="183" t="s">
        <v>6546</v>
      </c>
      <c r="G139" s="184" t="s">
        <v>2393</v>
      </c>
      <c r="H139" s="185">
        <v>3</v>
      </c>
      <c r="I139" s="186"/>
      <c r="J139" s="187">
        <f t="shared" si="20"/>
        <v>0</v>
      </c>
      <c r="K139" s="183" t="s">
        <v>19</v>
      </c>
      <c r="L139" s="41"/>
      <c r="M139" s="188" t="s">
        <v>19</v>
      </c>
      <c r="N139" s="189" t="s">
        <v>43</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281</v>
      </c>
      <c r="AT139" s="192" t="s">
        <v>382</v>
      </c>
      <c r="AU139" s="192" t="s">
        <v>79</v>
      </c>
      <c r="AY139" s="19" t="s">
        <v>380</v>
      </c>
      <c r="BE139" s="193">
        <f t="shared" si="24"/>
        <v>0</v>
      </c>
      <c r="BF139" s="193">
        <f t="shared" si="25"/>
        <v>0</v>
      </c>
      <c r="BG139" s="193">
        <f t="shared" si="26"/>
        <v>0</v>
      </c>
      <c r="BH139" s="193">
        <f t="shared" si="27"/>
        <v>0</v>
      </c>
      <c r="BI139" s="193">
        <f t="shared" si="28"/>
        <v>0</v>
      </c>
      <c r="BJ139" s="19" t="s">
        <v>79</v>
      </c>
      <c r="BK139" s="193">
        <f t="shared" si="29"/>
        <v>0</v>
      </c>
      <c r="BL139" s="19" t="s">
        <v>281</v>
      </c>
      <c r="BM139" s="192" t="s">
        <v>995</v>
      </c>
    </row>
    <row r="140" spans="1:65" s="2" customFormat="1" ht="16.5" customHeight="1">
      <c r="A140" s="36"/>
      <c r="B140" s="37"/>
      <c r="C140" s="181" t="s">
        <v>688</v>
      </c>
      <c r="D140" s="181" t="s">
        <v>382</v>
      </c>
      <c r="E140" s="182" t="s">
        <v>6547</v>
      </c>
      <c r="F140" s="183" t="s">
        <v>6548</v>
      </c>
      <c r="G140" s="184" t="s">
        <v>452</v>
      </c>
      <c r="H140" s="185">
        <v>20</v>
      </c>
      <c r="I140" s="186"/>
      <c r="J140" s="187">
        <f t="shared" si="20"/>
        <v>0</v>
      </c>
      <c r="K140" s="183" t="s">
        <v>19</v>
      </c>
      <c r="L140" s="41"/>
      <c r="M140" s="188" t="s">
        <v>19</v>
      </c>
      <c r="N140" s="189" t="s">
        <v>43</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281</v>
      </c>
      <c r="AT140" s="192" t="s">
        <v>382</v>
      </c>
      <c r="AU140" s="192" t="s">
        <v>79</v>
      </c>
      <c r="AY140" s="19" t="s">
        <v>380</v>
      </c>
      <c r="BE140" s="193">
        <f t="shared" si="24"/>
        <v>0</v>
      </c>
      <c r="BF140" s="193">
        <f t="shared" si="25"/>
        <v>0</v>
      </c>
      <c r="BG140" s="193">
        <f t="shared" si="26"/>
        <v>0</v>
      </c>
      <c r="BH140" s="193">
        <f t="shared" si="27"/>
        <v>0</v>
      </c>
      <c r="BI140" s="193">
        <f t="shared" si="28"/>
        <v>0</v>
      </c>
      <c r="BJ140" s="19" t="s">
        <v>79</v>
      </c>
      <c r="BK140" s="193">
        <f t="shared" si="29"/>
        <v>0</v>
      </c>
      <c r="BL140" s="19" t="s">
        <v>281</v>
      </c>
      <c r="BM140" s="192" t="s">
        <v>154</v>
      </c>
    </row>
    <row r="141" spans="1:65" s="2" customFormat="1" ht="16.5" customHeight="1">
      <c r="A141" s="36"/>
      <c r="B141" s="37"/>
      <c r="C141" s="181" t="s">
        <v>699</v>
      </c>
      <c r="D141" s="181" t="s">
        <v>382</v>
      </c>
      <c r="E141" s="182" t="s">
        <v>6549</v>
      </c>
      <c r="F141" s="183" t="s">
        <v>6550</v>
      </c>
      <c r="G141" s="184" t="s">
        <v>452</v>
      </c>
      <c r="H141" s="185">
        <v>148</v>
      </c>
      <c r="I141" s="186"/>
      <c r="J141" s="187">
        <f t="shared" si="20"/>
        <v>0</v>
      </c>
      <c r="K141" s="183" t="s">
        <v>19</v>
      </c>
      <c r="L141" s="41"/>
      <c r="M141" s="188" t="s">
        <v>19</v>
      </c>
      <c r="N141" s="189" t="s">
        <v>43</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281</v>
      </c>
      <c r="AT141" s="192" t="s">
        <v>382</v>
      </c>
      <c r="AU141" s="192" t="s">
        <v>79</v>
      </c>
      <c r="AY141" s="19" t="s">
        <v>380</v>
      </c>
      <c r="BE141" s="193">
        <f t="shared" si="24"/>
        <v>0</v>
      </c>
      <c r="BF141" s="193">
        <f t="shared" si="25"/>
        <v>0</v>
      </c>
      <c r="BG141" s="193">
        <f t="shared" si="26"/>
        <v>0</v>
      </c>
      <c r="BH141" s="193">
        <f t="shared" si="27"/>
        <v>0</v>
      </c>
      <c r="BI141" s="193">
        <f t="shared" si="28"/>
        <v>0</v>
      </c>
      <c r="BJ141" s="19" t="s">
        <v>79</v>
      </c>
      <c r="BK141" s="193">
        <f t="shared" si="29"/>
        <v>0</v>
      </c>
      <c r="BL141" s="19" t="s">
        <v>281</v>
      </c>
      <c r="BM141" s="192" t="s">
        <v>160</v>
      </c>
    </row>
    <row r="142" spans="1:65" s="2" customFormat="1" ht="16.5" customHeight="1">
      <c r="A142" s="36"/>
      <c r="B142" s="37"/>
      <c r="C142" s="181" t="s">
        <v>703</v>
      </c>
      <c r="D142" s="181" t="s">
        <v>382</v>
      </c>
      <c r="E142" s="182" t="s">
        <v>6551</v>
      </c>
      <c r="F142" s="183" t="s">
        <v>6552</v>
      </c>
      <c r="G142" s="184" t="s">
        <v>452</v>
      </c>
      <c r="H142" s="185">
        <v>200</v>
      </c>
      <c r="I142" s="186"/>
      <c r="J142" s="187">
        <f t="shared" si="20"/>
        <v>0</v>
      </c>
      <c r="K142" s="183" t="s">
        <v>19</v>
      </c>
      <c r="L142" s="41"/>
      <c r="M142" s="188" t="s">
        <v>19</v>
      </c>
      <c r="N142" s="189" t="s">
        <v>43</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281</v>
      </c>
      <c r="AT142" s="192" t="s">
        <v>382</v>
      </c>
      <c r="AU142" s="192" t="s">
        <v>79</v>
      </c>
      <c r="AY142" s="19" t="s">
        <v>380</v>
      </c>
      <c r="BE142" s="193">
        <f t="shared" si="24"/>
        <v>0</v>
      </c>
      <c r="BF142" s="193">
        <f t="shared" si="25"/>
        <v>0</v>
      </c>
      <c r="BG142" s="193">
        <f t="shared" si="26"/>
        <v>0</v>
      </c>
      <c r="BH142" s="193">
        <f t="shared" si="27"/>
        <v>0</v>
      </c>
      <c r="BI142" s="193">
        <f t="shared" si="28"/>
        <v>0</v>
      </c>
      <c r="BJ142" s="19" t="s">
        <v>79</v>
      </c>
      <c r="BK142" s="193">
        <f t="shared" si="29"/>
        <v>0</v>
      </c>
      <c r="BL142" s="19" t="s">
        <v>281</v>
      </c>
      <c r="BM142" s="192" t="s">
        <v>163</v>
      </c>
    </row>
    <row r="143" spans="1:65" s="2" customFormat="1" ht="16.5" customHeight="1">
      <c r="A143" s="36"/>
      <c r="B143" s="37"/>
      <c r="C143" s="181" t="s">
        <v>709</v>
      </c>
      <c r="D143" s="181" t="s">
        <v>382</v>
      </c>
      <c r="E143" s="182" t="s">
        <v>6553</v>
      </c>
      <c r="F143" s="183" t="s">
        <v>6554</v>
      </c>
      <c r="G143" s="184" t="s">
        <v>452</v>
      </c>
      <c r="H143" s="185">
        <v>225</v>
      </c>
      <c r="I143" s="186"/>
      <c r="J143" s="187">
        <f t="shared" si="20"/>
        <v>0</v>
      </c>
      <c r="K143" s="183" t="s">
        <v>19</v>
      </c>
      <c r="L143" s="41"/>
      <c r="M143" s="188" t="s">
        <v>19</v>
      </c>
      <c r="N143" s="189" t="s">
        <v>43</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281</v>
      </c>
      <c r="AT143" s="192" t="s">
        <v>382</v>
      </c>
      <c r="AU143" s="192" t="s">
        <v>79</v>
      </c>
      <c r="AY143" s="19" t="s">
        <v>380</v>
      </c>
      <c r="BE143" s="193">
        <f t="shared" si="24"/>
        <v>0</v>
      </c>
      <c r="BF143" s="193">
        <f t="shared" si="25"/>
        <v>0</v>
      </c>
      <c r="BG143" s="193">
        <f t="shared" si="26"/>
        <v>0</v>
      </c>
      <c r="BH143" s="193">
        <f t="shared" si="27"/>
        <v>0</v>
      </c>
      <c r="BI143" s="193">
        <f t="shared" si="28"/>
        <v>0</v>
      </c>
      <c r="BJ143" s="19" t="s">
        <v>79</v>
      </c>
      <c r="BK143" s="193">
        <f t="shared" si="29"/>
        <v>0</v>
      </c>
      <c r="BL143" s="19" t="s">
        <v>281</v>
      </c>
      <c r="BM143" s="192" t="s">
        <v>1029</v>
      </c>
    </row>
    <row r="144" spans="1:65" s="2" customFormat="1" ht="16.5" customHeight="1">
      <c r="A144" s="36"/>
      <c r="B144" s="37"/>
      <c r="C144" s="181" t="s">
        <v>721</v>
      </c>
      <c r="D144" s="181" t="s">
        <v>382</v>
      </c>
      <c r="E144" s="182" t="s">
        <v>6555</v>
      </c>
      <c r="F144" s="183" t="s">
        <v>6556</v>
      </c>
      <c r="G144" s="184" t="s">
        <v>2393</v>
      </c>
      <c r="H144" s="185">
        <v>1</v>
      </c>
      <c r="I144" s="186"/>
      <c r="J144" s="187">
        <f t="shared" si="20"/>
        <v>0</v>
      </c>
      <c r="K144" s="183" t="s">
        <v>19</v>
      </c>
      <c r="L144" s="41"/>
      <c r="M144" s="188" t="s">
        <v>19</v>
      </c>
      <c r="N144" s="189" t="s">
        <v>43</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281</v>
      </c>
      <c r="AT144" s="192" t="s">
        <v>382</v>
      </c>
      <c r="AU144" s="192" t="s">
        <v>79</v>
      </c>
      <c r="AY144" s="19" t="s">
        <v>380</v>
      </c>
      <c r="BE144" s="193">
        <f t="shared" si="24"/>
        <v>0</v>
      </c>
      <c r="BF144" s="193">
        <f t="shared" si="25"/>
        <v>0</v>
      </c>
      <c r="BG144" s="193">
        <f t="shared" si="26"/>
        <v>0</v>
      </c>
      <c r="BH144" s="193">
        <f t="shared" si="27"/>
        <v>0</v>
      </c>
      <c r="BI144" s="193">
        <f t="shared" si="28"/>
        <v>0</v>
      </c>
      <c r="BJ144" s="19" t="s">
        <v>79</v>
      </c>
      <c r="BK144" s="193">
        <f t="shared" si="29"/>
        <v>0</v>
      </c>
      <c r="BL144" s="19" t="s">
        <v>281</v>
      </c>
      <c r="BM144" s="192" t="s">
        <v>1039</v>
      </c>
    </row>
    <row r="145" spans="1:65" s="2" customFormat="1" ht="16.5" customHeight="1">
      <c r="A145" s="36"/>
      <c r="B145" s="37"/>
      <c r="C145" s="181" t="s">
        <v>733</v>
      </c>
      <c r="D145" s="181" t="s">
        <v>382</v>
      </c>
      <c r="E145" s="182" t="s">
        <v>6557</v>
      </c>
      <c r="F145" s="183" t="s">
        <v>6558</v>
      </c>
      <c r="G145" s="184" t="s">
        <v>2393</v>
      </c>
      <c r="H145" s="185">
        <v>4</v>
      </c>
      <c r="I145" s="186"/>
      <c r="J145" s="187">
        <f t="shared" si="20"/>
        <v>0</v>
      </c>
      <c r="K145" s="183" t="s">
        <v>19</v>
      </c>
      <c r="L145" s="41"/>
      <c r="M145" s="188" t="s">
        <v>19</v>
      </c>
      <c r="N145" s="189" t="s">
        <v>43</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281</v>
      </c>
      <c r="AT145" s="192" t="s">
        <v>382</v>
      </c>
      <c r="AU145" s="192" t="s">
        <v>79</v>
      </c>
      <c r="AY145" s="19" t="s">
        <v>380</v>
      </c>
      <c r="BE145" s="193">
        <f t="shared" si="24"/>
        <v>0</v>
      </c>
      <c r="BF145" s="193">
        <f t="shared" si="25"/>
        <v>0</v>
      </c>
      <c r="BG145" s="193">
        <f t="shared" si="26"/>
        <v>0</v>
      </c>
      <c r="BH145" s="193">
        <f t="shared" si="27"/>
        <v>0</v>
      </c>
      <c r="BI145" s="193">
        <f t="shared" si="28"/>
        <v>0</v>
      </c>
      <c r="BJ145" s="19" t="s">
        <v>79</v>
      </c>
      <c r="BK145" s="193">
        <f t="shared" si="29"/>
        <v>0</v>
      </c>
      <c r="BL145" s="19" t="s">
        <v>281</v>
      </c>
      <c r="BM145" s="192" t="s">
        <v>1049</v>
      </c>
    </row>
    <row r="146" spans="1:65" s="2" customFormat="1" ht="16.5" customHeight="1">
      <c r="A146" s="36"/>
      <c r="B146" s="37"/>
      <c r="C146" s="181" t="s">
        <v>744</v>
      </c>
      <c r="D146" s="181" t="s">
        <v>382</v>
      </c>
      <c r="E146" s="182" t="s">
        <v>6559</v>
      </c>
      <c r="F146" s="183" t="s">
        <v>6560</v>
      </c>
      <c r="G146" s="184" t="s">
        <v>452</v>
      </c>
      <c r="H146" s="185">
        <v>295</v>
      </c>
      <c r="I146" s="186"/>
      <c r="J146" s="187">
        <f t="shared" si="20"/>
        <v>0</v>
      </c>
      <c r="K146" s="183" t="s">
        <v>19</v>
      </c>
      <c r="L146" s="41"/>
      <c r="M146" s="188" t="s">
        <v>19</v>
      </c>
      <c r="N146" s="189" t="s">
        <v>43</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281</v>
      </c>
      <c r="AT146" s="192" t="s">
        <v>382</v>
      </c>
      <c r="AU146" s="192" t="s">
        <v>79</v>
      </c>
      <c r="AY146" s="19" t="s">
        <v>380</v>
      </c>
      <c r="BE146" s="193">
        <f t="shared" si="24"/>
        <v>0</v>
      </c>
      <c r="BF146" s="193">
        <f t="shared" si="25"/>
        <v>0</v>
      </c>
      <c r="BG146" s="193">
        <f t="shared" si="26"/>
        <v>0</v>
      </c>
      <c r="BH146" s="193">
        <f t="shared" si="27"/>
        <v>0</v>
      </c>
      <c r="BI146" s="193">
        <f t="shared" si="28"/>
        <v>0</v>
      </c>
      <c r="BJ146" s="19" t="s">
        <v>79</v>
      </c>
      <c r="BK146" s="193">
        <f t="shared" si="29"/>
        <v>0</v>
      </c>
      <c r="BL146" s="19" t="s">
        <v>281</v>
      </c>
      <c r="BM146" s="192" t="s">
        <v>1059</v>
      </c>
    </row>
    <row r="147" spans="1:65" s="2" customFormat="1" ht="16.5" customHeight="1">
      <c r="A147" s="36"/>
      <c r="B147" s="37"/>
      <c r="C147" s="181" t="s">
        <v>753</v>
      </c>
      <c r="D147" s="181" t="s">
        <v>382</v>
      </c>
      <c r="E147" s="182" t="s">
        <v>6561</v>
      </c>
      <c r="F147" s="183" t="s">
        <v>6562</v>
      </c>
      <c r="G147" s="184" t="s">
        <v>2393</v>
      </c>
      <c r="H147" s="185">
        <v>3</v>
      </c>
      <c r="I147" s="186"/>
      <c r="J147" s="187">
        <f t="shared" si="20"/>
        <v>0</v>
      </c>
      <c r="K147" s="183" t="s">
        <v>19</v>
      </c>
      <c r="L147" s="41"/>
      <c r="M147" s="188" t="s">
        <v>19</v>
      </c>
      <c r="N147" s="189" t="s">
        <v>43</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281</v>
      </c>
      <c r="AT147" s="192" t="s">
        <v>382</v>
      </c>
      <c r="AU147" s="192" t="s">
        <v>79</v>
      </c>
      <c r="AY147" s="19" t="s">
        <v>380</v>
      </c>
      <c r="BE147" s="193">
        <f t="shared" si="24"/>
        <v>0</v>
      </c>
      <c r="BF147" s="193">
        <f t="shared" si="25"/>
        <v>0</v>
      </c>
      <c r="BG147" s="193">
        <f t="shared" si="26"/>
        <v>0</v>
      </c>
      <c r="BH147" s="193">
        <f t="shared" si="27"/>
        <v>0</v>
      </c>
      <c r="BI147" s="193">
        <f t="shared" si="28"/>
        <v>0</v>
      </c>
      <c r="BJ147" s="19" t="s">
        <v>79</v>
      </c>
      <c r="BK147" s="193">
        <f t="shared" si="29"/>
        <v>0</v>
      </c>
      <c r="BL147" s="19" t="s">
        <v>281</v>
      </c>
      <c r="BM147" s="192" t="s">
        <v>1068</v>
      </c>
    </row>
    <row r="148" spans="1:65" s="2" customFormat="1" ht="16.5" customHeight="1">
      <c r="A148" s="36"/>
      <c r="B148" s="37"/>
      <c r="C148" s="181" t="s">
        <v>760</v>
      </c>
      <c r="D148" s="181" t="s">
        <v>382</v>
      </c>
      <c r="E148" s="182" t="s">
        <v>6563</v>
      </c>
      <c r="F148" s="183" t="s">
        <v>6564</v>
      </c>
      <c r="G148" s="184" t="s">
        <v>2393</v>
      </c>
      <c r="H148" s="185">
        <v>25</v>
      </c>
      <c r="I148" s="186"/>
      <c r="J148" s="187">
        <f t="shared" si="20"/>
        <v>0</v>
      </c>
      <c r="K148" s="183" t="s">
        <v>19</v>
      </c>
      <c r="L148" s="41"/>
      <c r="M148" s="188" t="s">
        <v>19</v>
      </c>
      <c r="N148" s="189" t="s">
        <v>43</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281</v>
      </c>
      <c r="AT148" s="192" t="s">
        <v>382</v>
      </c>
      <c r="AU148" s="192" t="s">
        <v>79</v>
      </c>
      <c r="AY148" s="19" t="s">
        <v>380</v>
      </c>
      <c r="BE148" s="193">
        <f t="shared" si="24"/>
        <v>0</v>
      </c>
      <c r="BF148" s="193">
        <f t="shared" si="25"/>
        <v>0</v>
      </c>
      <c r="BG148" s="193">
        <f t="shared" si="26"/>
        <v>0</v>
      </c>
      <c r="BH148" s="193">
        <f t="shared" si="27"/>
        <v>0</v>
      </c>
      <c r="BI148" s="193">
        <f t="shared" si="28"/>
        <v>0</v>
      </c>
      <c r="BJ148" s="19" t="s">
        <v>79</v>
      </c>
      <c r="BK148" s="193">
        <f t="shared" si="29"/>
        <v>0</v>
      </c>
      <c r="BL148" s="19" t="s">
        <v>281</v>
      </c>
      <c r="BM148" s="192" t="s">
        <v>1079</v>
      </c>
    </row>
    <row r="149" spans="1:65" s="2" customFormat="1" ht="16.5" customHeight="1">
      <c r="A149" s="36"/>
      <c r="B149" s="37"/>
      <c r="C149" s="181" t="s">
        <v>767</v>
      </c>
      <c r="D149" s="181" t="s">
        <v>382</v>
      </c>
      <c r="E149" s="182" t="s">
        <v>6565</v>
      </c>
      <c r="F149" s="183" t="s">
        <v>6566</v>
      </c>
      <c r="G149" s="184" t="s">
        <v>2678</v>
      </c>
      <c r="H149" s="185">
        <v>19</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281</v>
      </c>
      <c r="AT149" s="192" t="s">
        <v>382</v>
      </c>
      <c r="AU149" s="192" t="s">
        <v>79</v>
      </c>
      <c r="AY149" s="19" t="s">
        <v>380</v>
      </c>
      <c r="BE149" s="193">
        <f t="shared" si="24"/>
        <v>0</v>
      </c>
      <c r="BF149" s="193">
        <f t="shared" si="25"/>
        <v>0</v>
      </c>
      <c r="BG149" s="193">
        <f t="shared" si="26"/>
        <v>0</v>
      </c>
      <c r="BH149" s="193">
        <f t="shared" si="27"/>
        <v>0</v>
      </c>
      <c r="BI149" s="193">
        <f t="shared" si="28"/>
        <v>0</v>
      </c>
      <c r="BJ149" s="19" t="s">
        <v>79</v>
      </c>
      <c r="BK149" s="193">
        <f t="shared" si="29"/>
        <v>0</v>
      </c>
      <c r="BL149" s="19" t="s">
        <v>281</v>
      </c>
      <c r="BM149" s="192" t="s">
        <v>1095</v>
      </c>
    </row>
    <row r="150" spans="1:65" s="2" customFormat="1" ht="16.5" customHeight="1">
      <c r="A150" s="36"/>
      <c r="B150" s="37"/>
      <c r="C150" s="181" t="s">
        <v>771</v>
      </c>
      <c r="D150" s="181" t="s">
        <v>382</v>
      </c>
      <c r="E150" s="182" t="s">
        <v>6567</v>
      </c>
      <c r="F150" s="183" t="s">
        <v>6568</v>
      </c>
      <c r="G150" s="184" t="s">
        <v>2393</v>
      </c>
      <c r="H150" s="185">
        <v>2</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281</v>
      </c>
      <c r="AT150" s="192" t="s">
        <v>382</v>
      </c>
      <c r="AU150" s="192" t="s">
        <v>79</v>
      </c>
      <c r="AY150" s="19" t="s">
        <v>380</v>
      </c>
      <c r="BE150" s="193">
        <f t="shared" si="24"/>
        <v>0</v>
      </c>
      <c r="BF150" s="193">
        <f t="shared" si="25"/>
        <v>0</v>
      </c>
      <c r="BG150" s="193">
        <f t="shared" si="26"/>
        <v>0</v>
      </c>
      <c r="BH150" s="193">
        <f t="shared" si="27"/>
        <v>0</v>
      </c>
      <c r="BI150" s="193">
        <f t="shared" si="28"/>
        <v>0</v>
      </c>
      <c r="BJ150" s="19" t="s">
        <v>79</v>
      </c>
      <c r="BK150" s="193">
        <f t="shared" si="29"/>
        <v>0</v>
      </c>
      <c r="BL150" s="19" t="s">
        <v>281</v>
      </c>
      <c r="BM150" s="192" t="s">
        <v>1112</v>
      </c>
    </row>
    <row r="151" spans="1:65" s="2" customFormat="1" ht="16.5" customHeight="1">
      <c r="A151" s="36"/>
      <c r="B151" s="37"/>
      <c r="C151" s="181" t="s">
        <v>776</v>
      </c>
      <c r="D151" s="181" t="s">
        <v>382</v>
      </c>
      <c r="E151" s="182" t="s">
        <v>6569</v>
      </c>
      <c r="F151" s="183" t="s">
        <v>6570</v>
      </c>
      <c r="G151" s="184" t="s">
        <v>2393</v>
      </c>
      <c r="H151" s="185">
        <v>12</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281</v>
      </c>
      <c r="AT151" s="192" t="s">
        <v>382</v>
      </c>
      <c r="AU151" s="192" t="s">
        <v>79</v>
      </c>
      <c r="AY151" s="19" t="s">
        <v>380</v>
      </c>
      <c r="BE151" s="193">
        <f t="shared" si="24"/>
        <v>0</v>
      </c>
      <c r="BF151" s="193">
        <f t="shared" si="25"/>
        <v>0</v>
      </c>
      <c r="BG151" s="193">
        <f t="shared" si="26"/>
        <v>0</v>
      </c>
      <c r="BH151" s="193">
        <f t="shared" si="27"/>
        <v>0</v>
      </c>
      <c r="BI151" s="193">
        <f t="shared" si="28"/>
        <v>0</v>
      </c>
      <c r="BJ151" s="19" t="s">
        <v>79</v>
      </c>
      <c r="BK151" s="193">
        <f t="shared" si="29"/>
        <v>0</v>
      </c>
      <c r="BL151" s="19" t="s">
        <v>281</v>
      </c>
      <c r="BM151" s="192" t="s">
        <v>1122</v>
      </c>
    </row>
    <row r="152" spans="1:65" s="2" customFormat="1" ht="16.5" customHeight="1">
      <c r="A152" s="36"/>
      <c r="B152" s="37"/>
      <c r="C152" s="181" t="s">
        <v>782</v>
      </c>
      <c r="D152" s="181" t="s">
        <v>382</v>
      </c>
      <c r="E152" s="182" t="s">
        <v>6571</v>
      </c>
      <c r="F152" s="183" t="s">
        <v>6572</v>
      </c>
      <c r="G152" s="184" t="s">
        <v>2393</v>
      </c>
      <c r="H152" s="185">
        <v>2</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281</v>
      </c>
      <c r="AT152" s="192" t="s">
        <v>382</v>
      </c>
      <c r="AU152" s="192" t="s">
        <v>79</v>
      </c>
      <c r="AY152" s="19" t="s">
        <v>380</v>
      </c>
      <c r="BE152" s="193">
        <f t="shared" si="24"/>
        <v>0</v>
      </c>
      <c r="BF152" s="193">
        <f t="shared" si="25"/>
        <v>0</v>
      </c>
      <c r="BG152" s="193">
        <f t="shared" si="26"/>
        <v>0</v>
      </c>
      <c r="BH152" s="193">
        <f t="shared" si="27"/>
        <v>0</v>
      </c>
      <c r="BI152" s="193">
        <f t="shared" si="28"/>
        <v>0</v>
      </c>
      <c r="BJ152" s="19" t="s">
        <v>79</v>
      </c>
      <c r="BK152" s="193">
        <f t="shared" si="29"/>
        <v>0</v>
      </c>
      <c r="BL152" s="19" t="s">
        <v>281</v>
      </c>
      <c r="BM152" s="192" t="s">
        <v>1131</v>
      </c>
    </row>
    <row r="153" spans="1:65" s="2" customFormat="1" ht="16.5" customHeight="1">
      <c r="A153" s="36"/>
      <c r="B153" s="37"/>
      <c r="C153" s="181" t="s">
        <v>787</v>
      </c>
      <c r="D153" s="181" t="s">
        <v>382</v>
      </c>
      <c r="E153" s="182" t="s">
        <v>6573</v>
      </c>
      <c r="F153" s="183" t="s">
        <v>6574</v>
      </c>
      <c r="G153" s="184" t="s">
        <v>2393</v>
      </c>
      <c r="H153" s="185">
        <v>2</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281</v>
      </c>
      <c r="AT153" s="192" t="s">
        <v>382</v>
      </c>
      <c r="AU153" s="192" t="s">
        <v>79</v>
      </c>
      <c r="AY153" s="19" t="s">
        <v>380</v>
      </c>
      <c r="BE153" s="193">
        <f t="shared" si="24"/>
        <v>0</v>
      </c>
      <c r="BF153" s="193">
        <f t="shared" si="25"/>
        <v>0</v>
      </c>
      <c r="BG153" s="193">
        <f t="shared" si="26"/>
        <v>0</v>
      </c>
      <c r="BH153" s="193">
        <f t="shared" si="27"/>
        <v>0</v>
      </c>
      <c r="BI153" s="193">
        <f t="shared" si="28"/>
        <v>0</v>
      </c>
      <c r="BJ153" s="19" t="s">
        <v>79</v>
      </c>
      <c r="BK153" s="193">
        <f t="shared" si="29"/>
        <v>0</v>
      </c>
      <c r="BL153" s="19" t="s">
        <v>281</v>
      </c>
      <c r="BM153" s="192" t="s">
        <v>1140</v>
      </c>
    </row>
    <row r="154" spans="1:65" s="2" customFormat="1" ht="16.5" customHeight="1">
      <c r="A154" s="36"/>
      <c r="B154" s="37"/>
      <c r="C154" s="181" t="s">
        <v>791</v>
      </c>
      <c r="D154" s="181" t="s">
        <v>382</v>
      </c>
      <c r="E154" s="182" t="s">
        <v>6575</v>
      </c>
      <c r="F154" s="183" t="s">
        <v>6576</v>
      </c>
      <c r="G154" s="184" t="s">
        <v>2393</v>
      </c>
      <c r="H154" s="185">
        <v>2</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281</v>
      </c>
      <c r="AT154" s="192" t="s">
        <v>382</v>
      </c>
      <c r="AU154" s="192" t="s">
        <v>79</v>
      </c>
      <c r="AY154" s="19" t="s">
        <v>380</v>
      </c>
      <c r="BE154" s="193">
        <f t="shared" si="24"/>
        <v>0</v>
      </c>
      <c r="BF154" s="193">
        <f t="shared" si="25"/>
        <v>0</v>
      </c>
      <c r="BG154" s="193">
        <f t="shared" si="26"/>
        <v>0</v>
      </c>
      <c r="BH154" s="193">
        <f t="shared" si="27"/>
        <v>0</v>
      </c>
      <c r="BI154" s="193">
        <f t="shared" si="28"/>
        <v>0</v>
      </c>
      <c r="BJ154" s="19" t="s">
        <v>79</v>
      </c>
      <c r="BK154" s="193">
        <f t="shared" si="29"/>
        <v>0</v>
      </c>
      <c r="BL154" s="19" t="s">
        <v>281</v>
      </c>
      <c r="BM154" s="192" t="s">
        <v>1156</v>
      </c>
    </row>
    <row r="155" spans="1:65" s="2" customFormat="1" ht="16.5" customHeight="1">
      <c r="A155" s="36"/>
      <c r="B155" s="37"/>
      <c r="C155" s="181" t="s">
        <v>795</v>
      </c>
      <c r="D155" s="181" t="s">
        <v>382</v>
      </c>
      <c r="E155" s="182" t="s">
        <v>6577</v>
      </c>
      <c r="F155" s="183" t="s">
        <v>6578</v>
      </c>
      <c r="G155" s="184" t="s">
        <v>2393</v>
      </c>
      <c r="H155" s="185">
        <v>3</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281</v>
      </c>
      <c r="AT155" s="192" t="s">
        <v>382</v>
      </c>
      <c r="AU155" s="192" t="s">
        <v>79</v>
      </c>
      <c r="AY155" s="19" t="s">
        <v>380</v>
      </c>
      <c r="BE155" s="193">
        <f t="shared" si="24"/>
        <v>0</v>
      </c>
      <c r="BF155" s="193">
        <f t="shared" si="25"/>
        <v>0</v>
      </c>
      <c r="BG155" s="193">
        <f t="shared" si="26"/>
        <v>0</v>
      </c>
      <c r="BH155" s="193">
        <f t="shared" si="27"/>
        <v>0</v>
      </c>
      <c r="BI155" s="193">
        <f t="shared" si="28"/>
        <v>0</v>
      </c>
      <c r="BJ155" s="19" t="s">
        <v>79</v>
      </c>
      <c r="BK155" s="193">
        <f t="shared" si="29"/>
        <v>0</v>
      </c>
      <c r="BL155" s="19" t="s">
        <v>281</v>
      </c>
      <c r="BM155" s="192" t="s">
        <v>1165</v>
      </c>
    </row>
    <row r="156" spans="1:65" s="2" customFormat="1" ht="16.5" customHeight="1">
      <c r="A156" s="36"/>
      <c r="B156" s="37"/>
      <c r="C156" s="181" t="s">
        <v>799</v>
      </c>
      <c r="D156" s="181" t="s">
        <v>382</v>
      </c>
      <c r="E156" s="182" t="s">
        <v>6579</v>
      </c>
      <c r="F156" s="183" t="s">
        <v>6580</v>
      </c>
      <c r="G156" s="184" t="s">
        <v>2393</v>
      </c>
      <c r="H156" s="185">
        <v>2</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281</v>
      </c>
      <c r="AT156" s="192" t="s">
        <v>382</v>
      </c>
      <c r="AU156" s="192" t="s">
        <v>79</v>
      </c>
      <c r="AY156" s="19" t="s">
        <v>380</v>
      </c>
      <c r="BE156" s="193">
        <f t="shared" si="24"/>
        <v>0</v>
      </c>
      <c r="BF156" s="193">
        <f t="shared" si="25"/>
        <v>0</v>
      </c>
      <c r="BG156" s="193">
        <f t="shared" si="26"/>
        <v>0</v>
      </c>
      <c r="BH156" s="193">
        <f t="shared" si="27"/>
        <v>0</v>
      </c>
      <c r="BI156" s="193">
        <f t="shared" si="28"/>
        <v>0</v>
      </c>
      <c r="BJ156" s="19" t="s">
        <v>79</v>
      </c>
      <c r="BK156" s="193">
        <f t="shared" si="29"/>
        <v>0</v>
      </c>
      <c r="BL156" s="19" t="s">
        <v>281</v>
      </c>
      <c r="BM156" s="192" t="s">
        <v>1183</v>
      </c>
    </row>
    <row r="157" spans="1:65" s="2" customFormat="1" ht="16.5" customHeight="1">
      <c r="A157" s="36"/>
      <c r="B157" s="37"/>
      <c r="C157" s="181" t="s">
        <v>804</v>
      </c>
      <c r="D157" s="181" t="s">
        <v>382</v>
      </c>
      <c r="E157" s="182" t="s">
        <v>6581</v>
      </c>
      <c r="F157" s="183" t="s">
        <v>6582</v>
      </c>
      <c r="G157" s="184" t="s">
        <v>2393</v>
      </c>
      <c r="H157" s="185">
        <v>1</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281</v>
      </c>
      <c r="AT157" s="192" t="s">
        <v>382</v>
      </c>
      <c r="AU157" s="192" t="s">
        <v>79</v>
      </c>
      <c r="AY157" s="19" t="s">
        <v>380</v>
      </c>
      <c r="BE157" s="193">
        <f t="shared" si="24"/>
        <v>0</v>
      </c>
      <c r="BF157" s="193">
        <f t="shared" si="25"/>
        <v>0</v>
      </c>
      <c r="BG157" s="193">
        <f t="shared" si="26"/>
        <v>0</v>
      </c>
      <c r="BH157" s="193">
        <f t="shared" si="27"/>
        <v>0</v>
      </c>
      <c r="BI157" s="193">
        <f t="shared" si="28"/>
        <v>0</v>
      </c>
      <c r="BJ157" s="19" t="s">
        <v>79</v>
      </c>
      <c r="BK157" s="193">
        <f t="shared" si="29"/>
        <v>0</v>
      </c>
      <c r="BL157" s="19" t="s">
        <v>281</v>
      </c>
      <c r="BM157" s="192" t="s">
        <v>1193</v>
      </c>
    </row>
    <row r="158" spans="1:65" s="2" customFormat="1" ht="16.5" customHeight="1">
      <c r="A158" s="36"/>
      <c r="B158" s="37"/>
      <c r="C158" s="181" t="s">
        <v>815</v>
      </c>
      <c r="D158" s="181" t="s">
        <v>382</v>
      </c>
      <c r="E158" s="182" t="s">
        <v>6583</v>
      </c>
      <c r="F158" s="183" t="s">
        <v>6584</v>
      </c>
      <c r="G158" s="184" t="s">
        <v>2393</v>
      </c>
      <c r="H158" s="185">
        <v>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281</v>
      </c>
      <c r="AT158" s="192" t="s">
        <v>382</v>
      </c>
      <c r="AU158" s="192" t="s">
        <v>79</v>
      </c>
      <c r="AY158" s="19" t="s">
        <v>380</v>
      </c>
      <c r="BE158" s="193">
        <f t="shared" si="24"/>
        <v>0</v>
      </c>
      <c r="BF158" s="193">
        <f t="shared" si="25"/>
        <v>0</v>
      </c>
      <c r="BG158" s="193">
        <f t="shared" si="26"/>
        <v>0</v>
      </c>
      <c r="BH158" s="193">
        <f t="shared" si="27"/>
        <v>0</v>
      </c>
      <c r="BI158" s="193">
        <f t="shared" si="28"/>
        <v>0</v>
      </c>
      <c r="BJ158" s="19" t="s">
        <v>79</v>
      </c>
      <c r="BK158" s="193">
        <f t="shared" si="29"/>
        <v>0</v>
      </c>
      <c r="BL158" s="19" t="s">
        <v>281</v>
      </c>
      <c r="BM158" s="192" t="s">
        <v>1209</v>
      </c>
    </row>
    <row r="159" spans="1:65" s="2" customFormat="1" ht="16.5" customHeight="1">
      <c r="A159" s="36"/>
      <c r="B159" s="37"/>
      <c r="C159" s="181" t="s">
        <v>831</v>
      </c>
      <c r="D159" s="181" t="s">
        <v>382</v>
      </c>
      <c r="E159" s="182" t="s">
        <v>6585</v>
      </c>
      <c r="F159" s="183" t="s">
        <v>6586</v>
      </c>
      <c r="G159" s="184" t="s">
        <v>2393</v>
      </c>
      <c r="H159" s="185">
        <v>2</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281</v>
      </c>
      <c r="AT159" s="192" t="s">
        <v>382</v>
      </c>
      <c r="AU159" s="192" t="s">
        <v>79</v>
      </c>
      <c r="AY159" s="19" t="s">
        <v>380</v>
      </c>
      <c r="BE159" s="193">
        <f t="shared" si="24"/>
        <v>0</v>
      </c>
      <c r="BF159" s="193">
        <f t="shared" si="25"/>
        <v>0</v>
      </c>
      <c r="BG159" s="193">
        <f t="shared" si="26"/>
        <v>0</v>
      </c>
      <c r="BH159" s="193">
        <f t="shared" si="27"/>
        <v>0</v>
      </c>
      <c r="BI159" s="193">
        <f t="shared" si="28"/>
        <v>0</v>
      </c>
      <c r="BJ159" s="19" t="s">
        <v>79</v>
      </c>
      <c r="BK159" s="193">
        <f t="shared" si="29"/>
        <v>0</v>
      </c>
      <c r="BL159" s="19" t="s">
        <v>281</v>
      </c>
      <c r="BM159" s="192" t="s">
        <v>1222</v>
      </c>
    </row>
    <row r="160" spans="1:65" s="2" customFormat="1" ht="16.5" customHeight="1">
      <c r="A160" s="36"/>
      <c r="B160" s="37"/>
      <c r="C160" s="181" t="s">
        <v>835</v>
      </c>
      <c r="D160" s="181" t="s">
        <v>382</v>
      </c>
      <c r="E160" s="182" t="s">
        <v>6587</v>
      </c>
      <c r="F160" s="183" t="s">
        <v>6588</v>
      </c>
      <c r="G160" s="184" t="s">
        <v>2393</v>
      </c>
      <c r="H160" s="185">
        <v>6</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281</v>
      </c>
      <c r="AT160" s="192" t="s">
        <v>382</v>
      </c>
      <c r="AU160" s="192" t="s">
        <v>79</v>
      </c>
      <c r="AY160" s="19" t="s">
        <v>380</v>
      </c>
      <c r="BE160" s="193">
        <f t="shared" si="24"/>
        <v>0</v>
      </c>
      <c r="BF160" s="193">
        <f t="shared" si="25"/>
        <v>0</v>
      </c>
      <c r="BG160" s="193">
        <f t="shared" si="26"/>
        <v>0</v>
      </c>
      <c r="BH160" s="193">
        <f t="shared" si="27"/>
        <v>0</v>
      </c>
      <c r="BI160" s="193">
        <f t="shared" si="28"/>
        <v>0</v>
      </c>
      <c r="BJ160" s="19" t="s">
        <v>79</v>
      </c>
      <c r="BK160" s="193">
        <f t="shared" si="29"/>
        <v>0</v>
      </c>
      <c r="BL160" s="19" t="s">
        <v>281</v>
      </c>
      <c r="BM160" s="192" t="s">
        <v>1239</v>
      </c>
    </row>
    <row r="161" spans="1:65" s="2" customFormat="1" ht="16.5" customHeight="1">
      <c r="A161" s="36"/>
      <c r="B161" s="37"/>
      <c r="C161" s="181" t="s">
        <v>841</v>
      </c>
      <c r="D161" s="181" t="s">
        <v>382</v>
      </c>
      <c r="E161" s="182" t="s">
        <v>6589</v>
      </c>
      <c r="F161" s="183" t="s">
        <v>6590</v>
      </c>
      <c r="G161" s="184" t="s">
        <v>2393</v>
      </c>
      <c r="H161" s="185">
        <v>2</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281</v>
      </c>
      <c r="AT161" s="192" t="s">
        <v>382</v>
      </c>
      <c r="AU161" s="192" t="s">
        <v>79</v>
      </c>
      <c r="AY161" s="19" t="s">
        <v>380</v>
      </c>
      <c r="BE161" s="193">
        <f t="shared" si="24"/>
        <v>0</v>
      </c>
      <c r="BF161" s="193">
        <f t="shared" si="25"/>
        <v>0</v>
      </c>
      <c r="BG161" s="193">
        <f t="shared" si="26"/>
        <v>0</v>
      </c>
      <c r="BH161" s="193">
        <f t="shared" si="27"/>
        <v>0</v>
      </c>
      <c r="BI161" s="193">
        <f t="shared" si="28"/>
        <v>0</v>
      </c>
      <c r="BJ161" s="19" t="s">
        <v>79</v>
      </c>
      <c r="BK161" s="193">
        <f t="shared" si="29"/>
        <v>0</v>
      </c>
      <c r="BL161" s="19" t="s">
        <v>281</v>
      </c>
      <c r="BM161" s="192" t="s">
        <v>1251</v>
      </c>
    </row>
    <row r="162" spans="1:65" s="2" customFormat="1" ht="16.5" customHeight="1">
      <c r="A162" s="36"/>
      <c r="B162" s="37"/>
      <c r="C162" s="181" t="s">
        <v>845</v>
      </c>
      <c r="D162" s="181" t="s">
        <v>382</v>
      </c>
      <c r="E162" s="182" t="s">
        <v>6591</v>
      </c>
      <c r="F162" s="183" t="s">
        <v>6592</v>
      </c>
      <c r="G162" s="184" t="s">
        <v>2393</v>
      </c>
      <c r="H162" s="185">
        <v>4</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281</v>
      </c>
      <c r="AT162" s="192" t="s">
        <v>382</v>
      </c>
      <c r="AU162" s="192" t="s">
        <v>79</v>
      </c>
      <c r="AY162" s="19" t="s">
        <v>380</v>
      </c>
      <c r="BE162" s="193">
        <f t="shared" si="24"/>
        <v>0</v>
      </c>
      <c r="BF162" s="193">
        <f t="shared" si="25"/>
        <v>0</v>
      </c>
      <c r="BG162" s="193">
        <f t="shared" si="26"/>
        <v>0</v>
      </c>
      <c r="BH162" s="193">
        <f t="shared" si="27"/>
        <v>0</v>
      </c>
      <c r="BI162" s="193">
        <f t="shared" si="28"/>
        <v>0</v>
      </c>
      <c r="BJ162" s="19" t="s">
        <v>79</v>
      </c>
      <c r="BK162" s="193">
        <f t="shared" si="29"/>
        <v>0</v>
      </c>
      <c r="BL162" s="19" t="s">
        <v>281</v>
      </c>
      <c r="BM162" s="192" t="s">
        <v>1261</v>
      </c>
    </row>
    <row r="163" spans="1:65" s="2" customFormat="1" ht="16.5" customHeight="1">
      <c r="A163" s="36"/>
      <c r="B163" s="37"/>
      <c r="C163" s="181" t="s">
        <v>851</v>
      </c>
      <c r="D163" s="181" t="s">
        <v>382</v>
      </c>
      <c r="E163" s="182" t="s">
        <v>6593</v>
      </c>
      <c r="F163" s="183" t="s">
        <v>6594</v>
      </c>
      <c r="G163" s="184" t="s">
        <v>2393</v>
      </c>
      <c r="H163" s="185">
        <v>1</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281</v>
      </c>
      <c r="AT163" s="192" t="s">
        <v>382</v>
      </c>
      <c r="AU163" s="192" t="s">
        <v>79</v>
      </c>
      <c r="AY163" s="19" t="s">
        <v>380</v>
      </c>
      <c r="BE163" s="193">
        <f t="shared" si="24"/>
        <v>0</v>
      </c>
      <c r="BF163" s="193">
        <f t="shared" si="25"/>
        <v>0</v>
      </c>
      <c r="BG163" s="193">
        <f t="shared" si="26"/>
        <v>0</v>
      </c>
      <c r="BH163" s="193">
        <f t="shared" si="27"/>
        <v>0</v>
      </c>
      <c r="BI163" s="193">
        <f t="shared" si="28"/>
        <v>0</v>
      </c>
      <c r="BJ163" s="19" t="s">
        <v>79</v>
      </c>
      <c r="BK163" s="193">
        <f t="shared" si="29"/>
        <v>0</v>
      </c>
      <c r="BL163" s="19" t="s">
        <v>281</v>
      </c>
      <c r="BM163" s="192" t="s">
        <v>1271</v>
      </c>
    </row>
    <row r="164" spans="1:65" s="2" customFormat="1" ht="16.5" customHeight="1">
      <c r="A164" s="36"/>
      <c r="B164" s="37"/>
      <c r="C164" s="181" t="s">
        <v>855</v>
      </c>
      <c r="D164" s="181" t="s">
        <v>382</v>
      </c>
      <c r="E164" s="182" t="s">
        <v>6595</v>
      </c>
      <c r="F164" s="183" t="s">
        <v>6596</v>
      </c>
      <c r="G164" s="184" t="s">
        <v>2393</v>
      </c>
      <c r="H164" s="185">
        <v>10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281</v>
      </c>
      <c r="AT164" s="192" t="s">
        <v>382</v>
      </c>
      <c r="AU164" s="192" t="s">
        <v>79</v>
      </c>
      <c r="AY164" s="19" t="s">
        <v>380</v>
      </c>
      <c r="BE164" s="193">
        <f t="shared" si="24"/>
        <v>0</v>
      </c>
      <c r="BF164" s="193">
        <f t="shared" si="25"/>
        <v>0</v>
      </c>
      <c r="BG164" s="193">
        <f t="shared" si="26"/>
        <v>0</v>
      </c>
      <c r="BH164" s="193">
        <f t="shared" si="27"/>
        <v>0</v>
      </c>
      <c r="BI164" s="193">
        <f t="shared" si="28"/>
        <v>0</v>
      </c>
      <c r="BJ164" s="19" t="s">
        <v>79</v>
      </c>
      <c r="BK164" s="193">
        <f t="shared" si="29"/>
        <v>0</v>
      </c>
      <c r="BL164" s="19" t="s">
        <v>281</v>
      </c>
      <c r="BM164" s="192" t="s">
        <v>1280</v>
      </c>
    </row>
    <row r="165" spans="1:65" s="2" customFormat="1" ht="16.5" customHeight="1">
      <c r="A165" s="36"/>
      <c r="B165" s="37"/>
      <c r="C165" s="181" t="s">
        <v>859</v>
      </c>
      <c r="D165" s="181" t="s">
        <v>382</v>
      </c>
      <c r="E165" s="182" t="s">
        <v>6597</v>
      </c>
      <c r="F165" s="183" t="s">
        <v>6598</v>
      </c>
      <c r="G165" s="184" t="s">
        <v>2393</v>
      </c>
      <c r="H165" s="185">
        <v>6</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281</v>
      </c>
      <c r="AT165" s="192" t="s">
        <v>382</v>
      </c>
      <c r="AU165" s="192" t="s">
        <v>79</v>
      </c>
      <c r="AY165" s="19" t="s">
        <v>380</v>
      </c>
      <c r="BE165" s="193">
        <f t="shared" si="24"/>
        <v>0</v>
      </c>
      <c r="BF165" s="193">
        <f t="shared" si="25"/>
        <v>0</v>
      </c>
      <c r="BG165" s="193">
        <f t="shared" si="26"/>
        <v>0</v>
      </c>
      <c r="BH165" s="193">
        <f t="shared" si="27"/>
        <v>0</v>
      </c>
      <c r="BI165" s="193">
        <f t="shared" si="28"/>
        <v>0</v>
      </c>
      <c r="BJ165" s="19" t="s">
        <v>79</v>
      </c>
      <c r="BK165" s="193">
        <f t="shared" si="29"/>
        <v>0</v>
      </c>
      <c r="BL165" s="19" t="s">
        <v>281</v>
      </c>
      <c r="BM165" s="192" t="s">
        <v>1293</v>
      </c>
    </row>
    <row r="166" spans="1:65" s="2" customFormat="1" ht="16.5" customHeight="1">
      <c r="A166" s="36"/>
      <c r="B166" s="37"/>
      <c r="C166" s="181" t="s">
        <v>863</v>
      </c>
      <c r="D166" s="181" t="s">
        <v>382</v>
      </c>
      <c r="E166" s="182" t="s">
        <v>6599</v>
      </c>
      <c r="F166" s="183" t="s">
        <v>6600</v>
      </c>
      <c r="G166" s="184" t="s">
        <v>2393</v>
      </c>
      <c r="H166" s="185">
        <v>2</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281</v>
      </c>
      <c r="AT166" s="192" t="s">
        <v>382</v>
      </c>
      <c r="AU166" s="192" t="s">
        <v>79</v>
      </c>
      <c r="AY166" s="19" t="s">
        <v>380</v>
      </c>
      <c r="BE166" s="193">
        <f t="shared" si="24"/>
        <v>0</v>
      </c>
      <c r="BF166" s="193">
        <f t="shared" si="25"/>
        <v>0</v>
      </c>
      <c r="BG166" s="193">
        <f t="shared" si="26"/>
        <v>0</v>
      </c>
      <c r="BH166" s="193">
        <f t="shared" si="27"/>
        <v>0</v>
      </c>
      <c r="BI166" s="193">
        <f t="shared" si="28"/>
        <v>0</v>
      </c>
      <c r="BJ166" s="19" t="s">
        <v>79</v>
      </c>
      <c r="BK166" s="193">
        <f t="shared" si="29"/>
        <v>0</v>
      </c>
      <c r="BL166" s="19" t="s">
        <v>281</v>
      </c>
      <c r="BM166" s="192" t="s">
        <v>1301</v>
      </c>
    </row>
    <row r="167" spans="1:65" s="2" customFormat="1" ht="16.5" customHeight="1">
      <c r="A167" s="36"/>
      <c r="B167" s="37"/>
      <c r="C167" s="181" t="s">
        <v>867</v>
      </c>
      <c r="D167" s="181" t="s">
        <v>382</v>
      </c>
      <c r="E167" s="182" t="s">
        <v>6601</v>
      </c>
      <c r="F167" s="183" t="s">
        <v>6602</v>
      </c>
      <c r="G167" s="184" t="s">
        <v>2393</v>
      </c>
      <c r="H167" s="185">
        <v>2</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281</v>
      </c>
      <c r="AT167" s="192" t="s">
        <v>382</v>
      </c>
      <c r="AU167" s="192" t="s">
        <v>79</v>
      </c>
      <c r="AY167" s="19" t="s">
        <v>380</v>
      </c>
      <c r="BE167" s="193">
        <f t="shared" si="24"/>
        <v>0</v>
      </c>
      <c r="BF167" s="193">
        <f t="shared" si="25"/>
        <v>0</v>
      </c>
      <c r="BG167" s="193">
        <f t="shared" si="26"/>
        <v>0</v>
      </c>
      <c r="BH167" s="193">
        <f t="shared" si="27"/>
        <v>0</v>
      </c>
      <c r="BI167" s="193">
        <f t="shared" si="28"/>
        <v>0</v>
      </c>
      <c r="BJ167" s="19" t="s">
        <v>79</v>
      </c>
      <c r="BK167" s="193">
        <f t="shared" si="29"/>
        <v>0</v>
      </c>
      <c r="BL167" s="19" t="s">
        <v>281</v>
      </c>
      <c r="BM167" s="192" t="s">
        <v>1309</v>
      </c>
    </row>
    <row r="168" spans="1:65" s="2" customFormat="1" ht="16.5" customHeight="1">
      <c r="A168" s="36"/>
      <c r="B168" s="37"/>
      <c r="C168" s="181" t="s">
        <v>873</v>
      </c>
      <c r="D168" s="181" t="s">
        <v>382</v>
      </c>
      <c r="E168" s="182" t="s">
        <v>6603</v>
      </c>
      <c r="F168" s="183" t="s">
        <v>6604</v>
      </c>
      <c r="G168" s="184" t="s">
        <v>452</v>
      </c>
      <c r="H168" s="185">
        <v>185</v>
      </c>
      <c r="I168" s="186"/>
      <c r="J168" s="187">
        <f t="shared" si="20"/>
        <v>0</v>
      </c>
      <c r="K168" s="183" t="s">
        <v>19</v>
      </c>
      <c r="L168" s="41"/>
      <c r="M168" s="188" t="s">
        <v>19</v>
      </c>
      <c r="N168" s="189" t="s">
        <v>43</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281</v>
      </c>
      <c r="AT168" s="192" t="s">
        <v>382</v>
      </c>
      <c r="AU168" s="192" t="s">
        <v>79</v>
      </c>
      <c r="AY168" s="19" t="s">
        <v>380</v>
      </c>
      <c r="BE168" s="193">
        <f t="shared" si="24"/>
        <v>0</v>
      </c>
      <c r="BF168" s="193">
        <f t="shared" si="25"/>
        <v>0</v>
      </c>
      <c r="BG168" s="193">
        <f t="shared" si="26"/>
        <v>0</v>
      </c>
      <c r="BH168" s="193">
        <f t="shared" si="27"/>
        <v>0</v>
      </c>
      <c r="BI168" s="193">
        <f t="shared" si="28"/>
        <v>0</v>
      </c>
      <c r="BJ168" s="19" t="s">
        <v>79</v>
      </c>
      <c r="BK168" s="193">
        <f t="shared" si="29"/>
        <v>0</v>
      </c>
      <c r="BL168" s="19" t="s">
        <v>281</v>
      </c>
      <c r="BM168" s="192" t="s">
        <v>1322</v>
      </c>
    </row>
    <row r="169" spans="1:65" s="2" customFormat="1" ht="16.5" customHeight="1">
      <c r="A169" s="36"/>
      <c r="B169" s="37"/>
      <c r="C169" s="181" t="s">
        <v>884</v>
      </c>
      <c r="D169" s="181" t="s">
        <v>382</v>
      </c>
      <c r="E169" s="182" t="s">
        <v>6605</v>
      </c>
      <c r="F169" s="183" t="s">
        <v>6606</v>
      </c>
      <c r="G169" s="184" t="s">
        <v>452</v>
      </c>
      <c r="H169" s="185">
        <v>185</v>
      </c>
      <c r="I169" s="186"/>
      <c r="J169" s="187">
        <f t="shared" si="20"/>
        <v>0</v>
      </c>
      <c r="K169" s="183" t="s">
        <v>19</v>
      </c>
      <c r="L169" s="41"/>
      <c r="M169" s="188" t="s">
        <v>19</v>
      </c>
      <c r="N169" s="189" t="s">
        <v>43</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281</v>
      </c>
      <c r="AT169" s="192" t="s">
        <v>382</v>
      </c>
      <c r="AU169" s="192" t="s">
        <v>79</v>
      </c>
      <c r="AY169" s="19" t="s">
        <v>380</v>
      </c>
      <c r="BE169" s="193">
        <f t="shared" si="24"/>
        <v>0</v>
      </c>
      <c r="BF169" s="193">
        <f t="shared" si="25"/>
        <v>0</v>
      </c>
      <c r="BG169" s="193">
        <f t="shared" si="26"/>
        <v>0</v>
      </c>
      <c r="BH169" s="193">
        <f t="shared" si="27"/>
        <v>0</v>
      </c>
      <c r="BI169" s="193">
        <f t="shared" si="28"/>
        <v>0</v>
      </c>
      <c r="BJ169" s="19" t="s">
        <v>79</v>
      </c>
      <c r="BK169" s="193">
        <f t="shared" si="29"/>
        <v>0</v>
      </c>
      <c r="BL169" s="19" t="s">
        <v>281</v>
      </c>
      <c r="BM169" s="192" t="s">
        <v>1340</v>
      </c>
    </row>
    <row r="170" spans="1:65" s="2" customFormat="1" ht="16.5" customHeight="1">
      <c r="A170" s="36"/>
      <c r="B170" s="37"/>
      <c r="C170" s="181" t="s">
        <v>897</v>
      </c>
      <c r="D170" s="181" t="s">
        <v>382</v>
      </c>
      <c r="E170" s="182" t="s">
        <v>6607</v>
      </c>
      <c r="F170" s="183" t="s">
        <v>6608</v>
      </c>
      <c r="G170" s="184" t="s">
        <v>452</v>
      </c>
      <c r="H170" s="185">
        <v>185</v>
      </c>
      <c r="I170" s="186"/>
      <c r="J170" s="187">
        <f t="shared" si="20"/>
        <v>0</v>
      </c>
      <c r="K170" s="183" t="s">
        <v>19</v>
      </c>
      <c r="L170" s="41"/>
      <c r="M170" s="188" t="s">
        <v>19</v>
      </c>
      <c r="N170" s="189" t="s">
        <v>43</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281</v>
      </c>
      <c r="AT170" s="192" t="s">
        <v>382</v>
      </c>
      <c r="AU170" s="192" t="s">
        <v>79</v>
      </c>
      <c r="AY170" s="19" t="s">
        <v>380</v>
      </c>
      <c r="BE170" s="193">
        <f t="shared" si="24"/>
        <v>0</v>
      </c>
      <c r="BF170" s="193">
        <f t="shared" si="25"/>
        <v>0</v>
      </c>
      <c r="BG170" s="193">
        <f t="shared" si="26"/>
        <v>0</v>
      </c>
      <c r="BH170" s="193">
        <f t="shared" si="27"/>
        <v>0</v>
      </c>
      <c r="BI170" s="193">
        <f t="shared" si="28"/>
        <v>0</v>
      </c>
      <c r="BJ170" s="19" t="s">
        <v>79</v>
      </c>
      <c r="BK170" s="193">
        <f t="shared" si="29"/>
        <v>0</v>
      </c>
      <c r="BL170" s="19" t="s">
        <v>281</v>
      </c>
      <c r="BM170" s="192" t="s">
        <v>1353</v>
      </c>
    </row>
    <row r="171" spans="1:65" s="2" customFormat="1" ht="16.5" customHeight="1">
      <c r="A171" s="36"/>
      <c r="B171" s="37"/>
      <c r="C171" s="181" t="s">
        <v>910</v>
      </c>
      <c r="D171" s="181" t="s">
        <v>382</v>
      </c>
      <c r="E171" s="182" t="s">
        <v>6609</v>
      </c>
      <c r="F171" s="183" t="s">
        <v>6610</v>
      </c>
      <c r="G171" s="184" t="s">
        <v>452</v>
      </c>
      <c r="H171" s="185">
        <v>80</v>
      </c>
      <c r="I171" s="186"/>
      <c r="J171" s="187">
        <f t="shared" si="20"/>
        <v>0</v>
      </c>
      <c r="K171" s="183" t="s">
        <v>19</v>
      </c>
      <c r="L171" s="41"/>
      <c r="M171" s="188" t="s">
        <v>19</v>
      </c>
      <c r="N171" s="189" t="s">
        <v>43</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281</v>
      </c>
      <c r="AT171" s="192" t="s">
        <v>382</v>
      </c>
      <c r="AU171" s="192" t="s">
        <v>79</v>
      </c>
      <c r="AY171" s="19" t="s">
        <v>380</v>
      </c>
      <c r="BE171" s="193">
        <f t="shared" si="24"/>
        <v>0</v>
      </c>
      <c r="BF171" s="193">
        <f t="shared" si="25"/>
        <v>0</v>
      </c>
      <c r="BG171" s="193">
        <f t="shared" si="26"/>
        <v>0</v>
      </c>
      <c r="BH171" s="193">
        <f t="shared" si="27"/>
        <v>0</v>
      </c>
      <c r="BI171" s="193">
        <f t="shared" si="28"/>
        <v>0</v>
      </c>
      <c r="BJ171" s="19" t="s">
        <v>79</v>
      </c>
      <c r="BK171" s="193">
        <f t="shared" si="29"/>
        <v>0</v>
      </c>
      <c r="BL171" s="19" t="s">
        <v>281</v>
      </c>
      <c r="BM171" s="192" t="s">
        <v>1363</v>
      </c>
    </row>
    <row r="172" spans="1:65" s="2" customFormat="1" ht="16.5" customHeight="1">
      <c r="A172" s="36"/>
      <c r="B172" s="37"/>
      <c r="C172" s="181" t="s">
        <v>914</v>
      </c>
      <c r="D172" s="181" t="s">
        <v>382</v>
      </c>
      <c r="E172" s="182" t="s">
        <v>6611</v>
      </c>
      <c r="F172" s="183" t="s">
        <v>6612</v>
      </c>
      <c r="G172" s="184" t="s">
        <v>452</v>
      </c>
      <c r="H172" s="185">
        <v>80</v>
      </c>
      <c r="I172" s="186"/>
      <c r="J172" s="187">
        <f t="shared" si="20"/>
        <v>0</v>
      </c>
      <c r="K172" s="183" t="s">
        <v>19</v>
      </c>
      <c r="L172" s="41"/>
      <c r="M172" s="188" t="s">
        <v>19</v>
      </c>
      <c r="N172" s="189" t="s">
        <v>43</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281</v>
      </c>
      <c r="AT172" s="192" t="s">
        <v>382</v>
      </c>
      <c r="AU172" s="192" t="s">
        <v>79</v>
      </c>
      <c r="AY172" s="19" t="s">
        <v>380</v>
      </c>
      <c r="BE172" s="193">
        <f t="shared" si="24"/>
        <v>0</v>
      </c>
      <c r="BF172" s="193">
        <f t="shared" si="25"/>
        <v>0</v>
      </c>
      <c r="BG172" s="193">
        <f t="shared" si="26"/>
        <v>0</v>
      </c>
      <c r="BH172" s="193">
        <f t="shared" si="27"/>
        <v>0</v>
      </c>
      <c r="BI172" s="193">
        <f t="shared" si="28"/>
        <v>0</v>
      </c>
      <c r="BJ172" s="19" t="s">
        <v>79</v>
      </c>
      <c r="BK172" s="193">
        <f t="shared" si="29"/>
        <v>0</v>
      </c>
      <c r="BL172" s="19" t="s">
        <v>281</v>
      </c>
      <c r="BM172" s="192" t="s">
        <v>1373</v>
      </c>
    </row>
    <row r="173" spans="1:65" s="2" customFormat="1" ht="16.5" customHeight="1">
      <c r="A173" s="36"/>
      <c r="B173" s="37"/>
      <c r="C173" s="181" t="s">
        <v>927</v>
      </c>
      <c r="D173" s="181" t="s">
        <v>382</v>
      </c>
      <c r="E173" s="182" t="s">
        <v>6613</v>
      </c>
      <c r="F173" s="183" t="s">
        <v>6614</v>
      </c>
      <c r="G173" s="184" t="s">
        <v>452</v>
      </c>
      <c r="H173" s="185">
        <v>80</v>
      </c>
      <c r="I173" s="186"/>
      <c r="J173" s="187">
        <f t="shared" si="20"/>
        <v>0</v>
      </c>
      <c r="K173" s="183" t="s">
        <v>19</v>
      </c>
      <c r="L173" s="41"/>
      <c r="M173" s="188" t="s">
        <v>19</v>
      </c>
      <c r="N173" s="189" t="s">
        <v>43</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281</v>
      </c>
      <c r="AT173" s="192" t="s">
        <v>382</v>
      </c>
      <c r="AU173" s="192" t="s">
        <v>79</v>
      </c>
      <c r="AY173" s="19" t="s">
        <v>380</v>
      </c>
      <c r="BE173" s="193">
        <f t="shared" si="24"/>
        <v>0</v>
      </c>
      <c r="BF173" s="193">
        <f t="shared" si="25"/>
        <v>0</v>
      </c>
      <c r="BG173" s="193">
        <f t="shared" si="26"/>
        <v>0</v>
      </c>
      <c r="BH173" s="193">
        <f t="shared" si="27"/>
        <v>0</v>
      </c>
      <c r="BI173" s="193">
        <f t="shared" si="28"/>
        <v>0</v>
      </c>
      <c r="BJ173" s="19" t="s">
        <v>79</v>
      </c>
      <c r="BK173" s="193">
        <f t="shared" si="29"/>
        <v>0</v>
      </c>
      <c r="BL173" s="19" t="s">
        <v>281</v>
      </c>
      <c r="BM173" s="192" t="s">
        <v>1386</v>
      </c>
    </row>
    <row r="174" spans="1:65" s="2" customFormat="1" ht="16.5" customHeight="1">
      <c r="A174" s="36"/>
      <c r="B174" s="37"/>
      <c r="C174" s="181" t="s">
        <v>931</v>
      </c>
      <c r="D174" s="181" t="s">
        <v>382</v>
      </c>
      <c r="E174" s="182" t="s">
        <v>6615</v>
      </c>
      <c r="F174" s="183" t="s">
        <v>6616</v>
      </c>
      <c r="G174" s="184" t="s">
        <v>452</v>
      </c>
      <c r="H174" s="185">
        <v>180</v>
      </c>
      <c r="I174" s="186"/>
      <c r="J174" s="187">
        <f t="shared" si="20"/>
        <v>0</v>
      </c>
      <c r="K174" s="183" t="s">
        <v>19</v>
      </c>
      <c r="L174" s="41"/>
      <c r="M174" s="188" t="s">
        <v>19</v>
      </c>
      <c r="N174" s="189" t="s">
        <v>43</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281</v>
      </c>
      <c r="AT174" s="192" t="s">
        <v>382</v>
      </c>
      <c r="AU174" s="192" t="s">
        <v>79</v>
      </c>
      <c r="AY174" s="19" t="s">
        <v>380</v>
      </c>
      <c r="BE174" s="193">
        <f t="shared" si="24"/>
        <v>0</v>
      </c>
      <c r="BF174" s="193">
        <f t="shared" si="25"/>
        <v>0</v>
      </c>
      <c r="BG174" s="193">
        <f t="shared" si="26"/>
        <v>0</v>
      </c>
      <c r="BH174" s="193">
        <f t="shared" si="27"/>
        <v>0</v>
      </c>
      <c r="BI174" s="193">
        <f t="shared" si="28"/>
        <v>0</v>
      </c>
      <c r="BJ174" s="19" t="s">
        <v>79</v>
      </c>
      <c r="BK174" s="193">
        <f t="shared" si="29"/>
        <v>0</v>
      </c>
      <c r="BL174" s="19" t="s">
        <v>281</v>
      </c>
      <c r="BM174" s="192" t="s">
        <v>1394</v>
      </c>
    </row>
    <row r="175" spans="1:65" s="2" customFormat="1" ht="16.5" customHeight="1">
      <c r="A175" s="36"/>
      <c r="B175" s="37"/>
      <c r="C175" s="181" t="s">
        <v>936</v>
      </c>
      <c r="D175" s="181" t="s">
        <v>382</v>
      </c>
      <c r="E175" s="182" t="s">
        <v>6617</v>
      </c>
      <c r="F175" s="183" t="s">
        <v>6618</v>
      </c>
      <c r="G175" s="184" t="s">
        <v>452</v>
      </c>
      <c r="H175" s="185">
        <v>180</v>
      </c>
      <c r="I175" s="186"/>
      <c r="J175" s="187">
        <f t="shared" si="20"/>
        <v>0</v>
      </c>
      <c r="K175" s="183" t="s">
        <v>19</v>
      </c>
      <c r="L175" s="41"/>
      <c r="M175" s="188" t="s">
        <v>19</v>
      </c>
      <c r="N175" s="189" t="s">
        <v>43</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281</v>
      </c>
      <c r="AT175" s="192" t="s">
        <v>382</v>
      </c>
      <c r="AU175" s="192" t="s">
        <v>79</v>
      </c>
      <c r="AY175" s="19" t="s">
        <v>380</v>
      </c>
      <c r="BE175" s="193">
        <f t="shared" si="24"/>
        <v>0</v>
      </c>
      <c r="BF175" s="193">
        <f t="shared" si="25"/>
        <v>0</v>
      </c>
      <c r="BG175" s="193">
        <f t="shared" si="26"/>
        <v>0</v>
      </c>
      <c r="BH175" s="193">
        <f t="shared" si="27"/>
        <v>0</v>
      </c>
      <c r="BI175" s="193">
        <f t="shared" si="28"/>
        <v>0</v>
      </c>
      <c r="BJ175" s="19" t="s">
        <v>79</v>
      </c>
      <c r="BK175" s="193">
        <f t="shared" si="29"/>
        <v>0</v>
      </c>
      <c r="BL175" s="19" t="s">
        <v>281</v>
      </c>
      <c r="BM175" s="192" t="s">
        <v>1410</v>
      </c>
    </row>
    <row r="176" spans="1:65" s="2" customFormat="1" ht="16.5" customHeight="1">
      <c r="A176" s="36"/>
      <c r="B176" s="37"/>
      <c r="C176" s="181" t="s">
        <v>941</v>
      </c>
      <c r="D176" s="181" t="s">
        <v>382</v>
      </c>
      <c r="E176" s="182" t="s">
        <v>6619</v>
      </c>
      <c r="F176" s="183" t="s">
        <v>6620</v>
      </c>
      <c r="G176" s="184" t="s">
        <v>2393</v>
      </c>
      <c r="H176" s="185">
        <v>6</v>
      </c>
      <c r="I176" s="186"/>
      <c r="J176" s="187">
        <f t="shared" si="20"/>
        <v>0</v>
      </c>
      <c r="K176" s="183" t="s">
        <v>19</v>
      </c>
      <c r="L176" s="41"/>
      <c r="M176" s="188" t="s">
        <v>19</v>
      </c>
      <c r="N176" s="189" t="s">
        <v>43</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281</v>
      </c>
      <c r="AT176" s="192" t="s">
        <v>382</v>
      </c>
      <c r="AU176" s="192" t="s">
        <v>79</v>
      </c>
      <c r="AY176" s="19" t="s">
        <v>380</v>
      </c>
      <c r="BE176" s="193">
        <f t="shared" si="24"/>
        <v>0</v>
      </c>
      <c r="BF176" s="193">
        <f t="shared" si="25"/>
        <v>0</v>
      </c>
      <c r="BG176" s="193">
        <f t="shared" si="26"/>
        <v>0</v>
      </c>
      <c r="BH176" s="193">
        <f t="shared" si="27"/>
        <v>0</v>
      </c>
      <c r="BI176" s="193">
        <f t="shared" si="28"/>
        <v>0</v>
      </c>
      <c r="BJ176" s="19" t="s">
        <v>79</v>
      </c>
      <c r="BK176" s="193">
        <f t="shared" si="29"/>
        <v>0</v>
      </c>
      <c r="BL176" s="19" t="s">
        <v>281</v>
      </c>
      <c r="BM176" s="192" t="s">
        <v>1432</v>
      </c>
    </row>
    <row r="177" spans="1:65" s="2" customFormat="1" ht="16.5" customHeight="1">
      <c r="A177" s="36"/>
      <c r="B177" s="37"/>
      <c r="C177" s="181" t="s">
        <v>946</v>
      </c>
      <c r="D177" s="181" t="s">
        <v>382</v>
      </c>
      <c r="E177" s="182" t="s">
        <v>6621</v>
      </c>
      <c r="F177" s="183" t="s">
        <v>6622</v>
      </c>
      <c r="G177" s="184" t="s">
        <v>452</v>
      </c>
      <c r="H177" s="185">
        <v>17</v>
      </c>
      <c r="I177" s="186"/>
      <c r="J177" s="187">
        <f t="shared" si="20"/>
        <v>0</v>
      </c>
      <c r="K177" s="183" t="s">
        <v>19</v>
      </c>
      <c r="L177" s="41"/>
      <c r="M177" s="188" t="s">
        <v>19</v>
      </c>
      <c r="N177" s="189" t="s">
        <v>43</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281</v>
      </c>
      <c r="AT177" s="192" t="s">
        <v>382</v>
      </c>
      <c r="AU177" s="192" t="s">
        <v>79</v>
      </c>
      <c r="AY177" s="19" t="s">
        <v>380</v>
      </c>
      <c r="BE177" s="193">
        <f t="shared" si="24"/>
        <v>0</v>
      </c>
      <c r="BF177" s="193">
        <f t="shared" si="25"/>
        <v>0</v>
      </c>
      <c r="BG177" s="193">
        <f t="shared" si="26"/>
        <v>0</v>
      </c>
      <c r="BH177" s="193">
        <f t="shared" si="27"/>
        <v>0</v>
      </c>
      <c r="BI177" s="193">
        <f t="shared" si="28"/>
        <v>0</v>
      </c>
      <c r="BJ177" s="19" t="s">
        <v>79</v>
      </c>
      <c r="BK177" s="193">
        <f t="shared" si="29"/>
        <v>0</v>
      </c>
      <c r="BL177" s="19" t="s">
        <v>281</v>
      </c>
      <c r="BM177" s="192" t="s">
        <v>1459</v>
      </c>
    </row>
    <row r="178" spans="1:65" s="2" customFormat="1" ht="16.5" customHeight="1">
      <c r="A178" s="36"/>
      <c r="B178" s="37"/>
      <c r="C178" s="181" t="s">
        <v>950</v>
      </c>
      <c r="D178" s="181" t="s">
        <v>382</v>
      </c>
      <c r="E178" s="182" t="s">
        <v>6623</v>
      </c>
      <c r="F178" s="183" t="s">
        <v>6624</v>
      </c>
      <c r="G178" s="184" t="s">
        <v>452</v>
      </c>
      <c r="H178" s="185">
        <v>10</v>
      </c>
      <c r="I178" s="186"/>
      <c r="J178" s="187">
        <f t="shared" si="20"/>
        <v>0</v>
      </c>
      <c r="K178" s="183" t="s">
        <v>19</v>
      </c>
      <c r="L178" s="41"/>
      <c r="M178" s="188" t="s">
        <v>19</v>
      </c>
      <c r="N178" s="189" t="s">
        <v>43</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281</v>
      </c>
      <c r="AT178" s="192" t="s">
        <v>382</v>
      </c>
      <c r="AU178" s="192" t="s">
        <v>79</v>
      </c>
      <c r="AY178" s="19" t="s">
        <v>380</v>
      </c>
      <c r="BE178" s="193">
        <f t="shared" si="24"/>
        <v>0</v>
      </c>
      <c r="BF178" s="193">
        <f t="shared" si="25"/>
        <v>0</v>
      </c>
      <c r="BG178" s="193">
        <f t="shared" si="26"/>
        <v>0</v>
      </c>
      <c r="BH178" s="193">
        <f t="shared" si="27"/>
        <v>0</v>
      </c>
      <c r="BI178" s="193">
        <f t="shared" si="28"/>
        <v>0</v>
      </c>
      <c r="BJ178" s="19" t="s">
        <v>79</v>
      </c>
      <c r="BK178" s="193">
        <f t="shared" si="29"/>
        <v>0</v>
      </c>
      <c r="BL178" s="19" t="s">
        <v>281</v>
      </c>
      <c r="BM178" s="192" t="s">
        <v>1472</v>
      </c>
    </row>
    <row r="179" spans="1:65" s="2" customFormat="1" ht="16.5" customHeight="1">
      <c r="A179" s="36"/>
      <c r="B179" s="37"/>
      <c r="C179" s="181" t="s">
        <v>955</v>
      </c>
      <c r="D179" s="181" t="s">
        <v>382</v>
      </c>
      <c r="E179" s="182" t="s">
        <v>6625</v>
      </c>
      <c r="F179" s="183" t="s">
        <v>6626</v>
      </c>
      <c r="G179" s="184" t="s">
        <v>2393</v>
      </c>
      <c r="H179" s="185">
        <v>8</v>
      </c>
      <c r="I179" s="186"/>
      <c r="J179" s="187">
        <f t="shared" si="20"/>
        <v>0</v>
      </c>
      <c r="K179" s="183" t="s">
        <v>19</v>
      </c>
      <c r="L179" s="41"/>
      <c r="M179" s="188" t="s">
        <v>19</v>
      </c>
      <c r="N179" s="189" t="s">
        <v>43</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281</v>
      </c>
      <c r="AT179" s="192" t="s">
        <v>382</v>
      </c>
      <c r="AU179" s="192" t="s">
        <v>79</v>
      </c>
      <c r="AY179" s="19" t="s">
        <v>380</v>
      </c>
      <c r="BE179" s="193">
        <f t="shared" si="24"/>
        <v>0</v>
      </c>
      <c r="BF179" s="193">
        <f t="shared" si="25"/>
        <v>0</v>
      </c>
      <c r="BG179" s="193">
        <f t="shared" si="26"/>
        <v>0</v>
      </c>
      <c r="BH179" s="193">
        <f t="shared" si="27"/>
        <v>0</v>
      </c>
      <c r="BI179" s="193">
        <f t="shared" si="28"/>
        <v>0</v>
      </c>
      <c r="BJ179" s="19" t="s">
        <v>79</v>
      </c>
      <c r="BK179" s="193">
        <f t="shared" si="29"/>
        <v>0</v>
      </c>
      <c r="BL179" s="19" t="s">
        <v>281</v>
      </c>
      <c r="BM179" s="192" t="s">
        <v>1480</v>
      </c>
    </row>
    <row r="180" spans="1:65" s="2" customFormat="1" ht="16.5" customHeight="1">
      <c r="A180" s="36"/>
      <c r="B180" s="37"/>
      <c r="C180" s="181" t="s">
        <v>959</v>
      </c>
      <c r="D180" s="181" t="s">
        <v>382</v>
      </c>
      <c r="E180" s="182" t="s">
        <v>6627</v>
      </c>
      <c r="F180" s="183" t="s">
        <v>6628</v>
      </c>
      <c r="G180" s="184" t="s">
        <v>2393</v>
      </c>
      <c r="H180" s="185">
        <v>1</v>
      </c>
      <c r="I180" s="186"/>
      <c r="J180" s="187">
        <f t="shared" si="20"/>
        <v>0</v>
      </c>
      <c r="K180" s="183" t="s">
        <v>19</v>
      </c>
      <c r="L180" s="41"/>
      <c r="M180" s="188" t="s">
        <v>19</v>
      </c>
      <c r="N180" s="189" t="s">
        <v>43</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281</v>
      </c>
      <c r="AT180" s="192" t="s">
        <v>382</v>
      </c>
      <c r="AU180" s="192" t="s">
        <v>79</v>
      </c>
      <c r="AY180" s="19" t="s">
        <v>380</v>
      </c>
      <c r="BE180" s="193">
        <f t="shared" si="24"/>
        <v>0</v>
      </c>
      <c r="BF180" s="193">
        <f t="shared" si="25"/>
        <v>0</v>
      </c>
      <c r="BG180" s="193">
        <f t="shared" si="26"/>
        <v>0</v>
      </c>
      <c r="BH180" s="193">
        <f t="shared" si="27"/>
        <v>0</v>
      </c>
      <c r="BI180" s="193">
        <f t="shared" si="28"/>
        <v>0</v>
      </c>
      <c r="BJ180" s="19" t="s">
        <v>79</v>
      </c>
      <c r="BK180" s="193">
        <f t="shared" si="29"/>
        <v>0</v>
      </c>
      <c r="BL180" s="19" t="s">
        <v>281</v>
      </c>
      <c r="BM180" s="192" t="s">
        <v>1494</v>
      </c>
    </row>
    <row r="181" spans="1:65" s="2" customFormat="1" ht="16.5" customHeight="1">
      <c r="A181" s="36"/>
      <c r="B181" s="37"/>
      <c r="C181" s="181" t="s">
        <v>963</v>
      </c>
      <c r="D181" s="181" t="s">
        <v>382</v>
      </c>
      <c r="E181" s="182" t="s">
        <v>6629</v>
      </c>
      <c r="F181" s="183" t="s">
        <v>6630</v>
      </c>
      <c r="G181" s="184" t="s">
        <v>2393</v>
      </c>
      <c r="H181" s="185">
        <v>2</v>
      </c>
      <c r="I181" s="186"/>
      <c r="J181" s="187">
        <f t="shared" si="20"/>
        <v>0</v>
      </c>
      <c r="K181" s="183" t="s">
        <v>19</v>
      </c>
      <c r="L181" s="41"/>
      <c r="M181" s="188" t="s">
        <v>19</v>
      </c>
      <c r="N181" s="189" t="s">
        <v>43</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281</v>
      </c>
      <c r="AT181" s="192" t="s">
        <v>382</v>
      </c>
      <c r="AU181" s="192" t="s">
        <v>79</v>
      </c>
      <c r="AY181" s="19" t="s">
        <v>380</v>
      </c>
      <c r="BE181" s="193">
        <f t="shared" si="24"/>
        <v>0</v>
      </c>
      <c r="BF181" s="193">
        <f t="shared" si="25"/>
        <v>0</v>
      </c>
      <c r="BG181" s="193">
        <f t="shared" si="26"/>
        <v>0</v>
      </c>
      <c r="BH181" s="193">
        <f t="shared" si="27"/>
        <v>0</v>
      </c>
      <c r="BI181" s="193">
        <f t="shared" si="28"/>
        <v>0</v>
      </c>
      <c r="BJ181" s="19" t="s">
        <v>79</v>
      </c>
      <c r="BK181" s="193">
        <f t="shared" si="29"/>
        <v>0</v>
      </c>
      <c r="BL181" s="19" t="s">
        <v>281</v>
      </c>
      <c r="BM181" s="192" t="s">
        <v>1502</v>
      </c>
    </row>
    <row r="182" spans="1:65" s="2" customFormat="1" ht="16.5" customHeight="1">
      <c r="A182" s="36"/>
      <c r="B182" s="37"/>
      <c r="C182" s="181" t="s">
        <v>967</v>
      </c>
      <c r="D182" s="181" t="s">
        <v>382</v>
      </c>
      <c r="E182" s="182" t="s">
        <v>6631</v>
      </c>
      <c r="F182" s="183" t="s">
        <v>6632</v>
      </c>
      <c r="G182" s="184" t="s">
        <v>2393</v>
      </c>
      <c r="H182" s="185">
        <v>2</v>
      </c>
      <c r="I182" s="186"/>
      <c r="J182" s="187">
        <f t="shared" si="20"/>
        <v>0</v>
      </c>
      <c r="K182" s="183" t="s">
        <v>19</v>
      </c>
      <c r="L182" s="41"/>
      <c r="M182" s="188" t="s">
        <v>19</v>
      </c>
      <c r="N182" s="189" t="s">
        <v>43</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281</v>
      </c>
      <c r="AT182" s="192" t="s">
        <v>382</v>
      </c>
      <c r="AU182" s="192" t="s">
        <v>79</v>
      </c>
      <c r="AY182" s="19" t="s">
        <v>380</v>
      </c>
      <c r="BE182" s="193">
        <f t="shared" si="24"/>
        <v>0</v>
      </c>
      <c r="BF182" s="193">
        <f t="shared" si="25"/>
        <v>0</v>
      </c>
      <c r="BG182" s="193">
        <f t="shared" si="26"/>
        <v>0</v>
      </c>
      <c r="BH182" s="193">
        <f t="shared" si="27"/>
        <v>0</v>
      </c>
      <c r="BI182" s="193">
        <f t="shared" si="28"/>
        <v>0</v>
      </c>
      <c r="BJ182" s="19" t="s">
        <v>79</v>
      </c>
      <c r="BK182" s="193">
        <f t="shared" si="29"/>
        <v>0</v>
      </c>
      <c r="BL182" s="19" t="s">
        <v>281</v>
      </c>
      <c r="BM182" s="192" t="s">
        <v>1510</v>
      </c>
    </row>
    <row r="183" spans="1:65" s="2" customFormat="1" ht="16.5" customHeight="1">
      <c r="A183" s="36"/>
      <c r="B183" s="37"/>
      <c r="C183" s="181" t="s">
        <v>971</v>
      </c>
      <c r="D183" s="181" t="s">
        <v>382</v>
      </c>
      <c r="E183" s="182" t="s">
        <v>6633</v>
      </c>
      <c r="F183" s="183" t="s">
        <v>6634</v>
      </c>
      <c r="G183" s="184" t="s">
        <v>2393</v>
      </c>
      <c r="H183" s="185">
        <v>1</v>
      </c>
      <c r="I183" s="186"/>
      <c r="J183" s="187">
        <f t="shared" si="20"/>
        <v>0</v>
      </c>
      <c r="K183" s="183" t="s">
        <v>19</v>
      </c>
      <c r="L183" s="41"/>
      <c r="M183" s="252" t="s">
        <v>19</v>
      </c>
      <c r="N183" s="253" t="s">
        <v>43</v>
      </c>
      <c r="O183" s="254"/>
      <c r="P183" s="255">
        <f t="shared" si="21"/>
        <v>0</v>
      </c>
      <c r="Q183" s="255">
        <v>0</v>
      </c>
      <c r="R183" s="255">
        <f t="shared" si="22"/>
        <v>0</v>
      </c>
      <c r="S183" s="255">
        <v>0</v>
      </c>
      <c r="T183" s="256">
        <f t="shared" si="23"/>
        <v>0</v>
      </c>
      <c r="U183" s="36"/>
      <c r="V183" s="36"/>
      <c r="W183" s="36"/>
      <c r="X183" s="36"/>
      <c r="Y183" s="36"/>
      <c r="Z183" s="36"/>
      <c r="AA183" s="36"/>
      <c r="AB183" s="36"/>
      <c r="AC183" s="36"/>
      <c r="AD183" s="36"/>
      <c r="AE183" s="36"/>
      <c r="AR183" s="192" t="s">
        <v>281</v>
      </c>
      <c r="AT183" s="192" t="s">
        <v>382</v>
      </c>
      <c r="AU183" s="192" t="s">
        <v>79</v>
      </c>
      <c r="AY183" s="19" t="s">
        <v>380</v>
      </c>
      <c r="BE183" s="193">
        <f t="shared" si="24"/>
        <v>0</v>
      </c>
      <c r="BF183" s="193">
        <f t="shared" si="25"/>
        <v>0</v>
      </c>
      <c r="BG183" s="193">
        <f t="shared" si="26"/>
        <v>0</v>
      </c>
      <c r="BH183" s="193">
        <f t="shared" si="27"/>
        <v>0</v>
      </c>
      <c r="BI183" s="193">
        <f t="shared" si="28"/>
        <v>0</v>
      </c>
      <c r="BJ183" s="19" t="s">
        <v>79</v>
      </c>
      <c r="BK183" s="193">
        <f t="shared" si="29"/>
        <v>0</v>
      </c>
      <c r="BL183" s="19" t="s">
        <v>281</v>
      </c>
      <c r="BM183" s="192" t="s">
        <v>1519</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Ok4xgcw4itZ6N7AdKzhRt8wTgMxfE+Y7NmtAZk6hIjPwiVJfxv2IRTaW4vq+fZ9pen/ZWQmTiXWNUEpBacDPsg==" saltValue="2i7HOJ50OucXsn+PGBsUzjCf14OKQWaU2XbT0cH4V87P91SyJnfhd+6W1Oyr6oe1Ola6GLMnosl91Eb67KAGFw==" spinCount="100000" sheet="1" objects="1" scenarios="1" formatColumns="0" formatRows="0" autoFilter="0"/>
  <autoFilter ref="C83:K183" xr:uid="{00000000-0009-0000-0000-00003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6635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6636</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5008</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ROUND((SUM(BE84:BE137)),  2)</f>
        <v>0</v>
      </c>
      <c r="G33" s="36"/>
      <c r="H33" s="36"/>
      <c r="I33" s="127">
        <v>0.21</v>
      </c>
      <c r="J33" s="126">
        <f>ROUND(((SUM(BE84:BE137))*I33),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ROUND((SUM(BF84:BF137)),  2)</f>
        <v>0</v>
      </c>
      <c r="G34" s="36"/>
      <c r="H34" s="36"/>
      <c r="I34" s="127">
        <v>0.15</v>
      </c>
      <c r="J34" s="126">
        <f>ROUND(((SUM(BF84:BF137))*I34),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05 - SADOVÉ ÚPRAVY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Ing. Hana Tomaštíková</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6637</v>
      </c>
      <c r="E60" s="146"/>
      <c r="F60" s="146"/>
      <c r="G60" s="146"/>
      <c r="H60" s="146"/>
      <c r="I60" s="146"/>
      <c r="J60" s="147">
        <f>J85</f>
        <v>0</v>
      </c>
      <c r="K60" s="144"/>
      <c r="L60" s="148"/>
    </row>
    <row r="61" spans="1:47" s="9" customFormat="1" ht="24.95" customHeight="1">
      <c r="B61" s="143"/>
      <c r="C61" s="144"/>
      <c r="D61" s="145" t="s">
        <v>6638</v>
      </c>
      <c r="E61" s="146"/>
      <c r="F61" s="146"/>
      <c r="G61" s="146"/>
      <c r="H61" s="146"/>
      <c r="I61" s="146"/>
      <c r="J61" s="147">
        <f>J107</f>
        <v>0</v>
      </c>
      <c r="K61" s="144"/>
      <c r="L61" s="148"/>
    </row>
    <row r="62" spans="1:47" s="9" customFormat="1" ht="24.95" customHeight="1">
      <c r="B62" s="143"/>
      <c r="C62" s="144"/>
      <c r="D62" s="145" t="s">
        <v>6639</v>
      </c>
      <c r="E62" s="146"/>
      <c r="F62" s="146"/>
      <c r="G62" s="146"/>
      <c r="H62" s="146"/>
      <c r="I62" s="146"/>
      <c r="J62" s="147">
        <f>J110</f>
        <v>0</v>
      </c>
      <c r="K62" s="144"/>
      <c r="L62" s="148"/>
    </row>
    <row r="63" spans="1:47" s="9" customFormat="1" ht="24.95" customHeight="1">
      <c r="B63" s="143"/>
      <c r="C63" s="144"/>
      <c r="D63" s="145" t="s">
        <v>6640</v>
      </c>
      <c r="E63" s="146"/>
      <c r="F63" s="146"/>
      <c r="G63" s="146"/>
      <c r="H63" s="146"/>
      <c r="I63" s="146"/>
      <c r="J63" s="147">
        <f>J118</f>
        <v>0</v>
      </c>
      <c r="K63" s="144"/>
      <c r="L63" s="148"/>
    </row>
    <row r="64" spans="1:47" s="9" customFormat="1" ht="24.95" customHeight="1">
      <c r="B64" s="143"/>
      <c r="C64" s="144"/>
      <c r="D64" s="145" t="s">
        <v>6641</v>
      </c>
      <c r="E64" s="146"/>
      <c r="F64" s="146"/>
      <c r="G64" s="146"/>
      <c r="H64" s="146"/>
      <c r="I64" s="146"/>
      <c r="J64" s="147">
        <f>J133</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365</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282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05 - SADOVÉ ÚPRAVY</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4. 8. 2021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Ing. Hana Tomaštíková</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366</v>
      </c>
      <c r="D83" s="157" t="s">
        <v>57</v>
      </c>
      <c r="E83" s="157" t="s">
        <v>53</v>
      </c>
      <c r="F83" s="157" t="s">
        <v>54</v>
      </c>
      <c r="G83" s="157" t="s">
        <v>367</v>
      </c>
      <c r="H83" s="157" t="s">
        <v>368</v>
      </c>
      <c r="I83" s="157" t="s">
        <v>369</v>
      </c>
      <c r="J83" s="157" t="s">
        <v>334</v>
      </c>
      <c r="K83" s="158" t="s">
        <v>370</v>
      </c>
      <c r="L83" s="159"/>
      <c r="M83" s="70" t="s">
        <v>19</v>
      </c>
      <c r="N83" s="71" t="s">
        <v>42</v>
      </c>
      <c r="O83" s="71" t="s">
        <v>371</v>
      </c>
      <c r="P83" s="71" t="s">
        <v>372</v>
      </c>
      <c r="Q83" s="71" t="s">
        <v>373</v>
      </c>
      <c r="R83" s="71" t="s">
        <v>374</v>
      </c>
      <c r="S83" s="71" t="s">
        <v>375</v>
      </c>
      <c r="T83" s="72" t="s">
        <v>376</v>
      </c>
      <c r="U83" s="154"/>
      <c r="V83" s="154"/>
      <c r="W83" s="154"/>
      <c r="X83" s="154"/>
      <c r="Y83" s="154"/>
      <c r="Z83" s="154"/>
      <c r="AA83" s="154"/>
      <c r="AB83" s="154"/>
      <c r="AC83" s="154"/>
      <c r="AD83" s="154"/>
      <c r="AE83" s="154"/>
    </row>
    <row r="84" spans="1:65" s="2" customFormat="1" ht="22.9" customHeight="1">
      <c r="A84" s="36"/>
      <c r="B84" s="37"/>
      <c r="C84" s="77" t="s">
        <v>377</v>
      </c>
      <c r="D84" s="38"/>
      <c r="E84" s="38"/>
      <c r="F84" s="38"/>
      <c r="G84" s="38"/>
      <c r="H84" s="38"/>
      <c r="I84" s="38"/>
      <c r="J84" s="160">
        <f>BK84</f>
        <v>0</v>
      </c>
      <c r="K84" s="38"/>
      <c r="L84" s="41"/>
      <c r="M84" s="73"/>
      <c r="N84" s="161"/>
      <c r="O84" s="74"/>
      <c r="P84" s="162">
        <f>P85+P107+P110+P118+P133</f>
        <v>0</v>
      </c>
      <c r="Q84" s="74"/>
      <c r="R84" s="162">
        <f>R85+R107+R110+R118+R133</f>
        <v>0</v>
      </c>
      <c r="S84" s="74"/>
      <c r="T84" s="163">
        <f>T85+T107+T110+T118+T133</f>
        <v>0</v>
      </c>
      <c r="U84" s="36"/>
      <c r="V84" s="36"/>
      <c r="W84" s="36"/>
      <c r="X84" s="36"/>
      <c r="Y84" s="36"/>
      <c r="Z84" s="36"/>
      <c r="AA84" s="36"/>
      <c r="AB84" s="36"/>
      <c r="AC84" s="36"/>
      <c r="AD84" s="36"/>
      <c r="AE84" s="36"/>
      <c r="AT84" s="19" t="s">
        <v>71</v>
      </c>
      <c r="AU84" s="19" t="s">
        <v>335</v>
      </c>
      <c r="BK84" s="164">
        <f>BK85+BK107+BK110+BK118+BK133</f>
        <v>0</v>
      </c>
    </row>
    <row r="85" spans="1:65" s="12" customFormat="1" ht="25.9" customHeight="1">
      <c r="B85" s="165"/>
      <c r="C85" s="166"/>
      <c r="D85" s="167" t="s">
        <v>71</v>
      </c>
      <c r="E85" s="168" t="s">
        <v>79</v>
      </c>
      <c r="F85" s="168" t="s">
        <v>6642</v>
      </c>
      <c r="G85" s="166"/>
      <c r="H85" s="166"/>
      <c r="I85" s="169"/>
      <c r="J85" s="170">
        <f>BK85</f>
        <v>0</v>
      </c>
      <c r="K85" s="166"/>
      <c r="L85" s="171"/>
      <c r="M85" s="172"/>
      <c r="N85" s="173"/>
      <c r="O85" s="173"/>
      <c r="P85" s="174">
        <f>SUM(P86:P106)</f>
        <v>0</v>
      </c>
      <c r="Q85" s="173"/>
      <c r="R85" s="174">
        <f>SUM(R86:R106)</f>
        <v>0</v>
      </c>
      <c r="S85" s="173"/>
      <c r="T85" s="175">
        <f>SUM(T86:T106)</f>
        <v>0</v>
      </c>
      <c r="AR85" s="176" t="s">
        <v>79</v>
      </c>
      <c r="AT85" s="177" t="s">
        <v>71</v>
      </c>
      <c r="AU85" s="177" t="s">
        <v>72</v>
      </c>
      <c r="AY85" s="176" t="s">
        <v>380</v>
      </c>
      <c r="BK85" s="178">
        <f>SUM(BK86:BK106)</f>
        <v>0</v>
      </c>
    </row>
    <row r="86" spans="1:65" s="2" customFormat="1" ht="16.5" customHeight="1">
      <c r="A86" s="36"/>
      <c r="B86" s="37"/>
      <c r="C86" s="181" t="s">
        <v>79</v>
      </c>
      <c r="D86" s="181" t="s">
        <v>382</v>
      </c>
      <c r="E86" s="182" t="s">
        <v>6643</v>
      </c>
      <c r="F86" s="183" t="s">
        <v>6644</v>
      </c>
      <c r="G86" s="184" t="s">
        <v>2393</v>
      </c>
      <c r="H86" s="185">
        <v>1</v>
      </c>
      <c r="I86" s="186"/>
      <c r="J86" s="187">
        <f t="shared" ref="J86:J106" si="0">ROUND(I86*H86,2)</f>
        <v>0</v>
      </c>
      <c r="K86" s="183" t="s">
        <v>19</v>
      </c>
      <c r="L86" s="41"/>
      <c r="M86" s="188" t="s">
        <v>19</v>
      </c>
      <c r="N86" s="189" t="s">
        <v>43</v>
      </c>
      <c r="O86" s="66"/>
      <c r="P86" s="190">
        <f t="shared" ref="P86:P106" si="1">O86*H86</f>
        <v>0</v>
      </c>
      <c r="Q86" s="190">
        <v>0</v>
      </c>
      <c r="R86" s="190">
        <f t="shared" ref="R86:R106" si="2">Q86*H86</f>
        <v>0</v>
      </c>
      <c r="S86" s="190">
        <v>0</v>
      </c>
      <c r="T86" s="191">
        <f t="shared" ref="T86:T106" si="3">S86*H86</f>
        <v>0</v>
      </c>
      <c r="U86" s="36"/>
      <c r="V86" s="36"/>
      <c r="W86" s="36"/>
      <c r="X86" s="36"/>
      <c r="Y86" s="36"/>
      <c r="Z86" s="36"/>
      <c r="AA86" s="36"/>
      <c r="AB86" s="36"/>
      <c r="AC86" s="36"/>
      <c r="AD86" s="36"/>
      <c r="AE86" s="36"/>
      <c r="AR86" s="192" t="s">
        <v>386</v>
      </c>
      <c r="AT86" s="192" t="s">
        <v>382</v>
      </c>
      <c r="AU86" s="192" t="s">
        <v>79</v>
      </c>
      <c r="AY86" s="19" t="s">
        <v>380</v>
      </c>
      <c r="BE86" s="193">
        <f t="shared" ref="BE86:BE106" si="4">IF(N86="základní",J86,0)</f>
        <v>0</v>
      </c>
      <c r="BF86" s="193">
        <f t="shared" ref="BF86:BF106" si="5">IF(N86="snížená",J86,0)</f>
        <v>0</v>
      </c>
      <c r="BG86" s="193">
        <f t="shared" ref="BG86:BG106" si="6">IF(N86="zákl. přenesená",J86,0)</f>
        <v>0</v>
      </c>
      <c r="BH86" s="193">
        <f t="shared" ref="BH86:BH106" si="7">IF(N86="sníž. přenesená",J86,0)</f>
        <v>0</v>
      </c>
      <c r="BI86" s="193">
        <f t="shared" ref="BI86:BI106" si="8">IF(N86="nulová",J86,0)</f>
        <v>0</v>
      </c>
      <c r="BJ86" s="19" t="s">
        <v>79</v>
      </c>
      <c r="BK86" s="193">
        <f t="shared" ref="BK86:BK106" si="9">ROUND(I86*H86,2)</f>
        <v>0</v>
      </c>
      <c r="BL86" s="19" t="s">
        <v>386</v>
      </c>
      <c r="BM86" s="192" t="s">
        <v>82</v>
      </c>
    </row>
    <row r="87" spans="1:65" s="2" customFormat="1" ht="16.5" customHeight="1">
      <c r="A87" s="36"/>
      <c r="B87" s="37"/>
      <c r="C87" s="181" t="s">
        <v>82</v>
      </c>
      <c r="D87" s="181" t="s">
        <v>382</v>
      </c>
      <c r="E87" s="182" t="s">
        <v>6645</v>
      </c>
      <c r="F87" s="183" t="s">
        <v>6646</v>
      </c>
      <c r="G87" s="184" t="s">
        <v>2393</v>
      </c>
      <c r="H87" s="185">
        <v>300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386</v>
      </c>
      <c r="AT87" s="192" t="s">
        <v>382</v>
      </c>
      <c r="AU87" s="192" t="s">
        <v>79</v>
      </c>
      <c r="AY87" s="19" t="s">
        <v>380</v>
      </c>
      <c r="BE87" s="193">
        <f t="shared" si="4"/>
        <v>0</v>
      </c>
      <c r="BF87" s="193">
        <f t="shared" si="5"/>
        <v>0</v>
      </c>
      <c r="BG87" s="193">
        <f t="shared" si="6"/>
        <v>0</v>
      </c>
      <c r="BH87" s="193">
        <f t="shared" si="7"/>
        <v>0</v>
      </c>
      <c r="BI87" s="193">
        <f t="shared" si="8"/>
        <v>0</v>
      </c>
      <c r="BJ87" s="19" t="s">
        <v>79</v>
      </c>
      <c r="BK87" s="193">
        <f t="shared" si="9"/>
        <v>0</v>
      </c>
      <c r="BL87" s="19" t="s">
        <v>386</v>
      </c>
      <c r="BM87" s="192" t="s">
        <v>386</v>
      </c>
    </row>
    <row r="88" spans="1:65" s="2" customFormat="1" ht="16.5" customHeight="1">
      <c r="A88" s="36"/>
      <c r="B88" s="37"/>
      <c r="C88" s="181" t="s">
        <v>99</v>
      </c>
      <c r="D88" s="181" t="s">
        <v>382</v>
      </c>
      <c r="E88" s="182" t="s">
        <v>6647</v>
      </c>
      <c r="F88" s="183" t="s">
        <v>6648</v>
      </c>
      <c r="G88" s="184" t="s">
        <v>2393</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386</v>
      </c>
      <c r="AT88" s="192" t="s">
        <v>382</v>
      </c>
      <c r="AU88" s="192" t="s">
        <v>79</v>
      </c>
      <c r="AY88" s="19" t="s">
        <v>380</v>
      </c>
      <c r="BE88" s="193">
        <f t="shared" si="4"/>
        <v>0</v>
      </c>
      <c r="BF88" s="193">
        <f t="shared" si="5"/>
        <v>0</v>
      </c>
      <c r="BG88" s="193">
        <f t="shared" si="6"/>
        <v>0</v>
      </c>
      <c r="BH88" s="193">
        <f t="shared" si="7"/>
        <v>0</v>
      </c>
      <c r="BI88" s="193">
        <f t="shared" si="8"/>
        <v>0</v>
      </c>
      <c r="BJ88" s="19" t="s">
        <v>79</v>
      </c>
      <c r="BK88" s="193">
        <f t="shared" si="9"/>
        <v>0</v>
      </c>
      <c r="BL88" s="19" t="s">
        <v>386</v>
      </c>
      <c r="BM88" s="192" t="s">
        <v>411</v>
      </c>
    </row>
    <row r="89" spans="1:65" s="2" customFormat="1" ht="16.5" customHeight="1">
      <c r="A89" s="36"/>
      <c r="B89" s="37"/>
      <c r="C89" s="181" t="s">
        <v>386</v>
      </c>
      <c r="D89" s="181" t="s">
        <v>382</v>
      </c>
      <c r="E89" s="182" t="s">
        <v>6649</v>
      </c>
      <c r="F89" s="183" t="s">
        <v>6650</v>
      </c>
      <c r="G89" s="184" t="s">
        <v>2393</v>
      </c>
      <c r="H89" s="185">
        <v>300</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386</v>
      </c>
      <c r="AT89" s="192" t="s">
        <v>382</v>
      </c>
      <c r="AU89" s="192" t="s">
        <v>79</v>
      </c>
      <c r="AY89" s="19" t="s">
        <v>380</v>
      </c>
      <c r="BE89" s="193">
        <f t="shared" si="4"/>
        <v>0</v>
      </c>
      <c r="BF89" s="193">
        <f t="shared" si="5"/>
        <v>0</v>
      </c>
      <c r="BG89" s="193">
        <f t="shared" si="6"/>
        <v>0</v>
      </c>
      <c r="BH89" s="193">
        <f t="shared" si="7"/>
        <v>0</v>
      </c>
      <c r="BI89" s="193">
        <f t="shared" si="8"/>
        <v>0</v>
      </c>
      <c r="BJ89" s="19" t="s">
        <v>79</v>
      </c>
      <c r="BK89" s="193">
        <f t="shared" si="9"/>
        <v>0</v>
      </c>
      <c r="BL89" s="19" t="s">
        <v>386</v>
      </c>
      <c r="BM89" s="192" t="s">
        <v>424</v>
      </c>
    </row>
    <row r="90" spans="1:65" s="2" customFormat="1" ht="16.5" customHeight="1">
      <c r="A90" s="36"/>
      <c r="B90" s="37"/>
      <c r="C90" s="181" t="s">
        <v>405</v>
      </c>
      <c r="D90" s="181" t="s">
        <v>382</v>
      </c>
      <c r="E90" s="182" t="s">
        <v>6651</v>
      </c>
      <c r="F90" s="183" t="s">
        <v>6652</v>
      </c>
      <c r="G90" s="184" t="s">
        <v>398</v>
      </c>
      <c r="H90" s="185">
        <v>61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386</v>
      </c>
      <c r="AT90" s="192" t="s">
        <v>382</v>
      </c>
      <c r="AU90" s="192" t="s">
        <v>79</v>
      </c>
      <c r="AY90" s="19" t="s">
        <v>380</v>
      </c>
      <c r="BE90" s="193">
        <f t="shared" si="4"/>
        <v>0</v>
      </c>
      <c r="BF90" s="193">
        <f t="shared" si="5"/>
        <v>0</v>
      </c>
      <c r="BG90" s="193">
        <f t="shared" si="6"/>
        <v>0</v>
      </c>
      <c r="BH90" s="193">
        <f t="shared" si="7"/>
        <v>0</v>
      </c>
      <c r="BI90" s="193">
        <f t="shared" si="8"/>
        <v>0</v>
      </c>
      <c r="BJ90" s="19" t="s">
        <v>79</v>
      </c>
      <c r="BK90" s="193">
        <f t="shared" si="9"/>
        <v>0</v>
      </c>
      <c r="BL90" s="19" t="s">
        <v>386</v>
      </c>
      <c r="BM90" s="192" t="s">
        <v>122</v>
      </c>
    </row>
    <row r="91" spans="1:65" s="2" customFormat="1" ht="16.5" customHeight="1">
      <c r="A91" s="36"/>
      <c r="B91" s="37"/>
      <c r="C91" s="181" t="s">
        <v>411</v>
      </c>
      <c r="D91" s="181" t="s">
        <v>382</v>
      </c>
      <c r="E91" s="182" t="s">
        <v>6653</v>
      </c>
      <c r="F91" s="183" t="s">
        <v>6654</v>
      </c>
      <c r="G91" s="184" t="s">
        <v>2393</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386</v>
      </c>
      <c r="AT91" s="192" t="s">
        <v>382</v>
      </c>
      <c r="AU91" s="192" t="s">
        <v>79</v>
      </c>
      <c r="AY91" s="19" t="s">
        <v>380</v>
      </c>
      <c r="BE91" s="193">
        <f t="shared" si="4"/>
        <v>0</v>
      </c>
      <c r="BF91" s="193">
        <f t="shared" si="5"/>
        <v>0</v>
      </c>
      <c r="BG91" s="193">
        <f t="shared" si="6"/>
        <v>0</v>
      </c>
      <c r="BH91" s="193">
        <f t="shared" si="7"/>
        <v>0</v>
      </c>
      <c r="BI91" s="193">
        <f t="shared" si="8"/>
        <v>0</v>
      </c>
      <c r="BJ91" s="19" t="s">
        <v>79</v>
      </c>
      <c r="BK91" s="193">
        <f t="shared" si="9"/>
        <v>0</v>
      </c>
      <c r="BL91" s="19" t="s">
        <v>386</v>
      </c>
      <c r="BM91" s="192" t="s">
        <v>128</v>
      </c>
    </row>
    <row r="92" spans="1:65" s="2" customFormat="1" ht="16.5" customHeight="1">
      <c r="A92" s="36"/>
      <c r="B92" s="37"/>
      <c r="C92" s="181" t="s">
        <v>420</v>
      </c>
      <c r="D92" s="181" t="s">
        <v>382</v>
      </c>
      <c r="E92" s="182" t="s">
        <v>6655</v>
      </c>
      <c r="F92" s="183" t="s">
        <v>6656</v>
      </c>
      <c r="G92" s="184" t="s">
        <v>437</v>
      </c>
      <c r="H92" s="185">
        <v>4.0000000000000001E-3</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386</v>
      </c>
      <c r="AT92" s="192" t="s">
        <v>382</v>
      </c>
      <c r="AU92" s="192" t="s">
        <v>79</v>
      </c>
      <c r="AY92" s="19" t="s">
        <v>380</v>
      </c>
      <c r="BE92" s="193">
        <f t="shared" si="4"/>
        <v>0</v>
      </c>
      <c r="BF92" s="193">
        <f t="shared" si="5"/>
        <v>0</v>
      </c>
      <c r="BG92" s="193">
        <f t="shared" si="6"/>
        <v>0</v>
      </c>
      <c r="BH92" s="193">
        <f t="shared" si="7"/>
        <v>0</v>
      </c>
      <c r="BI92" s="193">
        <f t="shared" si="8"/>
        <v>0</v>
      </c>
      <c r="BJ92" s="19" t="s">
        <v>79</v>
      </c>
      <c r="BK92" s="193">
        <f t="shared" si="9"/>
        <v>0</v>
      </c>
      <c r="BL92" s="19" t="s">
        <v>386</v>
      </c>
      <c r="BM92" s="192" t="s">
        <v>134</v>
      </c>
    </row>
    <row r="93" spans="1:65" s="2" customFormat="1" ht="16.5" customHeight="1">
      <c r="A93" s="36"/>
      <c r="B93" s="37"/>
      <c r="C93" s="181" t="s">
        <v>424</v>
      </c>
      <c r="D93" s="181" t="s">
        <v>382</v>
      </c>
      <c r="E93" s="182" t="s">
        <v>6657</v>
      </c>
      <c r="F93" s="183" t="s">
        <v>6658</v>
      </c>
      <c r="G93" s="184" t="s">
        <v>398</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386</v>
      </c>
      <c r="AT93" s="192" t="s">
        <v>382</v>
      </c>
      <c r="AU93" s="192" t="s">
        <v>79</v>
      </c>
      <c r="AY93" s="19" t="s">
        <v>380</v>
      </c>
      <c r="BE93" s="193">
        <f t="shared" si="4"/>
        <v>0</v>
      </c>
      <c r="BF93" s="193">
        <f t="shared" si="5"/>
        <v>0</v>
      </c>
      <c r="BG93" s="193">
        <f t="shared" si="6"/>
        <v>0</v>
      </c>
      <c r="BH93" s="193">
        <f t="shared" si="7"/>
        <v>0</v>
      </c>
      <c r="BI93" s="193">
        <f t="shared" si="8"/>
        <v>0</v>
      </c>
      <c r="BJ93" s="19" t="s">
        <v>79</v>
      </c>
      <c r="BK93" s="193">
        <f t="shared" si="9"/>
        <v>0</v>
      </c>
      <c r="BL93" s="19" t="s">
        <v>386</v>
      </c>
      <c r="BM93" s="192" t="s">
        <v>281</v>
      </c>
    </row>
    <row r="94" spans="1:65" s="2" customFormat="1" ht="16.5" customHeight="1">
      <c r="A94" s="36"/>
      <c r="B94" s="37"/>
      <c r="C94" s="181" t="s">
        <v>430</v>
      </c>
      <c r="D94" s="181" t="s">
        <v>382</v>
      </c>
      <c r="E94" s="182" t="s">
        <v>6659</v>
      </c>
      <c r="F94" s="183" t="s">
        <v>6660</v>
      </c>
      <c r="G94" s="184" t="s">
        <v>2393</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386</v>
      </c>
      <c r="AT94" s="192" t="s">
        <v>382</v>
      </c>
      <c r="AU94" s="192" t="s">
        <v>79</v>
      </c>
      <c r="AY94" s="19" t="s">
        <v>380</v>
      </c>
      <c r="BE94" s="193">
        <f t="shared" si="4"/>
        <v>0</v>
      </c>
      <c r="BF94" s="193">
        <f t="shared" si="5"/>
        <v>0</v>
      </c>
      <c r="BG94" s="193">
        <f t="shared" si="6"/>
        <v>0</v>
      </c>
      <c r="BH94" s="193">
        <f t="shared" si="7"/>
        <v>0</v>
      </c>
      <c r="BI94" s="193">
        <f t="shared" si="8"/>
        <v>0</v>
      </c>
      <c r="BJ94" s="19" t="s">
        <v>79</v>
      </c>
      <c r="BK94" s="193">
        <f t="shared" si="9"/>
        <v>0</v>
      </c>
      <c r="BL94" s="19" t="s">
        <v>386</v>
      </c>
      <c r="BM94" s="192" t="s">
        <v>477</v>
      </c>
    </row>
    <row r="95" spans="1:65" s="2" customFormat="1" ht="16.5" customHeight="1">
      <c r="A95" s="36"/>
      <c r="B95" s="37"/>
      <c r="C95" s="181" t="s">
        <v>122</v>
      </c>
      <c r="D95" s="181" t="s">
        <v>382</v>
      </c>
      <c r="E95" s="182" t="s">
        <v>6661</v>
      </c>
      <c r="F95" s="183" t="s">
        <v>6662</v>
      </c>
      <c r="G95" s="184" t="s">
        <v>398</v>
      </c>
      <c r="H95" s="185">
        <v>60</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386</v>
      </c>
      <c r="AT95" s="192" t="s">
        <v>382</v>
      </c>
      <c r="AU95" s="192" t="s">
        <v>79</v>
      </c>
      <c r="AY95" s="19" t="s">
        <v>380</v>
      </c>
      <c r="BE95" s="193">
        <f t="shared" si="4"/>
        <v>0</v>
      </c>
      <c r="BF95" s="193">
        <f t="shared" si="5"/>
        <v>0</v>
      </c>
      <c r="BG95" s="193">
        <f t="shared" si="6"/>
        <v>0</v>
      </c>
      <c r="BH95" s="193">
        <f t="shared" si="7"/>
        <v>0</v>
      </c>
      <c r="BI95" s="193">
        <f t="shared" si="8"/>
        <v>0</v>
      </c>
      <c r="BJ95" s="19" t="s">
        <v>79</v>
      </c>
      <c r="BK95" s="193">
        <f t="shared" si="9"/>
        <v>0</v>
      </c>
      <c r="BL95" s="19" t="s">
        <v>386</v>
      </c>
      <c r="BM95" s="192" t="s">
        <v>486</v>
      </c>
    </row>
    <row r="96" spans="1:65" s="2" customFormat="1" ht="16.5" customHeight="1">
      <c r="A96" s="36"/>
      <c r="B96" s="37"/>
      <c r="C96" s="181" t="s">
        <v>125</v>
      </c>
      <c r="D96" s="181" t="s">
        <v>382</v>
      </c>
      <c r="E96" s="182" t="s">
        <v>6663</v>
      </c>
      <c r="F96" s="183" t="s">
        <v>6664</v>
      </c>
      <c r="G96" s="184" t="s">
        <v>2393</v>
      </c>
      <c r="H96" s="185">
        <v>1</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386</v>
      </c>
      <c r="AT96" s="192" t="s">
        <v>382</v>
      </c>
      <c r="AU96" s="192" t="s">
        <v>79</v>
      </c>
      <c r="AY96" s="19" t="s">
        <v>380</v>
      </c>
      <c r="BE96" s="193">
        <f t="shared" si="4"/>
        <v>0</v>
      </c>
      <c r="BF96" s="193">
        <f t="shared" si="5"/>
        <v>0</v>
      </c>
      <c r="BG96" s="193">
        <f t="shared" si="6"/>
        <v>0</v>
      </c>
      <c r="BH96" s="193">
        <f t="shared" si="7"/>
        <v>0</v>
      </c>
      <c r="BI96" s="193">
        <f t="shared" si="8"/>
        <v>0</v>
      </c>
      <c r="BJ96" s="19" t="s">
        <v>79</v>
      </c>
      <c r="BK96" s="193">
        <f t="shared" si="9"/>
        <v>0</v>
      </c>
      <c r="BL96" s="19" t="s">
        <v>386</v>
      </c>
      <c r="BM96" s="192" t="s">
        <v>495</v>
      </c>
    </row>
    <row r="97" spans="1:65" s="2" customFormat="1" ht="16.5" customHeight="1">
      <c r="A97" s="36"/>
      <c r="B97" s="37"/>
      <c r="C97" s="181" t="s">
        <v>128</v>
      </c>
      <c r="D97" s="181" t="s">
        <v>382</v>
      </c>
      <c r="E97" s="182" t="s">
        <v>6665</v>
      </c>
      <c r="F97" s="183" t="s">
        <v>6666</v>
      </c>
      <c r="G97" s="184" t="s">
        <v>398</v>
      </c>
      <c r="H97" s="185">
        <v>60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386</v>
      </c>
      <c r="AT97" s="192" t="s">
        <v>382</v>
      </c>
      <c r="AU97" s="192" t="s">
        <v>79</v>
      </c>
      <c r="AY97" s="19" t="s">
        <v>380</v>
      </c>
      <c r="BE97" s="193">
        <f t="shared" si="4"/>
        <v>0</v>
      </c>
      <c r="BF97" s="193">
        <f t="shared" si="5"/>
        <v>0</v>
      </c>
      <c r="BG97" s="193">
        <f t="shared" si="6"/>
        <v>0</v>
      </c>
      <c r="BH97" s="193">
        <f t="shared" si="7"/>
        <v>0</v>
      </c>
      <c r="BI97" s="193">
        <f t="shared" si="8"/>
        <v>0</v>
      </c>
      <c r="BJ97" s="19" t="s">
        <v>79</v>
      </c>
      <c r="BK97" s="193">
        <f t="shared" si="9"/>
        <v>0</v>
      </c>
      <c r="BL97" s="19" t="s">
        <v>386</v>
      </c>
      <c r="BM97" s="192" t="s">
        <v>505</v>
      </c>
    </row>
    <row r="98" spans="1:65" s="2" customFormat="1" ht="16.5" customHeight="1">
      <c r="A98" s="36"/>
      <c r="B98" s="37"/>
      <c r="C98" s="181" t="s">
        <v>131</v>
      </c>
      <c r="D98" s="181" t="s">
        <v>382</v>
      </c>
      <c r="E98" s="182" t="s">
        <v>6667</v>
      </c>
      <c r="F98" s="183" t="s">
        <v>6668</v>
      </c>
      <c r="G98" s="184" t="s">
        <v>2393</v>
      </c>
      <c r="H98" s="185">
        <v>1</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386</v>
      </c>
      <c r="AT98" s="192" t="s">
        <v>382</v>
      </c>
      <c r="AU98" s="192" t="s">
        <v>79</v>
      </c>
      <c r="AY98" s="19" t="s">
        <v>380</v>
      </c>
      <c r="BE98" s="193">
        <f t="shared" si="4"/>
        <v>0</v>
      </c>
      <c r="BF98" s="193">
        <f t="shared" si="5"/>
        <v>0</v>
      </c>
      <c r="BG98" s="193">
        <f t="shared" si="6"/>
        <v>0</v>
      </c>
      <c r="BH98" s="193">
        <f t="shared" si="7"/>
        <v>0</v>
      </c>
      <c r="BI98" s="193">
        <f t="shared" si="8"/>
        <v>0</v>
      </c>
      <c r="BJ98" s="19" t="s">
        <v>79</v>
      </c>
      <c r="BK98" s="193">
        <f t="shared" si="9"/>
        <v>0</v>
      </c>
      <c r="BL98" s="19" t="s">
        <v>386</v>
      </c>
      <c r="BM98" s="192" t="s">
        <v>514</v>
      </c>
    </row>
    <row r="99" spans="1:65" s="2" customFormat="1" ht="16.5" customHeight="1">
      <c r="A99" s="36"/>
      <c r="B99" s="37"/>
      <c r="C99" s="181" t="s">
        <v>134</v>
      </c>
      <c r="D99" s="181" t="s">
        <v>382</v>
      </c>
      <c r="E99" s="182" t="s">
        <v>6669</v>
      </c>
      <c r="F99" s="183" t="s">
        <v>6670</v>
      </c>
      <c r="G99" s="184" t="s">
        <v>398</v>
      </c>
      <c r="H99" s="185">
        <v>370</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386</v>
      </c>
      <c r="AT99" s="192" t="s">
        <v>382</v>
      </c>
      <c r="AU99" s="192" t="s">
        <v>79</v>
      </c>
      <c r="AY99" s="19" t="s">
        <v>380</v>
      </c>
      <c r="BE99" s="193">
        <f t="shared" si="4"/>
        <v>0</v>
      </c>
      <c r="BF99" s="193">
        <f t="shared" si="5"/>
        <v>0</v>
      </c>
      <c r="BG99" s="193">
        <f t="shared" si="6"/>
        <v>0</v>
      </c>
      <c r="BH99" s="193">
        <f t="shared" si="7"/>
        <v>0</v>
      </c>
      <c r="BI99" s="193">
        <f t="shared" si="8"/>
        <v>0</v>
      </c>
      <c r="BJ99" s="19" t="s">
        <v>79</v>
      </c>
      <c r="BK99" s="193">
        <f t="shared" si="9"/>
        <v>0</v>
      </c>
      <c r="BL99" s="19" t="s">
        <v>386</v>
      </c>
      <c r="BM99" s="192" t="s">
        <v>525</v>
      </c>
    </row>
    <row r="100" spans="1:65" s="2" customFormat="1" ht="16.5" customHeight="1">
      <c r="A100" s="36"/>
      <c r="B100" s="37"/>
      <c r="C100" s="181" t="s">
        <v>8</v>
      </c>
      <c r="D100" s="181" t="s">
        <v>382</v>
      </c>
      <c r="E100" s="182" t="s">
        <v>6671</v>
      </c>
      <c r="F100" s="183" t="s">
        <v>6672</v>
      </c>
      <c r="G100" s="184" t="s">
        <v>398</v>
      </c>
      <c r="H100" s="185">
        <v>370</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386</v>
      </c>
      <c r="AT100" s="192" t="s">
        <v>382</v>
      </c>
      <c r="AU100" s="192" t="s">
        <v>79</v>
      </c>
      <c r="AY100" s="19" t="s">
        <v>380</v>
      </c>
      <c r="BE100" s="193">
        <f t="shared" si="4"/>
        <v>0</v>
      </c>
      <c r="BF100" s="193">
        <f t="shared" si="5"/>
        <v>0</v>
      </c>
      <c r="BG100" s="193">
        <f t="shared" si="6"/>
        <v>0</v>
      </c>
      <c r="BH100" s="193">
        <f t="shared" si="7"/>
        <v>0</v>
      </c>
      <c r="BI100" s="193">
        <f t="shared" si="8"/>
        <v>0</v>
      </c>
      <c r="BJ100" s="19" t="s">
        <v>79</v>
      </c>
      <c r="BK100" s="193">
        <f t="shared" si="9"/>
        <v>0</v>
      </c>
      <c r="BL100" s="19" t="s">
        <v>386</v>
      </c>
      <c r="BM100" s="192" t="s">
        <v>534</v>
      </c>
    </row>
    <row r="101" spans="1:65" s="2" customFormat="1" ht="16.5" customHeight="1">
      <c r="A101" s="36"/>
      <c r="B101" s="37"/>
      <c r="C101" s="181" t="s">
        <v>281</v>
      </c>
      <c r="D101" s="181" t="s">
        <v>382</v>
      </c>
      <c r="E101" s="182" t="s">
        <v>6673</v>
      </c>
      <c r="F101" s="183" t="s">
        <v>6674</v>
      </c>
      <c r="G101" s="184" t="s">
        <v>398</v>
      </c>
      <c r="H101" s="185">
        <v>61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386</v>
      </c>
      <c r="AT101" s="192" t="s">
        <v>382</v>
      </c>
      <c r="AU101" s="192" t="s">
        <v>79</v>
      </c>
      <c r="AY101" s="19" t="s">
        <v>380</v>
      </c>
      <c r="BE101" s="193">
        <f t="shared" si="4"/>
        <v>0</v>
      </c>
      <c r="BF101" s="193">
        <f t="shared" si="5"/>
        <v>0</v>
      </c>
      <c r="BG101" s="193">
        <f t="shared" si="6"/>
        <v>0</v>
      </c>
      <c r="BH101" s="193">
        <f t="shared" si="7"/>
        <v>0</v>
      </c>
      <c r="BI101" s="193">
        <f t="shared" si="8"/>
        <v>0</v>
      </c>
      <c r="BJ101" s="19" t="s">
        <v>79</v>
      </c>
      <c r="BK101" s="193">
        <f t="shared" si="9"/>
        <v>0</v>
      </c>
      <c r="BL101" s="19" t="s">
        <v>386</v>
      </c>
      <c r="BM101" s="192" t="s">
        <v>546</v>
      </c>
    </row>
    <row r="102" spans="1:65" s="2" customFormat="1" ht="16.5" customHeight="1">
      <c r="A102" s="36"/>
      <c r="B102" s="37"/>
      <c r="C102" s="181" t="s">
        <v>471</v>
      </c>
      <c r="D102" s="181" t="s">
        <v>382</v>
      </c>
      <c r="E102" s="182" t="s">
        <v>6675</v>
      </c>
      <c r="F102" s="183" t="s">
        <v>6676</v>
      </c>
      <c r="G102" s="184" t="s">
        <v>398</v>
      </c>
      <c r="H102" s="185">
        <v>370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386</v>
      </c>
      <c r="AT102" s="192" t="s">
        <v>382</v>
      </c>
      <c r="AU102" s="192" t="s">
        <v>79</v>
      </c>
      <c r="AY102" s="19" t="s">
        <v>380</v>
      </c>
      <c r="BE102" s="193">
        <f t="shared" si="4"/>
        <v>0</v>
      </c>
      <c r="BF102" s="193">
        <f t="shared" si="5"/>
        <v>0</v>
      </c>
      <c r="BG102" s="193">
        <f t="shared" si="6"/>
        <v>0</v>
      </c>
      <c r="BH102" s="193">
        <f t="shared" si="7"/>
        <v>0</v>
      </c>
      <c r="BI102" s="193">
        <f t="shared" si="8"/>
        <v>0</v>
      </c>
      <c r="BJ102" s="19" t="s">
        <v>79</v>
      </c>
      <c r="BK102" s="193">
        <f t="shared" si="9"/>
        <v>0</v>
      </c>
      <c r="BL102" s="19" t="s">
        <v>386</v>
      </c>
      <c r="BM102" s="192" t="s">
        <v>556</v>
      </c>
    </row>
    <row r="103" spans="1:65" s="2" customFormat="1" ht="16.5" customHeight="1">
      <c r="A103" s="36"/>
      <c r="B103" s="37"/>
      <c r="C103" s="181" t="s">
        <v>477</v>
      </c>
      <c r="D103" s="181" t="s">
        <v>382</v>
      </c>
      <c r="E103" s="182" t="s">
        <v>6677</v>
      </c>
      <c r="F103" s="183" t="s">
        <v>6678</v>
      </c>
      <c r="G103" s="184" t="s">
        <v>2393</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386</v>
      </c>
      <c r="AT103" s="192" t="s">
        <v>382</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386</v>
      </c>
      <c r="BM103" s="192" t="s">
        <v>579</v>
      </c>
    </row>
    <row r="104" spans="1:65" s="2" customFormat="1" ht="16.5" customHeight="1">
      <c r="A104" s="36"/>
      <c r="B104" s="37"/>
      <c r="C104" s="181" t="s">
        <v>284</v>
      </c>
      <c r="D104" s="181" t="s">
        <v>382</v>
      </c>
      <c r="E104" s="182" t="s">
        <v>6679</v>
      </c>
      <c r="F104" s="183" t="s">
        <v>6680</v>
      </c>
      <c r="G104" s="184" t="s">
        <v>398</v>
      </c>
      <c r="H104" s="185">
        <v>20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386</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386</v>
      </c>
      <c r="BM104" s="192" t="s">
        <v>619</v>
      </c>
    </row>
    <row r="105" spans="1:65" s="2" customFormat="1" ht="16.5" customHeight="1">
      <c r="A105" s="36"/>
      <c r="B105" s="37"/>
      <c r="C105" s="181" t="s">
        <v>486</v>
      </c>
      <c r="D105" s="181" t="s">
        <v>382</v>
      </c>
      <c r="E105" s="182" t="s">
        <v>6681</v>
      </c>
      <c r="F105" s="183" t="s">
        <v>6682</v>
      </c>
      <c r="G105" s="184" t="s">
        <v>398</v>
      </c>
      <c r="H105" s="185">
        <v>30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386</v>
      </c>
      <c r="AT105" s="192" t="s">
        <v>382</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386</v>
      </c>
      <c r="BM105" s="192" t="s">
        <v>631</v>
      </c>
    </row>
    <row r="106" spans="1:65" s="2" customFormat="1" ht="16.5" customHeight="1">
      <c r="A106" s="36"/>
      <c r="B106" s="37"/>
      <c r="C106" s="181" t="s">
        <v>7</v>
      </c>
      <c r="D106" s="181" t="s">
        <v>382</v>
      </c>
      <c r="E106" s="182" t="s">
        <v>6683</v>
      </c>
      <c r="F106" s="183" t="s">
        <v>6684</v>
      </c>
      <c r="G106" s="184" t="s">
        <v>398</v>
      </c>
      <c r="H106" s="185">
        <v>600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386</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386</v>
      </c>
      <c r="BM106" s="192" t="s">
        <v>644</v>
      </c>
    </row>
    <row r="107" spans="1:65" s="12" customFormat="1" ht="25.9" customHeight="1">
      <c r="B107" s="165"/>
      <c r="C107" s="166"/>
      <c r="D107" s="167" t="s">
        <v>71</v>
      </c>
      <c r="E107" s="168" t="s">
        <v>82</v>
      </c>
      <c r="F107" s="168" t="s">
        <v>6685</v>
      </c>
      <c r="G107" s="166"/>
      <c r="H107" s="166"/>
      <c r="I107" s="169"/>
      <c r="J107" s="170">
        <f>BK107</f>
        <v>0</v>
      </c>
      <c r="K107" s="166"/>
      <c r="L107" s="171"/>
      <c r="M107" s="172"/>
      <c r="N107" s="173"/>
      <c r="O107" s="173"/>
      <c r="P107" s="174">
        <f>SUM(P108:P109)</f>
        <v>0</v>
      </c>
      <c r="Q107" s="173"/>
      <c r="R107" s="174">
        <f>SUM(R108:R109)</f>
        <v>0</v>
      </c>
      <c r="S107" s="173"/>
      <c r="T107" s="175">
        <f>SUM(T108:T109)</f>
        <v>0</v>
      </c>
      <c r="AR107" s="176" t="s">
        <v>79</v>
      </c>
      <c r="AT107" s="177" t="s">
        <v>71</v>
      </c>
      <c r="AU107" s="177" t="s">
        <v>72</v>
      </c>
      <c r="AY107" s="176" t="s">
        <v>380</v>
      </c>
      <c r="BK107" s="178">
        <f>SUM(BK108:BK109)</f>
        <v>0</v>
      </c>
    </row>
    <row r="108" spans="1:65" s="2" customFormat="1" ht="16.5" customHeight="1">
      <c r="A108" s="36"/>
      <c r="B108" s="37"/>
      <c r="C108" s="181" t="s">
        <v>495</v>
      </c>
      <c r="D108" s="181" t="s">
        <v>382</v>
      </c>
      <c r="E108" s="182" t="s">
        <v>6686</v>
      </c>
      <c r="F108" s="183" t="s">
        <v>6687</v>
      </c>
      <c r="G108" s="184" t="s">
        <v>2393</v>
      </c>
      <c r="H108" s="185">
        <v>1</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79</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652</v>
      </c>
    </row>
    <row r="109" spans="1:65" s="2" customFormat="1" ht="16.5" customHeight="1">
      <c r="A109" s="36"/>
      <c r="B109" s="37"/>
      <c r="C109" s="181" t="s">
        <v>500</v>
      </c>
      <c r="D109" s="181" t="s">
        <v>382</v>
      </c>
      <c r="E109" s="182" t="s">
        <v>6688</v>
      </c>
      <c r="F109" s="183" t="s">
        <v>6689</v>
      </c>
      <c r="G109" s="184" t="s">
        <v>2393</v>
      </c>
      <c r="H109" s="185">
        <v>300</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386</v>
      </c>
      <c r="AT109" s="192" t="s">
        <v>382</v>
      </c>
      <c r="AU109" s="192" t="s">
        <v>79</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386</v>
      </c>
      <c r="BM109" s="192" t="s">
        <v>660</v>
      </c>
    </row>
    <row r="110" spans="1:65" s="12" customFormat="1" ht="25.9" customHeight="1">
      <c r="B110" s="165"/>
      <c r="C110" s="166"/>
      <c r="D110" s="167" t="s">
        <v>71</v>
      </c>
      <c r="E110" s="168" t="s">
        <v>99</v>
      </c>
      <c r="F110" s="168" t="s">
        <v>6690</v>
      </c>
      <c r="G110" s="166"/>
      <c r="H110" s="166"/>
      <c r="I110" s="169"/>
      <c r="J110" s="170">
        <f>BK110</f>
        <v>0</v>
      </c>
      <c r="K110" s="166"/>
      <c r="L110" s="171"/>
      <c r="M110" s="172"/>
      <c r="N110" s="173"/>
      <c r="O110" s="173"/>
      <c r="P110" s="174">
        <f>SUM(P111:P117)</f>
        <v>0</v>
      </c>
      <c r="Q110" s="173"/>
      <c r="R110" s="174">
        <f>SUM(R111:R117)</f>
        <v>0</v>
      </c>
      <c r="S110" s="173"/>
      <c r="T110" s="175">
        <f>SUM(T111:T117)</f>
        <v>0</v>
      </c>
      <c r="AR110" s="176" t="s">
        <v>79</v>
      </c>
      <c r="AT110" s="177" t="s">
        <v>71</v>
      </c>
      <c r="AU110" s="177" t="s">
        <v>72</v>
      </c>
      <c r="AY110" s="176" t="s">
        <v>380</v>
      </c>
      <c r="BK110" s="178">
        <f>SUM(BK111:BK117)</f>
        <v>0</v>
      </c>
    </row>
    <row r="111" spans="1:65" s="2" customFormat="1" ht="16.5" customHeight="1">
      <c r="A111" s="36"/>
      <c r="B111" s="37"/>
      <c r="C111" s="181" t="s">
        <v>505</v>
      </c>
      <c r="D111" s="181" t="s">
        <v>382</v>
      </c>
      <c r="E111" s="182" t="s">
        <v>6691</v>
      </c>
      <c r="F111" s="183" t="s">
        <v>6692</v>
      </c>
      <c r="G111" s="184" t="s">
        <v>2393</v>
      </c>
      <c r="H111" s="185">
        <v>3</v>
      </c>
      <c r="I111" s="186"/>
      <c r="J111" s="187">
        <f t="shared" ref="J111:J117" si="10">ROUND(I111*H111,2)</f>
        <v>0</v>
      </c>
      <c r="K111" s="183" t="s">
        <v>19</v>
      </c>
      <c r="L111" s="41"/>
      <c r="M111" s="188" t="s">
        <v>19</v>
      </c>
      <c r="N111" s="189" t="s">
        <v>43</v>
      </c>
      <c r="O111" s="66"/>
      <c r="P111" s="190">
        <f t="shared" ref="P111:P117" si="11">O111*H111</f>
        <v>0</v>
      </c>
      <c r="Q111" s="190">
        <v>0</v>
      </c>
      <c r="R111" s="190">
        <f t="shared" ref="R111:R117" si="12">Q111*H111</f>
        <v>0</v>
      </c>
      <c r="S111" s="190">
        <v>0</v>
      </c>
      <c r="T111" s="191">
        <f t="shared" ref="T111:T117" si="13">S111*H111</f>
        <v>0</v>
      </c>
      <c r="U111" s="36"/>
      <c r="V111" s="36"/>
      <c r="W111" s="36"/>
      <c r="X111" s="36"/>
      <c r="Y111" s="36"/>
      <c r="Z111" s="36"/>
      <c r="AA111" s="36"/>
      <c r="AB111" s="36"/>
      <c r="AC111" s="36"/>
      <c r="AD111" s="36"/>
      <c r="AE111" s="36"/>
      <c r="AR111" s="192" t="s">
        <v>386</v>
      </c>
      <c r="AT111" s="192" t="s">
        <v>382</v>
      </c>
      <c r="AU111" s="192" t="s">
        <v>79</v>
      </c>
      <c r="AY111" s="19" t="s">
        <v>380</v>
      </c>
      <c r="BE111" s="193">
        <f t="shared" ref="BE111:BE117" si="14">IF(N111="základní",J111,0)</f>
        <v>0</v>
      </c>
      <c r="BF111" s="193">
        <f t="shared" ref="BF111:BF117" si="15">IF(N111="snížená",J111,0)</f>
        <v>0</v>
      </c>
      <c r="BG111" s="193">
        <f t="shared" ref="BG111:BG117" si="16">IF(N111="zákl. přenesená",J111,0)</f>
        <v>0</v>
      </c>
      <c r="BH111" s="193">
        <f t="shared" ref="BH111:BH117" si="17">IF(N111="sníž. přenesená",J111,0)</f>
        <v>0</v>
      </c>
      <c r="BI111" s="193">
        <f t="shared" ref="BI111:BI117" si="18">IF(N111="nulová",J111,0)</f>
        <v>0</v>
      </c>
      <c r="BJ111" s="19" t="s">
        <v>79</v>
      </c>
      <c r="BK111" s="193">
        <f t="shared" ref="BK111:BK117" si="19">ROUND(I111*H111,2)</f>
        <v>0</v>
      </c>
      <c r="BL111" s="19" t="s">
        <v>386</v>
      </c>
      <c r="BM111" s="192" t="s">
        <v>668</v>
      </c>
    </row>
    <row r="112" spans="1:65" s="2" customFormat="1" ht="16.5" customHeight="1">
      <c r="A112" s="36"/>
      <c r="B112" s="37"/>
      <c r="C112" s="181" t="s">
        <v>509</v>
      </c>
      <c r="D112" s="181" t="s">
        <v>382</v>
      </c>
      <c r="E112" s="182" t="s">
        <v>6693</v>
      </c>
      <c r="F112" s="183" t="s">
        <v>6694</v>
      </c>
      <c r="G112" s="184" t="s">
        <v>2393</v>
      </c>
      <c r="H112" s="185">
        <v>3</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386</v>
      </c>
      <c r="AT112" s="192" t="s">
        <v>382</v>
      </c>
      <c r="AU112" s="192" t="s">
        <v>79</v>
      </c>
      <c r="AY112" s="19" t="s">
        <v>380</v>
      </c>
      <c r="BE112" s="193">
        <f t="shared" si="14"/>
        <v>0</v>
      </c>
      <c r="BF112" s="193">
        <f t="shared" si="15"/>
        <v>0</v>
      </c>
      <c r="BG112" s="193">
        <f t="shared" si="16"/>
        <v>0</v>
      </c>
      <c r="BH112" s="193">
        <f t="shared" si="17"/>
        <v>0</v>
      </c>
      <c r="BI112" s="193">
        <f t="shared" si="18"/>
        <v>0</v>
      </c>
      <c r="BJ112" s="19" t="s">
        <v>79</v>
      </c>
      <c r="BK112" s="193">
        <f t="shared" si="19"/>
        <v>0</v>
      </c>
      <c r="BL112" s="19" t="s">
        <v>386</v>
      </c>
      <c r="BM112" s="192" t="s">
        <v>677</v>
      </c>
    </row>
    <row r="113" spans="1:65" s="2" customFormat="1" ht="16.5" customHeight="1">
      <c r="A113" s="36"/>
      <c r="B113" s="37"/>
      <c r="C113" s="181" t="s">
        <v>514</v>
      </c>
      <c r="D113" s="181" t="s">
        <v>382</v>
      </c>
      <c r="E113" s="182" t="s">
        <v>6695</v>
      </c>
      <c r="F113" s="183" t="s">
        <v>6696</v>
      </c>
      <c r="G113" s="184" t="s">
        <v>2393</v>
      </c>
      <c r="H113" s="185">
        <v>3</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386</v>
      </c>
      <c r="AT113" s="192" t="s">
        <v>382</v>
      </c>
      <c r="AU113" s="192" t="s">
        <v>79</v>
      </c>
      <c r="AY113" s="19" t="s">
        <v>380</v>
      </c>
      <c r="BE113" s="193">
        <f t="shared" si="14"/>
        <v>0</v>
      </c>
      <c r="BF113" s="193">
        <f t="shared" si="15"/>
        <v>0</v>
      </c>
      <c r="BG113" s="193">
        <f t="shared" si="16"/>
        <v>0</v>
      </c>
      <c r="BH113" s="193">
        <f t="shared" si="17"/>
        <v>0</v>
      </c>
      <c r="BI113" s="193">
        <f t="shared" si="18"/>
        <v>0</v>
      </c>
      <c r="BJ113" s="19" t="s">
        <v>79</v>
      </c>
      <c r="BK113" s="193">
        <f t="shared" si="19"/>
        <v>0</v>
      </c>
      <c r="BL113" s="19" t="s">
        <v>386</v>
      </c>
      <c r="BM113" s="192" t="s">
        <v>699</v>
      </c>
    </row>
    <row r="114" spans="1:65" s="2" customFormat="1" ht="16.5" customHeight="1">
      <c r="A114" s="36"/>
      <c r="B114" s="37"/>
      <c r="C114" s="181" t="s">
        <v>520</v>
      </c>
      <c r="D114" s="181" t="s">
        <v>382</v>
      </c>
      <c r="E114" s="182" t="s">
        <v>6697</v>
      </c>
      <c r="F114" s="183" t="s">
        <v>6698</v>
      </c>
      <c r="G114" s="184" t="s">
        <v>452</v>
      </c>
      <c r="H114" s="185">
        <v>3</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386</v>
      </c>
      <c r="AT114" s="192" t="s">
        <v>382</v>
      </c>
      <c r="AU114" s="192" t="s">
        <v>79</v>
      </c>
      <c r="AY114" s="19" t="s">
        <v>380</v>
      </c>
      <c r="BE114" s="193">
        <f t="shared" si="14"/>
        <v>0</v>
      </c>
      <c r="BF114" s="193">
        <f t="shared" si="15"/>
        <v>0</v>
      </c>
      <c r="BG114" s="193">
        <f t="shared" si="16"/>
        <v>0</v>
      </c>
      <c r="BH114" s="193">
        <f t="shared" si="17"/>
        <v>0</v>
      </c>
      <c r="BI114" s="193">
        <f t="shared" si="18"/>
        <v>0</v>
      </c>
      <c r="BJ114" s="19" t="s">
        <v>79</v>
      </c>
      <c r="BK114" s="193">
        <f t="shared" si="19"/>
        <v>0</v>
      </c>
      <c r="BL114" s="19" t="s">
        <v>386</v>
      </c>
      <c r="BM114" s="192" t="s">
        <v>709</v>
      </c>
    </row>
    <row r="115" spans="1:65" s="2" customFormat="1" ht="16.5" customHeight="1">
      <c r="A115" s="36"/>
      <c r="B115" s="37"/>
      <c r="C115" s="181" t="s">
        <v>525</v>
      </c>
      <c r="D115" s="181" t="s">
        <v>382</v>
      </c>
      <c r="E115" s="182" t="s">
        <v>6699</v>
      </c>
      <c r="F115" s="183" t="s">
        <v>6700</v>
      </c>
      <c r="G115" s="184" t="s">
        <v>2678</v>
      </c>
      <c r="H115" s="185">
        <v>2</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386</v>
      </c>
      <c r="AT115" s="192" t="s">
        <v>382</v>
      </c>
      <c r="AU115" s="192" t="s">
        <v>79</v>
      </c>
      <c r="AY115" s="19" t="s">
        <v>380</v>
      </c>
      <c r="BE115" s="193">
        <f t="shared" si="14"/>
        <v>0</v>
      </c>
      <c r="BF115" s="193">
        <f t="shared" si="15"/>
        <v>0</v>
      </c>
      <c r="BG115" s="193">
        <f t="shared" si="16"/>
        <v>0</v>
      </c>
      <c r="BH115" s="193">
        <f t="shared" si="17"/>
        <v>0</v>
      </c>
      <c r="BI115" s="193">
        <f t="shared" si="18"/>
        <v>0</v>
      </c>
      <c r="BJ115" s="19" t="s">
        <v>79</v>
      </c>
      <c r="BK115" s="193">
        <f t="shared" si="19"/>
        <v>0</v>
      </c>
      <c r="BL115" s="19" t="s">
        <v>386</v>
      </c>
      <c r="BM115" s="192" t="s">
        <v>733</v>
      </c>
    </row>
    <row r="116" spans="1:65" s="2" customFormat="1" ht="16.5" customHeight="1">
      <c r="A116" s="36"/>
      <c r="B116" s="37"/>
      <c r="C116" s="181" t="s">
        <v>529</v>
      </c>
      <c r="D116" s="181" t="s">
        <v>382</v>
      </c>
      <c r="E116" s="182" t="s">
        <v>6701</v>
      </c>
      <c r="F116" s="183" t="s">
        <v>6702</v>
      </c>
      <c r="G116" s="184" t="s">
        <v>2393</v>
      </c>
      <c r="H116" s="185">
        <v>305</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386</v>
      </c>
      <c r="AT116" s="192" t="s">
        <v>382</v>
      </c>
      <c r="AU116" s="192" t="s">
        <v>79</v>
      </c>
      <c r="AY116" s="19" t="s">
        <v>380</v>
      </c>
      <c r="BE116" s="193">
        <f t="shared" si="14"/>
        <v>0</v>
      </c>
      <c r="BF116" s="193">
        <f t="shared" si="15"/>
        <v>0</v>
      </c>
      <c r="BG116" s="193">
        <f t="shared" si="16"/>
        <v>0</v>
      </c>
      <c r="BH116" s="193">
        <f t="shared" si="17"/>
        <v>0</v>
      </c>
      <c r="BI116" s="193">
        <f t="shared" si="18"/>
        <v>0</v>
      </c>
      <c r="BJ116" s="19" t="s">
        <v>79</v>
      </c>
      <c r="BK116" s="193">
        <f t="shared" si="19"/>
        <v>0</v>
      </c>
      <c r="BL116" s="19" t="s">
        <v>386</v>
      </c>
      <c r="BM116" s="192" t="s">
        <v>753</v>
      </c>
    </row>
    <row r="117" spans="1:65" s="2" customFormat="1" ht="16.5" customHeight="1">
      <c r="A117" s="36"/>
      <c r="B117" s="37"/>
      <c r="C117" s="181" t="s">
        <v>534</v>
      </c>
      <c r="D117" s="181" t="s">
        <v>382</v>
      </c>
      <c r="E117" s="182" t="s">
        <v>6703</v>
      </c>
      <c r="F117" s="183" t="s">
        <v>6704</v>
      </c>
      <c r="G117" s="184" t="s">
        <v>385</v>
      </c>
      <c r="H117" s="185">
        <v>6.1</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386</v>
      </c>
      <c r="AT117" s="192" t="s">
        <v>382</v>
      </c>
      <c r="AU117" s="192" t="s">
        <v>79</v>
      </c>
      <c r="AY117" s="19" t="s">
        <v>380</v>
      </c>
      <c r="BE117" s="193">
        <f t="shared" si="14"/>
        <v>0</v>
      </c>
      <c r="BF117" s="193">
        <f t="shared" si="15"/>
        <v>0</v>
      </c>
      <c r="BG117" s="193">
        <f t="shared" si="16"/>
        <v>0</v>
      </c>
      <c r="BH117" s="193">
        <f t="shared" si="17"/>
        <v>0</v>
      </c>
      <c r="BI117" s="193">
        <f t="shared" si="18"/>
        <v>0</v>
      </c>
      <c r="BJ117" s="19" t="s">
        <v>79</v>
      </c>
      <c r="BK117" s="193">
        <f t="shared" si="19"/>
        <v>0</v>
      </c>
      <c r="BL117" s="19" t="s">
        <v>386</v>
      </c>
      <c r="BM117" s="192" t="s">
        <v>767</v>
      </c>
    </row>
    <row r="118" spans="1:65" s="12" customFormat="1" ht="25.9" customHeight="1">
      <c r="B118" s="165"/>
      <c r="C118" s="166"/>
      <c r="D118" s="167" t="s">
        <v>71</v>
      </c>
      <c r="E118" s="168" t="s">
        <v>386</v>
      </c>
      <c r="F118" s="168" t="s">
        <v>6705</v>
      </c>
      <c r="G118" s="166"/>
      <c r="H118" s="166"/>
      <c r="I118" s="169"/>
      <c r="J118" s="170">
        <f>BK118</f>
        <v>0</v>
      </c>
      <c r="K118" s="166"/>
      <c r="L118" s="171"/>
      <c r="M118" s="172"/>
      <c r="N118" s="173"/>
      <c r="O118" s="173"/>
      <c r="P118" s="174">
        <f>SUM(P119:P132)</f>
        <v>0</v>
      </c>
      <c r="Q118" s="173"/>
      <c r="R118" s="174">
        <f>SUM(R119:R132)</f>
        <v>0</v>
      </c>
      <c r="S118" s="173"/>
      <c r="T118" s="175">
        <f>SUM(T119:T132)</f>
        <v>0</v>
      </c>
      <c r="AR118" s="176" t="s">
        <v>79</v>
      </c>
      <c r="AT118" s="177" t="s">
        <v>71</v>
      </c>
      <c r="AU118" s="177" t="s">
        <v>72</v>
      </c>
      <c r="AY118" s="176" t="s">
        <v>380</v>
      </c>
      <c r="BK118" s="178">
        <f>SUM(BK119:BK132)</f>
        <v>0</v>
      </c>
    </row>
    <row r="119" spans="1:65" s="2" customFormat="1" ht="16.5" customHeight="1">
      <c r="A119" s="36"/>
      <c r="B119" s="37"/>
      <c r="C119" s="181" t="s">
        <v>540</v>
      </c>
      <c r="D119" s="181" t="s">
        <v>382</v>
      </c>
      <c r="E119" s="182" t="s">
        <v>6706</v>
      </c>
      <c r="F119" s="183" t="s">
        <v>6707</v>
      </c>
      <c r="G119" s="184" t="s">
        <v>437</v>
      </c>
      <c r="H119" s="185">
        <v>0.112</v>
      </c>
      <c r="I119" s="186"/>
      <c r="J119" s="187">
        <f t="shared" ref="J119:J132" si="20">ROUND(I119*H119,2)</f>
        <v>0</v>
      </c>
      <c r="K119" s="183" t="s">
        <v>19</v>
      </c>
      <c r="L119" s="41"/>
      <c r="M119" s="188" t="s">
        <v>19</v>
      </c>
      <c r="N119" s="189" t="s">
        <v>43</v>
      </c>
      <c r="O119" s="66"/>
      <c r="P119" s="190">
        <f t="shared" ref="P119:P132" si="21">O119*H119</f>
        <v>0</v>
      </c>
      <c r="Q119" s="190">
        <v>0</v>
      </c>
      <c r="R119" s="190">
        <f t="shared" ref="R119:R132" si="22">Q119*H119</f>
        <v>0</v>
      </c>
      <c r="S119" s="190">
        <v>0</v>
      </c>
      <c r="T119" s="191">
        <f t="shared" ref="T119:T132" si="23">S119*H119</f>
        <v>0</v>
      </c>
      <c r="U119" s="36"/>
      <c r="V119" s="36"/>
      <c r="W119" s="36"/>
      <c r="X119" s="36"/>
      <c r="Y119" s="36"/>
      <c r="Z119" s="36"/>
      <c r="AA119" s="36"/>
      <c r="AB119" s="36"/>
      <c r="AC119" s="36"/>
      <c r="AD119" s="36"/>
      <c r="AE119" s="36"/>
      <c r="AR119" s="192" t="s">
        <v>386</v>
      </c>
      <c r="AT119" s="192" t="s">
        <v>382</v>
      </c>
      <c r="AU119" s="192" t="s">
        <v>79</v>
      </c>
      <c r="AY119" s="19" t="s">
        <v>380</v>
      </c>
      <c r="BE119" s="193">
        <f t="shared" ref="BE119:BE132" si="24">IF(N119="základní",J119,0)</f>
        <v>0</v>
      </c>
      <c r="BF119" s="193">
        <f t="shared" ref="BF119:BF132" si="25">IF(N119="snížená",J119,0)</f>
        <v>0</v>
      </c>
      <c r="BG119" s="193">
        <f t="shared" ref="BG119:BG132" si="26">IF(N119="zákl. přenesená",J119,0)</f>
        <v>0</v>
      </c>
      <c r="BH119" s="193">
        <f t="shared" ref="BH119:BH132" si="27">IF(N119="sníž. přenesená",J119,0)</f>
        <v>0</v>
      </c>
      <c r="BI119" s="193">
        <f t="shared" ref="BI119:BI132" si="28">IF(N119="nulová",J119,0)</f>
        <v>0</v>
      </c>
      <c r="BJ119" s="19" t="s">
        <v>79</v>
      </c>
      <c r="BK119" s="193">
        <f t="shared" ref="BK119:BK132" si="29">ROUND(I119*H119,2)</f>
        <v>0</v>
      </c>
      <c r="BL119" s="19" t="s">
        <v>386</v>
      </c>
      <c r="BM119" s="192" t="s">
        <v>776</v>
      </c>
    </row>
    <row r="120" spans="1:65" s="2" customFormat="1" ht="16.5" customHeight="1">
      <c r="A120" s="36"/>
      <c r="B120" s="37"/>
      <c r="C120" s="181" t="s">
        <v>546</v>
      </c>
      <c r="D120" s="181" t="s">
        <v>382</v>
      </c>
      <c r="E120" s="182" t="s">
        <v>6708</v>
      </c>
      <c r="F120" s="183" t="s">
        <v>6709</v>
      </c>
      <c r="G120" s="184" t="s">
        <v>398</v>
      </c>
      <c r="H120" s="185">
        <v>1480</v>
      </c>
      <c r="I120" s="186"/>
      <c r="J120" s="187">
        <f t="shared" si="20"/>
        <v>0</v>
      </c>
      <c r="K120" s="183" t="s">
        <v>19</v>
      </c>
      <c r="L120" s="41"/>
      <c r="M120" s="188" t="s">
        <v>19</v>
      </c>
      <c r="N120" s="189" t="s">
        <v>43</v>
      </c>
      <c r="O120" s="66"/>
      <c r="P120" s="190">
        <f t="shared" si="21"/>
        <v>0</v>
      </c>
      <c r="Q120" s="190">
        <v>0</v>
      </c>
      <c r="R120" s="190">
        <f t="shared" si="22"/>
        <v>0</v>
      </c>
      <c r="S120" s="190">
        <v>0</v>
      </c>
      <c r="T120" s="191">
        <f t="shared" si="23"/>
        <v>0</v>
      </c>
      <c r="U120" s="36"/>
      <c r="V120" s="36"/>
      <c r="W120" s="36"/>
      <c r="X120" s="36"/>
      <c r="Y120" s="36"/>
      <c r="Z120" s="36"/>
      <c r="AA120" s="36"/>
      <c r="AB120" s="36"/>
      <c r="AC120" s="36"/>
      <c r="AD120" s="36"/>
      <c r="AE120" s="36"/>
      <c r="AR120" s="192" t="s">
        <v>386</v>
      </c>
      <c r="AT120" s="192" t="s">
        <v>382</v>
      </c>
      <c r="AU120" s="192" t="s">
        <v>79</v>
      </c>
      <c r="AY120" s="19" t="s">
        <v>380</v>
      </c>
      <c r="BE120" s="193">
        <f t="shared" si="24"/>
        <v>0</v>
      </c>
      <c r="BF120" s="193">
        <f t="shared" si="25"/>
        <v>0</v>
      </c>
      <c r="BG120" s="193">
        <f t="shared" si="26"/>
        <v>0</v>
      </c>
      <c r="BH120" s="193">
        <f t="shared" si="27"/>
        <v>0</v>
      </c>
      <c r="BI120" s="193">
        <f t="shared" si="28"/>
        <v>0</v>
      </c>
      <c r="BJ120" s="19" t="s">
        <v>79</v>
      </c>
      <c r="BK120" s="193">
        <f t="shared" si="29"/>
        <v>0</v>
      </c>
      <c r="BL120" s="19" t="s">
        <v>386</v>
      </c>
      <c r="BM120" s="192" t="s">
        <v>787</v>
      </c>
    </row>
    <row r="121" spans="1:65" s="2" customFormat="1" ht="16.5" customHeight="1">
      <c r="A121" s="36"/>
      <c r="B121" s="37"/>
      <c r="C121" s="181" t="s">
        <v>552</v>
      </c>
      <c r="D121" s="181" t="s">
        <v>382</v>
      </c>
      <c r="E121" s="182" t="s">
        <v>6710</v>
      </c>
      <c r="F121" s="183" t="s">
        <v>6711</v>
      </c>
      <c r="G121" s="184" t="s">
        <v>398</v>
      </c>
      <c r="H121" s="185">
        <v>11100</v>
      </c>
      <c r="I121" s="186"/>
      <c r="J121" s="187">
        <f t="shared" si="20"/>
        <v>0</v>
      </c>
      <c r="K121" s="183" t="s">
        <v>19</v>
      </c>
      <c r="L121" s="41"/>
      <c r="M121" s="188" t="s">
        <v>19</v>
      </c>
      <c r="N121" s="189" t="s">
        <v>43</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386</v>
      </c>
      <c r="AT121" s="192" t="s">
        <v>382</v>
      </c>
      <c r="AU121" s="192" t="s">
        <v>79</v>
      </c>
      <c r="AY121" s="19" t="s">
        <v>380</v>
      </c>
      <c r="BE121" s="193">
        <f t="shared" si="24"/>
        <v>0</v>
      </c>
      <c r="BF121" s="193">
        <f t="shared" si="25"/>
        <v>0</v>
      </c>
      <c r="BG121" s="193">
        <f t="shared" si="26"/>
        <v>0</v>
      </c>
      <c r="BH121" s="193">
        <f t="shared" si="27"/>
        <v>0</v>
      </c>
      <c r="BI121" s="193">
        <f t="shared" si="28"/>
        <v>0</v>
      </c>
      <c r="BJ121" s="19" t="s">
        <v>79</v>
      </c>
      <c r="BK121" s="193">
        <f t="shared" si="29"/>
        <v>0</v>
      </c>
      <c r="BL121" s="19" t="s">
        <v>386</v>
      </c>
      <c r="BM121" s="192" t="s">
        <v>795</v>
      </c>
    </row>
    <row r="122" spans="1:65" s="2" customFormat="1" ht="16.5" customHeight="1">
      <c r="A122" s="36"/>
      <c r="B122" s="37"/>
      <c r="C122" s="181" t="s">
        <v>556</v>
      </c>
      <c r="D122" s="181" t="s">
        <v>382</v>
      </c>
      <c r="E122" s="182" t="s">
        <v>6712</v>
      </c>
      <c r="F122" s="183" t="s">
        <v>6713</v>
      </c>
      <c r="G122" s="184" t="s">
        <v>385</v>
      </c>
      <c r="H122" s="185">
        <v>1.3</v>
      </c>
      <c r="I122" s="186"/>
      <c r="J122" s="187">
        <f t="shared" si="20"/>
        <v>0</v>
      </c>
      <c r="K122" s="183" t="s">
        <v>19</v>
      </c>
      <c r="L122" s="41"/>
      <c r="M122" s="188" t="s">
        <v>19</v>
      </c>
      <c r="N122" s="189" t="s">
        <v>43</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386</v>
      </c>
      <c r="AT122" s="192" t="s">
        <v>382</v>
      </c>
      <c r="AU122" s="192" t="s">
        <v>79</v>
      </c>
      <c r="AY122" s="19" t="s">
        <v>380</v>
      </c>
      <c r="BE122" s="193">
        <f t="shared" si="24"/>
        <v>0</v>
      </c>
      <c r="BF122" s="193">
        <f t="shared" si="25"/>
        <v>0</v>
      </c>
      <c r="BG122" s="193">
        <f t="shared" si="26"/>
        <v>0</v>
      </c>
      <c r="BH122" s="193">
        <f t="shared" si="27"/>
        <v>0</v>
      </c>
      <c r="BI122" s="193">
        <f t="shared" si="28"/>
        <v>0</v>
      </c>
      <c r="BJ122" s="19" t="s">
        <v>79</v>
      </c>
      <c r="BK122" s="193">
        <f t="shared" si="29"/>
        <v>0</v>
      </c>
      <c r="BL122" s="19" t="s">
        <v>386</v>
      </c>
      <c r="BM122" s="192" t="s">
        <v>804</v>
      </c>
    </row>
    <row r="123" spans="1:65" s="2" customFormat="1" ht="16.5" customHeight="1">
      <c r="A123" s="36"/>
      <c r="B123" s="37"/>
      <c r="C123" s="181" t="s">
        <v>565</v>
      </c>
      <c r="D123" s="181" t="s">
        <v>382</v>
      </c>
      <c r="E123" s="182" t="s">
        <v>6714</v>
      </c>
      <c r="F123" s="183" t="s">
        <v>6715</v>
      </c>
      <c r="G123" s="184" t="s">
        <v>385</v>
      </c>
      <c r="H123" s="185">
        <v>60</v>
      </c>
      <c r="I123" s="186"/>
      <c r="J123" s="187">
        <f t="shared" si="20"/>
        <v>0</v>
      </c>
      <c r="K123" s="183" t="s">
        <v>19</v>
      </c>
      <c r="L123" s="41"/>
      <c r="M123" s="188" t="s">
        <v>19</v>
      </c>
      <c r="N123" s="189" t="s">
        <v>43</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386</v>
      </c>
      <c r="AT123" s="192" t="s">
        <v>382</v>
      </c>
      <c r="AU123" s="192" t="s">
        <v>79</v>
      </c>
      <c r="AY123" s="19" t="s">
        <v>380</v>
      </c>
      <c r="BE123" s="193">
        <f t="shared" si="24"/>
        <v>0</v>
      </c>
      <c r="BF123" s="193">
        <f t="shared" si="25"/>
        <v>0</v>
      </c>
      <c r="BG123" s="193">
        <f t="shared" si="26"/>
        <v>0</v>
      </c>
      <c r="BH123" s="193">
        <f t="shared" si="27"/>
        <v>0</v>
      </c>
      <c r="BI123" s="193">
        <f t="shared" si="28"/>
        <v>0</v>
      </c>
      <c r="BJ123" s="19" t="s">
        <v>79</v>
      </c>
      <c r="BK123" s="193">
        <f t="shared" si="29"/>
        <v>0</v>
      </c>
      <c r="BL123" s="19" t="s">
        <v>386</v>
      </c>
      <c r="BM123" s="192" t="s">
        <v>831</v>
      </c>
    </row>
    <row r="124" spans="1:65" s="2" customFormat="1" ht="16.5" customHeight="1">
      <c r="A124" s="36"/>
      <c r="B124" s="37"/>
      <c r="C124" s="181" t="s">
        <v>579</v>
      </c>
      <c r="D124" s="181" t="s">
        <v>382</v>
      </c>
      <c r="E124" s="182" t="s">
        <v>6716</v>
      </c>
      <c r="F124" s="183" t="s">
        <v>6717</v>
      </c>
      <c r="G124" s="184" t="s">
        <v>398</v>
      </c>
      <c r="H124" s="185">
        <v>305</v>
      </c>
      <c r="I124" s="186"/>
      <c r="J124" s="187">
        <f t="shared" si="20"/>
        <v>0</v>
      </c>
      <c r="K124" s="183" t="s">
        <v>19</v>
      </c>
      <c r="L124" s="41"/>
      <c r="M124" s="188" t="s">
        <v>19</v>
      </c>
      <c r="N124" s="189" t="s">
        <v>43</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386</v>
      </c>
      <c r="AT124" s="192" t="s">
        <v>382</v>
      </c>
      <c r="AU124" s="192" t="s">
        <v>79</v>
      </c>
      <c r="AY124" s="19" t="s">
        <v>380</v>
      </c>
      <c r="BE124" s="193">
        <f t="shared" si="24"/>
        <v>0</v>
      </c>
      <c r="BF124" s="193">
        <f t="shared" si="25"/>
        <v>0</v>
      </c>
      <c r="BG124" s="193">
        <f t="shared" si="26"/>
        <v>0</v>
      </c>
      <c r="BH124" s="193">
        <f t="shared" si="27"/>
        <v>0</v>
      </c>
      <c r="BI124" s="193">
        <f t="shared" si="28"/>
        <v>0</v>
      </c>
      <c r="BJ124" s="19" t="s">
        <v>79</v>
      </c>
      <c r="BK124" s="193">
        <f t="shared" si="29"/>
        <v>0</v>
      </c>
      <c r="BL124" s="19" t="s">
        <v>386</v>
      </c>
      <c r="BM124" s="192" t="s">
        <v>841</v>
      </c>
    </row>
    <row r="125" spans="1:65" s="2" customFormat="1" ht="16.5" customHeight="1">
      <c r="A125" s="36"/>
      <c r="B125" s="37"/>
      <c r="C125" s="181" t="s">
        <v>600</v>
      </c>
      <c r="D125" s="181" t="s">
        <v>382</v>
      </c>
      <c r="E125" s="182" t="s">
        <v>6718</v>
      </c>
      <c r="F125" s="183" t="s">
        <v>6719</v>
      </c>
      <c r="G125" s="184" t="s">
        <v>398</v>
      </c>
      <c r="H125" s="185">
        <v>60</v>
      </c>
      <c r="I125" s="186"/>
      <c r="J125" s="187">
        <f t="shared" si="20"/>
        <v>0</v>
      </c>
      <c r="K125" s="183" t="s">
        <v>19</v>
      </c>
      <c r="L125" s="41"/>
      <c r="M125" s="188" t="s">
        <v>19</v>
      </c>
      <c r="N125" s="189" t="s">
        <v>43</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386</v>
      </c>
      <c r="AT125" s="192" t="s">
        <v>382</v>
      </c>
      <c r="AU125" s="192" t="s">
        <v>79</v>
      </c>
      <c r="AY125" s="19" t="s">
        <v>380</v>
      </c>
      <c r="BE125" s="193">
        <f t="shared" si="24"/>
        <v>0</v>
      </c>
      <c r="BF125" s="193">
        <f t="shared" si="25"/>
        <v>0</v>
      </c>
      <c r="BG125" s="193">
        <f t="shared" si="26"/>
        <v>0</v>
      </c>
      <c r="BH125" s="193">
        <f t="shared" si="27"/>
        <v>0</v>
      </c>
      <c r="BI125" s="193">
        <f t="shared" si="28"/>
        <v>0</v>
      </c>
      <c r="BJ125" s="19" t="s">
        <v>79</v>
      </c>
      <c r="BK125" s="193">
        <f t="shared" si="29"/>
        <v>0</v>
      </c>
      <c r="BL125" s="19" t="s">
        <v>386</v>
      </c>
      <c r="BM125" s="192" t="s">
        <v>851</v>
      </c>
    </row>
    <row r="126" spans="1:65" s="2" customFormat="1" ht="16.5" customHeight="1">
      <c r="A126" s="36"/>
      <c r="B126" s="37"/>
      <c r="C126" s="181" t="s">
        <v>619</v>
      </c>
      <c r="D126" s="181" t="s">
        <v>382</v>
      </c>
      <c r="E126" s="182" t="s">
        <v>6720</v>
      </c>
      <c r="F126" s="183" t="s">
        <v>6721</v>
      </c>
      <c r="G126" s="184" t="s">
        <v>2393</v>
      </c>
      <c r="H126" s="185">
        <v>2</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386</v>
      </c>
      <c r="AT126" s="192" t="s">
        <v>382</v>
      </c>
      <c r="AU126" s="192" t="s">
        <v>79</v>
      </c>
      <c r="AY126" s="19" t="s">
        <v>380</v>
      </c>
      <c r="BE126" s="193">
        <f t="shared" si="24"/>
        <v>0</v>
      </c>
      <c r="BF126" s="193">
        <f t="shared" si="25"/>
        <v>0</v>
      </c>
      <c r="BG126" s="193">
        <f t="shared" si="26"/>
        <v>0</v>
      </c>
      <c r="BH126" s="193">
        <f t="shared" si="27"/>
        <v>0</v>
      </c>
      <c r="BI126" s="193">
        <f t="shared" si="28"/>
        <v>0</v>
      </c>
      <c r="BJ126" s="19" t="s">
        <v>79</v>
      </c>
      <c r="BK126" s="193">
        <f t="shared" si="29"/>
        <v>0</v>
      </c>
      <c r="BL126" s="19" t="s">
        <v>386</v>
      </c>
      <c r="BM126" s="192" t="s">
        <v>859</v>
      </c>
    </row>
    <row r="127" spans="1:65" s="2" customFormat="1" ht="16.5" customHeight="1">
      <c r="A127" s="36"/>
      <c r="B127" s="37"/>
      <c r="C127" s="181" t="s">
        <v>623</v>
      </c>
      <c r="D127" s="181" t="s">
        <v>382</v>
      </c>
      <c r="E127" s="182" t="s">
        <v>6722</v>
      </c>
      <c r="F127" s="183" t="s">
        <v>6723</v>
      </c>
      <c r="G127" s="184" t="s">
        <v>2393</v>
      </c>
      <c r="H127" s="185">
        <v>4</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386</v>
      </c>
      <c r="AT127" s="192" t="s">
        <v>382</v>
      </c>
      <c r="AU127" s="192" t="s">
        <v>79</v>
      </c>
      <c r="AY127" s="19" t="s">
        <v>380</v>
      </c>
      <c r="BE127" s="193">
        <f t="shared" si="24"/>
        <v>0</v>
      </c>
      <c r="BF127" s="193">
        <f t="shared" si="25"/>
        <v>0</v>
      </c>
      <c r="BG127" s="193">
        <f t="shared" si="26"/>
        <v>0</v>
      </c>
      <c r="BH127" s="193">
        <f t="shared" si="27"/>
        <v>0</v>
      </c>
      <c r="BI127" s="193">
        <f t="shared" si="28"/>
        <v>0</v>
      </c>
      <c r="BJ127" s="19" t="s">
        <v>79</v>
      </c>
      <c r="BK127" s="193">
        <f t="shared" si="29"/>
        <v>0</v>
      </c>
      <c r="BL127" s="19" t="s">
        <v>386</v>
      </c>
      <c r="BM127" s="192" t="s">
        <v>867</v>
      </c>
    </row>
    <row r="128" spans="1:65" s="2" customFormat="1" ht="16.5" customHeight="1">
      <c r="A128" s="36"/>
      <c r="B128" s="37"/>
      <c r="C128" s="181" t="s">
        <v>631</v>
      </c>
      <c r="D128" s="181" t="s">
        <v>382</v>
      </c>
      <c r="E128" s="182" t="s">
        <v>6724</v>
      </c>
      <c r="F128" s="183" t="s">
        <v>6725</v>
      </c>
      <c r="G128" s="184" t="s">
        <v>398</v>
      </c>
      <c r="H128" s="185">
        <v>300</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386</v>
      </c>
      <c r="AT128" s="192" t="s">
        <v>382</v>
      </c>
      <c r="AU128" s="192" t="s">
        <v>79</v>
      </c>
      <c r="AY128" s="19" t="s">
        <v>380</v>
      </c>
      <c r="BE128" s="193">
        <f t="shared" si="24"/>
        <v>0</v>
      </c>
      <c r="BF128" s="193">
        <f t="shared" si="25"/>
        <v>0</v>
      </c>
      <c r="BG128" s="193">
        <f t="shared" si="26"/>
        <v>0</v>
      </c>
      <c r="BH128" s="193">
        <f t="shared" si="27"/>
        <v>0</v>
      </c>
      <c r="BI128" s="193">
        <f t="shared" si="28"/>
        <v>0</v>
      </c>
      <c r="BJ128" s="19" t="s">
        <v>79</v>
      </c>
      <c r="BK128" s="193">
        <f t="shared" si="29"/>
        <v>0</v>
      </c>
      <c r="BL128" s="19" t="s">
        <v>386</v>
      </c>
      <c r="BM128" s="192" t="s">
        <v>884</v>
      </c>
    </row>
    <row r="129" spans="1:65" s="2" customFormat="1" ht="16.5" customHeight="1">
      <c r="A129" s="36"/>
      <c r="B129" s="37"/>
      <c r="C129" s="181" t="s">
        <v>638</v>
      </c>
      <c r="D129" s="181" t="s">
        <v>382</v>
      </c>
      <c r="E129" s="182" t="s">
        <v>6726</v>
      </c>
      <c r="F129" s="183" t="s">
        <v>6727</v>
      </c>
      <c r="G129" s="184" t="s">
        <v>398</v>
      </c>
      <c r="H129" s="185">
        <v>1200</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386</v>
      </c>
      <c r="AT129" s="192" t="s">
        <v>382</v>
      </c>
      <c r="AU129" s="192" t="s">
        <v>79</v>
      </c>
      <c r="AY129" s="19" t="s">
        <v>380</v>
      </c>
      <c r="BE129" s="193">
        <f t="shared" si="24"/>
        <v>0</v>
      </c>
      <c r="BF129" s="193">
        <f t="shared" si="25"/>
        <v>0</v>
      </c>
      <c r="BG129" s="193">
        <f t="shared" si="26"/>
        <v>0</v>
      </c>
      <c r="BH129" s="193">
        <f t="shared" si="27"/>
        <v>0</v>
      </c>
      <c r="BI129" s="193">
        <f t="shared" si="28"/>
        <v>0</v>
      </c>
      <c r="BJ129" s="19" t="s">
        <v>79</v>
      </c>
      <c r="BK129" s="193">
        <f t="shared" si="29"/>
        <v>0</v>
      </c>
      <c r="BL129" s="19" t="s">
        <v>386</v>
      </c>
      <c r="BM129" s="192" t="s">
        <v>910</v>
      </c>
    </row>
    <row r="130" spans="1:65" s="2" customFormat="1" ht="16.5" customHeight="1">
      <c r="A130" s="36"/>
      <c r="B130" s="37"/>
      <c r="C130" s="181" t="s">
        <v>644</v>
      </c>
      <c r="D130" s="181" t="s">
        <v>382</v>
      </c>
      <c r="E130" s="182" t="s">
        <v>6728</v>
      </c>
      <c r="F130" s="183" t="s">
        <v>6729</v>
      </c>
      <c r="G130" s="184" t="s">
        <v>398</v>
      </c>
      <c r="H130" s="185">
        <v>300</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386</v>
      </c>
      <c r="AT130" s="192" t="s">
        <v>382</v>
      </c>
      <c r="AU130" s="192" t="s">
        <v>79</v>
      </c>
      <c r="AY130" s="19" t="s">
        <v>380</v>
      </c>
      <c r="BE130" s="193">
        <f t="shared" si="24"/>
        <v>0</v>
      </c>
      <c r="BF130" s="193">
        <f t="shared" si="25"/>
        <v>0</v>
      </c>
      <c r="BG130" s="193">
        <f t="shared" si="26"/>
        <v>0</v>
      </c>
      <c r="BH130" s="193">
        <f t="shared" si="27"/>
        <v>0</v>
      </c>
      <c r="BI130" s="193">
        <f t="shared" si="28"/>
        <v>0</v>
      </c>
      <c r="BJ130" s="19" t="s">
        <v>79</v>
      </c>
      <c r="BK130" s="193">
        <f t="shared" si="29"/>
        <v>0</v>
      </c>
      <c r="BL130" s="19" t="s">
        <v>386</v>
      </c>
      <c r="BM130" s="192" t="s">
        <v>927</v>
      </c>
    </row>
    <row r="131" spans="1:65" s="2" customFormat="1" ht="16.5" customHeight="1">
      <c r="A131" s="36"/>
      <c r="B131" s="37"/>
      <c r="C131" s="181" t="s">
        <v>648</v>
      </c>
      <c r="D131" s="181" t="s">
        <v>382</v>
      </c>
      <c r="E131" s="182" t="s">
        <v>6730</v>
      </c>
      <c r="F131" s="183" t="s">
        <v>6731</v>
      </c>
      <c r="G131" s="184" t="s">
        <v>2393</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386</v>
      </c>
      <c r="AT131" s="192" t="s">
        <v>382</v>
      </c>
      <c r="AU131" s="192" t="s">
        <v>79</v>
      </c>
      <c r="AY131" s="19" t="s">
        <v>380</v>
      </c>
      <c r="BE131" s="193">
        <f t="shared" si="24"/>
        <v>0</v>
      </c>
      <c r="BF131" s="193">
        <f t="shared" si="25"/>
        <v>0</v>
      </c>
      <c r="BG131" s="193">
        <f t="shared" si="26"/>
        <v>0</v>
      </c>
      <c r="BH131" s="193">
        <f t="shared" si="27"/>
        <v>0</v>
      </c>
      <c r="BI131" s="193">
        <f t="shared" si="28"/>
        <v>0</v>
      </c>
      <c r="BJ131" s="19" t="s">
        <v>79</v>
      </c>
      <c r="BK131" s="193">
        <f t="shared" si="29"/>
        <v>0</v>
      </c>
      <c r="BL131" s="19" t="s">
        <v>386</v>
      </c>
      <c r="BM131" s="192" t="s">
        <v>936</v>
      </c>
    </row>
    <row r="132" spans="1:65" s="2" customFormat="1" ht="16.5" customHeight="1">
      <c r="A132" s="36"/>
      <c r="B132" s="37"/>
      <c r="C132" s="181" t="s">
        <v>652</v>
      </c>
      <c r="D132" s="181" t="s">
        <v>382</v>
      </c>
      <c r="E132" s="182" t="s">
        <v>6732</v>
      </c>
      <c r="F132" s="183" t="s">
        <v>6733</v>
      </c>
      <c r="G132" s="184" t="s">
        <v>2393</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386</v>
      </c>
      <c r="AT132" s="192" t="s">
        <v>382</v>
      </c>
      <c r="AU132" s="192" t="s">
        <v>79</v>
      </c>
      <c r="AY132" s="19" t="s">
        <v>380</v>
      </c>
      <c r="BE132" s="193">
        <f t="shared" si="24"/>
        <v>0</v>
      </c>
      <c r="BF132" s="193">
        <f t="shared" si="25"/>
        <v>0</v>
      </c>
      <c r="BG132" s="193">
        <f t="shared" si="26"/>
        <v>0</v>
      </c>
      <c r="BH132" s="193">
        <f t="shared" si="27"/>
        <v>0</v>
      </c>
      <c r="BI132" s="193">
        <f t="shared" si="28"/>
        <v>0</v>
      </c>
      <c r="BJ132" s="19" t="s">
        <v>79</v>
      </c>
      <c r="BK132" s="193">
        <f t="shared" si="29"/>
        <v>0</v>
      </c>
      <c r="BL132" s="19" t="s">
        <v>386</v>
      </c>
      <c r="BM132" s="192" t="s">
        <v>946</v>
      </c>
    </row>
    <row r="133" spans="1:65" s="12" customFormat="1" ht="25.9" customHeight="1">
      <c r="B133" s="165"/>
      <c r="C133" s="166"/>
      <c r="D133" s="167" t="s">
        <v>71</v>
      </c>
      <c r="E133" s="168" t="s">
        <v>405</v>
      </c>
      <c r="F133" s="168" t="s">
        <v>6734</v>
      </c>
      <c r="G133" s="166"/>
      <c r="H133" s="166"/>
      <c r="I133" s="169"/>
      <c r="J133" s="170">
        <f>BK133</f>
        <v>0</v>
      </c>
      <c r="K133" s="166"/>
      <c r="L133" s="171"/>
      <c r="M133" s="172"/>
      <c r="N133" s="173"/>
      <c r="O133" s="173"/>
      <c r="P133" s="174">
        <f>SUM(P134:P137)</f>
        <v>0</v>
      </c>
      <c r="Q133" s="173"/>
      <c r="R133" s="174">
        <f>SUM(R134:R137)</f>
        <v>0</v>
      </c>
      <c r="S133" s="173"/>
      <c r="T133" s="175">
        <f>SUM(T134:T137)</f>
        <v>0</v>
      </c>
      <c r="AR133" s="176" t="s">
        <v>79</v>
      </c>
      <c r="AT133" s="177" t="s">
        <v>71</v>
      </c>
      <c r="AU133" s="177" t="s">
        <v>72</v>
      </c>
      <c r="AY133" s="176" t="s">
        <v>380</v>
      </c>
      <c r="BK133" s="178">
        <f>SUM(BK134:BK137)</f>
        <v>0</v>
      </c>
    </row>
    <row r="134" spans="1:65" s="2" customFormat="1" ht="16.5" customHeight="1">
      <c r="A134" s="36"/>
      <c r="B134" s="37"/>
      <c r="C134" s="181" t="s">
        <v>656</v>
      </c>
      <c r="D134" s="181" t="s">
        <v>382</v>
      </c>
      <c r="E134" s="182" t="s">
        <v>6735</v>
      </c>
      <c r="F134" s="183" t="s">
        <v>6704</v>
      </c>
      <c r="G134" s="184" t="s">
        <v>385</v>
      </c>
      <c r="H134" s="185">
        <v>3</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386</v>
      </c>
      <c r="AT134" s="192" t="s">
        <v>382</v>
      </c>
      <c r="AU134" s="192" t="s">
        <v>79</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386</v>
      </c>
      <c r="BM134" s="192" t="s">
        <v>955</v>
      </c>
    </row>
    <row r="135" spans="1:65" s="2" customFormat="1" ht="16.5" customHeight="1">
      <c r="A135" s="36"/>
      <c r="B135" s="37"/>
      <c r="C135" s="181" t="s">
        <v>660</v>
      </c>
      <c r="D135" s="181" t="s">
        <v>382</v>
      </c>
      <c r="E135" s="182" t="s">
        <v>6736</v>
      </c>
      <c r="F135" s="183" t="s">
        <v>6737</v>
      </c>
      <c r="G135" s="184" t="s">
        <v>2393</v>
      </c>
      <c r="H135" s="185">
        <v>2.5</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386</v>
      </c>
      <c r="AT135" s="192" t="s">
        <v>382</v>
      </c>
      <c r="AU135" s="192" t="s">
        <v>79</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386</v>
      </c>
      <c r="BM135" s="192" t="s">
        <v>963</v>
      </c>
    </row>
    <row r="136" spans="1:65" s="2" customFormat="1" ht="16.5" customHeight="1">
      <c r="A136" s="36"/>
      <c r="B136" s="37"/>
      <c r="C136" s="181" t="s">
        <v>664</v>
      </c>
      <c r="D136" s="181" t="s">
        <v>382</v>
      </c>
      <c r="E136" s="182" t="s">
        <v>6738</v>
      </c>
      <c r="F136" s="183" t="s">
        <v>6739</v>
      </c>
      <c r="G136" s="184" t="s">
        <v>2393</v>
      </c>
      <c r="H136" s="185">
        <v>2.5</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386</v>
      </c>
      <c r="AT136" s="192" t="s">
        <v>382</v>
      </c>
      <c r="AU136" s="192" t="s">
        <v>79</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386</v>
      </c>
      <c r="BM136" s="192" t="s">
        <v>971</v>
      </c>
    </row>
    <row r="137" spans="1:65" s="2" customFormat="1" ht="16.5" customHeight="1">
      <c r="A137" s="36"/>
      <c r="B137" s="37"/>
      <c r="C137" s="181" t="s">
        <v>668</v>
      </c>
      <c r="D137" s="181" t="s">
        <v>382</v>
      </c>
      <c r="E137" s="182" t="s">
        <v>6740</v>
      </c>
      <c r="F137" s="183" t="s">
        <v>6741</v>
      </c>
      <c r="G137" s="184" t="s">
        <v>2678</v>
      </c>
      <c r="H137" s="185">
        <v>112</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386</v>
      </c>
      <c r="AT137" s="192" t="s">
        <v>382</v>
      </c>
      <c r="AU137" s="192" t="s">
        <v>79</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386</v>
      </c>
      <c r="BM137" s="192" t="s">
        <v>979</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5U5oDgisReMZMU1w8xZ1fSjGK53ylGjH8RSqePZyUUpomyCfAQZ1RFTLN98bLv0150vYiwww7L1kvJlW+G2GmQ==" saltValue="RQoeRWWRhEAnZutXXbiOf3cV6xakDync744zm0cBsJnNFChW3r6ksUP+/67aB9xt4VTXB+ZuBvamYm8IsPa7iw==" spinCount="100000" sheet="1" objects="1" scenarios="1" formatColumns="0" formatRows="0" autoFilter="0"/>
  <autoFilter ref="C83:K137" xr:uid="{00000000-0009-0000-0000-000037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6742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ROUND((SUM(BE81:BE89)),  2)</f>
        <v>0</v>
      </c>
      <c r="G33" s="36"/>
      <c r="H33" s="36"/>
      <c r="I33" s="127">
        <v>0.21</v>
      </c>
      <c r="J33" s="126">
        <f>ROUND(((SUM(BE81:BE89))*I33),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ROUND((SUM(BF81:BF89)),  2)</f>
        <v>0</v>
      </c>
      <c r="G34" s="36"/>
      <c r="H34" s="36"/>
      <c r="I34" s="127">
        <v>0.15</v>
      </c>
      <c r="J34" s="126">
        <f>ROUND(((SUM(BF81:BF89))*I34),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ROUND((SUM(BG81:BG89)),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ROUND((SUM(BH81:BH89)),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ROUND((SUM(BI81:BI89)),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01 - AUTOMATICKÁ TLAKOVÁ STANICE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2333</v>
      </c>
      <c r="E60" s="146"/>
      <c r="F60" s="146"/>
      <c r="G60" s="146"/>
      <c r="H60" s="146"/>
      <c r="I60" s="146"/>
      <c r="J60" s="147">
        <f>J82</f>
        <v>0</v>
      </c>
      <c r="K60" s="144"/>
      <c r="L60" s="148"/>
    </row>
    <row r="61" spans="1:47" s="10" customFormat="1" ht="19.899999999999999" customHeight="1">
      <c r="B61" s="149"/>
      <c r="C61" s="99"/>
      <c r="D61" s="150" t="s">
        <v>2827</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365</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282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PS 01 - AUTOMATICKÁ TLAKOVÁ STANICE</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4. 8. 2021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366</v>
      </c>
      <c r="D80" s="157" t="s">
        <v>57</v>
      </c>
      <c r="E80" s="157" t="s">
        <v>53</v>
      </c>
      <c r="F80" s="157" t="s">
        <v>54</v>
      </c>
      <c r="G80" s="157" t="s">
        <v>367</v>
      </c>
      <c r="H80" s="157" t="s">
        <v>368</v>
      </c>
      <c r="I80" s="157" t="s">
        <v>369</v>
      </c>
      <c r="J80" s="157" t="s">
        <v>334</v>
      </c>
      <c r="K80" s="158" t="s">
        <v>370</v>
      </c>
      <c r="L80" s="159"/>
      <c r="M80" s="70" t="s">
        <v>19</v>
      </c>
      <c r="N80" s="71" t="s">
        <v>42</v>
      </c>
      <c r="O80" s="71" t="s">
        <v>371</v>
      </c>
      <c r="P80" s="71" t="s">
        <v>372</v>
      </c>
      <c r="Q80" s="71" t="s">
        <v>373</v>
      </c>
      <c r="R80" s="71" t="s">
        <v>374</v>
      </c>
      <c r="S80" s="71" t="s">
        <v>375</v>
      </c>
      <c r="T80" s="72" t="s">
        <v>376</v>
      </c>
      <c r="U80" s="154"/>
      <c r="V80" s="154"/>
      <c r="W80" s="154"/>
      <c r="X80" s="154"/>
      <c r="Y80" s="154"/>
      <c r="Z80" s="154"/>
      <c r="AA80" s="154"/>
      <c r="AB80" s="154"/>
      <c r="AC80" s="154"/>
      <c r="AD80" s="154"/>
      <c r="AE80" s="154"/>
    </row>
    <row r="81" spans="1:65" s="2" customFormat="1" ht="22.9" customHeight="1">
      <c r="A81" s="36"/>
      <c r="B81" s="37"/>
      <c r="C81" s="77" t="s">
        <v>377</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335</v>
      </c>
      <c r="BK81" s="164">
        <f>BK82</f>
        <v>0</v>
      </c>
    </row>
    <row r="82" spans="1:65" s="12" customFormat="1" ht="25.9" customHeight="1">
      <c r="B82" s="165"/>
      <c r="C82" s="166"/>
      <c r="D82" s="167" t="s">
        <v>71</v>
      </c>
      <c r="E82" s="168" t="s">
        <v>1344</v>
      </c>
      <c r="F82" s="168" t="s">
        <v>2348</v>
      </c>
      <c r="G82" s="166"/>
      <c r="H82" s="166"/>
      <c r="I82" s="169"/>
      <c r="J82" s="170">
        <f>BK82</f>
        <v>0</v>
      </c>
      <c r="K82" s="166"/>
      <c r="L82" s="171"/>
      <c r="M82" s="172"/>
      <c r="N82" s="173"/>
      <c r="O82" s="173"/>
      <c r="P82" s="174">
        <f>P83</f>
        <v>0</v>
      </c>
      <c r="Q82" s="173"/>
      <c r="R82" s="174">
        <f>R83</f>
        <v>0</v>
      </c>
      <c r="S82" s="173"/>
      <c r="T82" s="175">
        <f>T83</f>
        <v>0</v>
      </c>
      <c r="AR82" s="176" t="s">
        <v>82</v>
      </c>
      <c r="AT82" s="177" t="s">
        <v>71</v>
      </c>
      <c r="AU82" s="177" t="s">
        <v>72</v>
      </c>
      <c r="AY82" s="176" t="s">
        <v>380</v>
      </c>
      <c r="BK82" s="178">
        <f>BK83</f>
        <v>0</v>
      </c>
    </row>
    <row r="83" spans="1:65" s="12" customFormat="1" ht="22.9" customHeight="1">
      <c r="B83" s="165"/>
      <c r="C83" s="166"/>
      <c r="D83" s="167" t="s">
        <v>71</v>
      </c>
      <c r="E83" s="179" t="s">
        <v>3143</v>
      </c>
      <c r="F83" s="179" t="s">
        <v>3144</v>
      </c>
      <c r="G83" s="166"/>
      <c r="H83" s="166"/>
      <c r="I83" s="169"/>
      <c r="J83" s="180">
        <f>BK83</f>
        <v>0</v>
      </c>
      <c r="K83" s="166"/>
      <c r="L83" s="171"/>
      <c r="M83" s="172"/>
      <c r="N83" s="173"/>
      <c r="O83" s="173"/>
      <c r="P83" s="174">
        <f>SUM(P84:P89)</f>
        <v>0</v>
      </c>
      <c r="Q83" s="173"/>
      <c r="R83" s="174">
        <f>SUM(R84:R89)</f>
        <v>0</v>
      </c>
      <c r="S83" s="173"/>
      <c r="T83" s="175">
        <f>SUM(T84:T89)</f>
        <v>0</v>
      </c>
      <c r="AR83" s="176" t="s">
        <v>82</v>
      </c>
      <c r="AT83" s="177" t="s">
        <v>71</v>
      </c>
      <c r="AU83" s="177" t="s">
        <v>79</v>
      </c>
      <c r="AY83" s="176" t="s">
        <v>380</v>
      </c>
      <c r="BK83" s="178">
        <f>SUM(BK84:BK89)</f>
        <v>0</v>
      </c>
    </row>
    <row r="84" spans="1:65" s="2" customFormat="1" ht="16.5" customHeight="1">
      <c r="A84" s="36"/>
      <c r="B84" s="37"/>
      <c r="C84" s="181" t="s">
        <v>79</v>
      </c>
      <c r="D84" s="181" t="s">
        <v>382</v>
      </c>
      <c r="E84" s="182" t="s">
        <v>6743</v>
      </c>
      <c r="F84" s="183" t="s">
        <v>6744</v>
      </c>
      <c r="G84" s="184" t="s">
        <v>1334</v>
      </c>
      <c r="H84" s="185">
        <v>10</v>
      </c>
      <c r="I84" s="186"/>
      <c r="J84" s="187">
        <f>ROUND(I84*H84,2)</f>
        <v>0</v>
      </c>
      <c r="K84" s="183" t="s">
        <v>19</v>
      </c>
      <c r="L84" s="41"/>
      <c r="M84" s="188" t="s">
        <v>19</v>
      </c>
      <c r="N84" s="189" t="s">
        <v>43</v>
      </c>
      <c r="O84" s="66"/>
      <c r="P84" s="190">
        <f>O84*H84</f>
        <v>0</v>
      </c>
      <c r="Q84" s="190">
        <v>0</v>
      </c>
      <c r="R84" s="190">
        <f>Q84*H84</f>
        <v>0</v>
      </c>
      <c r="S84" s="190">
        <v>0</v>
      </c>
      <c r="T84" s="191">
        <f>S84*H84</f>
        <v>0</v>
      </c>
      <c r="U84" s="36"/>
      <c r="V84" s="36"/>
      <c r="W84" s="36"/>
      <c r="X84" s="36"/>
      <c r="Y84" s="36"/>
      <c r="Z84" s="36"/>
      <c r="AA84" s="36"/>
      <c r="AB84" s="36"/>
      <c r="AC84" s="36"/>
      <c r="AD84" s="36"/>
      <c r="AE84" s="36"/>
      <c r="AR84" s="192" t="s">
        <v>281</v>
      </c>
      <c r="AT84" s="192" t="s">
        <v>382</v>
      </c>
      <c r="AU84" s="192" t="s">
        <v>82</v>
      </c>
      <c r="AY84" s="19" t="s">
        <v>380</v>
      </c>
      <c r="BE84" s="193">
        <f>IF(N84="základní",J84,0)</f>
        <v>0</v>
      </c>
      <c r="BF84" s="193">
        <f>IF(N84="snížená",J84,0)</f>
        <v>0</v>
      </c>
      <c r="BG84" s="193">
        <f>IF(N84="zákl. přenesená",J84,0)</f>
        <v>0</v>
      </c>
      <c r="BH84" s="193">
        <f>IF(N84="sníž. přenesená",J84,0)</f>
        <v>0</v>
      </c>
      <c r="BI84" s="193">
        <f>IF(N84="nulová",J84,0)</f>
        <v>0</v>
      </c>
      <c r="BJ84" s="19" t="s">
        <v>79</v>
      </c>
      <c r="BK84" s="193">
        <f>ROUND(I84*H84,2)</f>
        <v>0</v>
      </c>
      <c r="BL84" s="19" t="s">
        <v>281</v>
      </c>
      <c r="BM84" s="192" t="s">
        <v>82</v>
      </c>
    </row>
    <row r="85" spans="1:65" s="2" customFormat="1" ht="16.5" customHeight="1">
      <c r="A85" s="36"/>
      <c r="B85" s="37"/>
      <c r="C85" s="227" t="s">
        <v>82</v>
      </c>
      <c r="D85" s="227" t="s">
        <v>465</v>
      </c>
      <c r="E85" s="228" t="s">
        <v>6745</v>
      </c>
      <c r="F85" s="229" t="s">
        <v>6746</v>
      </c>
      <c r="G85" s="230" t="s">
        <v>2006</v>
      </c>
      <c r="H85" s="231">
        <v>1</v>
      </c>
      <c r="I85" s="232"/>
      <c r="J85" s="233">
        <f>ROUND(I85*H85,2)</f>
        <v>0</v>
      </c>
      <c r="K85" s="229" t="s">
        <v>19</v>
      </c>
      <c r="L85" s="234"/>
      <c r="M85" s="235" t="s">
        <v>19</v>
      </c>
      <c r="N85" s="236"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546</v>
      </c>
      <c r="AT85" s="192" t="s">
        <v>465</v>
      </c>
      <c r="AU85" s="192" t="s">
        <v>82</v>
      </c>
      <c r="AY85" s="19" t="s">
        <v>380</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281</v>
      </c>
      <c r="BM85" s="192" t="s">
        <v>386</v>
      </c>
    </row>
    <row r="86" spans="1:65" s="2" customFormat="1" ht="58.5">
      <c r="A86" s="36"/>
      <c r="B86" s="37"/>
      <c r="C86" s="38"/>
      <c r="D86" s="196" t="s">
        <v>1226</v>
      </c>
      <c r="E86" s="38"/>
      <c r="F86" s="248" t="s">
        <v>6747</v>
      </c>
      <c r="G86" s="38"/>
      <c r="H86" s="38"/>
      <c r="I86" s="249"/>
      <c r="J86" s="38"/>
      <c r="K86" s="38"/>
      <c r="L86" s="41"/>
      <c r="M86" s="250"/>
      <c r="N86" s="251"/>
      <c r="O86" s="66"/>
      <c r="P86" s="66"/>
      <c r="Q86" s="66"/>
      <c r="R86" s="66"/>
      <c r="S86" s="66"/>
      <c r="T86" s="67"/>
      <c r="U86" s="36"/>
      <c r="V86" s="36"/>
      <c r="W86" s="36"/>
      <c r="X86" s="36"/>
      <c r="Y86" s="36"/>
      <c r="Z86" s="36"/>
      <c r="AA86" s="36"/>
      <c r="AB86" s="36"/>
      <c r="AC86" s="36"/>
      <c r="AD86" s="36"/>
      <c r="AE86" s="36"/>
      <c r="AT86" s="19" t="s">
        <v>1226</v>
      </c>
      <c r="AU86" s="19" t="s">
        <v>82</v>
      </c>
    </row>
    <row r="87" spans="1:65" s="2" customFormat="1" ht="16.5" customHeight="1">
      <c r="A87" s="36"/>
      <c r="B87" s="37"/>
      <c r="C87" s="181" t="s">
        <v>99</v>
      </c>
      <c r="D87" s="181" t="s">
        <v>382</v>
      </c>
      <c r="E87" s="182" t="s">
        <v>6748</v>
      </c>
      <c r="F87" s="183" t="s">
        <v>6749</v>
      </c>
      <c r="G87" s="184" t="s">
        <v>1334</v>
      </c>
      <c r="H87" s="185">
        <v>5</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281</v>
      </c>
      <c r="AT87" s="192" t="s">
        <v>382</v>
      </c>
      <c r="AU87" s="192" t="s">
        <v>82</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281</v>
      </c>
      <c r="BM87" s="192" t="s">
        <v>411</v>
      </c>
    </row>
    <row r="88" spans="1:65" s="2" customFormat="1" ht="16.5" customHeight="1">
      <c r="A88" s="36"/>
      <c r="B88" s="37"/>
      <c r="C88" s="227" t="s">
        <v>386</v>
      </c>
      <c r="D88" s="227" t="s">
        <v>465</v>
      </c>
      <c r="E88" s="228" t="s">
        <v>6750</v>
      </c>
      <c r="F88" s="229" t="s">
        <v>6751</v>
      </c>
      <c r="G88" s="230" t="s">
        <v>641</v>
      </c>
      <c r="H88" s="231">
        <v>1</v>
      </c>
      <c r="I88" s="232"/>
      <c r="J88" s="233">
        <f>ROUND(I88*H88,2)</f>
        <v>0</v>
      </c>
      <c r="K88" s="229" t="s">
        <v>19</v>
      </c>
      <c r="L88" s="234"/>
      <c r="M88" s="235" t="s">
        <v>19</v>
      </c>
      <c r="N88" s="236"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546</v>
      </c>
      <c r="AT88" s="192" t="s">
        <v>465</v>
      </c>
      <c r="AU88" s="192" t="s">
        <v>82</v>
      </c>
      <c r="AY88" s="19" t="s">
        <v>380</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281</v>
      </c>
      <c r="BM88" s="192" t="s">
        <v>424</v>
      </c>
    </row>
    <row r="89" spans="1:65" s="2" customFormat="1" ht="24.2" customHeight="1">
      <c r="A89" s="36"/>
      <c r="B89" s="37"/>
      <c r="C89" s="181" t="s">
        <v>405</v>
      </c>
      <c r="D89" s="181" t="s">
        <v>382</v>
      </c>
      <c r="E89" s="182" t="s">
        <v>6752</v>
      </c>
      <c r="F89" s="183" t="s">
        <v>6753</v>
      </c>
      <c r="G89" s="184" t="s">
        <v>2006</v>
      </c>
      <c r="H89" s="185">
        <v>1</v>
      </c>
      <c r="I89" s="186"/>
      <c r="J89" s="187">
        <f>ROUND(I89*H89,2)</f>
        <v>0</v>
      </c>
      <c r="K89" s="183" t="s">
        <v>19</v>
      </c>
      <c r="L89" s="41"/>
      <c r="M89" s="252" t="s">
        <v>19</v>
      </c>
      <c r="N89" s="253" t="s">
        <v>43</v>
      </c>
      <c r="O89" s="254"/>
      <c r="P89" s="255">
        <f>O89*H89</f>
        <v>0</v>
      </c>
      <c r="Q89" s="255">
        <v>0</v>
      </c>
      <c r="R89" s="255">
        <f>Q89*H89</f>
        <v>0</v>
      </c>
      <c r="S89" s="255">
        <v>0</v>
      </c>
      <c r="T89" s="256">
        <f>S89*H89</f>
        <v>0</v>
      </c>
      <c r="U89" s="36"/>
      <c r="V89" s="36"/>
      <c r="W89" s="36"/>
      <c r="X89" s="36"/>
      <c r="Y89" s="36"/>
      <c r="Z89" s="36"/>
      <c r="AA89" s="36"/>
      <c r="AB89" s="36"/>
      <c r="AC89" s="36"/>
      <c r="AD89" s="36"/>
      <c r="AE89" s="36"/>
      <c r="AR89" s="192" t="s">
        <v>281</v>
      </c>
      <c r="AT89" s="192" t="s">
        <v>382</v>
      </c>
      <c r="AU89" s="192" t="s">
        <v>82</v>
      </c>
      <c r="AY89" s="19" t="s">
        <v>380</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281</v>
      </c>
      <c r="BM89" s="192" t="s">
        <v>122</v>
      </c>
    </row>
    <row r="90" spans="1:65" s="2" customFormat="1" ht="6.95" customHeight="1">
      <c r="A90" s="36"/>
      <c r="B90" s="49"/>
      <c r="C90" s="50"/>
      <c r="D90" s="50"/>
      <c r="E90" s="50"/>
      <c r="F90" s="50"/>
      <c r="G90" s="50"/>
      <c r="H90" s="50"/>
      <c r="I90" s="50"/>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UBSZuQ+UF8C0/TBXNtOoxmboKnbSlzsO/LF8JSujorB+6o6KbqG5K/0HObb4qJOxmmSuTn8E8m2nFuv/OQPrsw==" saltValue="COfsacCNFfQ7AUM1O4A0ynV7lYEHkRyQIs6IFa4rJy6t9prVvIcMKF3UnAx6BV2FHXd9Or6P9ZljpkOl1ZpbgA==" spinCount="100000" sheet="1" objects="1" scenarios="1" formatColumns="0" formatRows="0" autoFilter="0"/>
  <autoFilter ref="C80:K89" xr:uid="{00000000-0009-0000-0000-00003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6754</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ROUND(J87,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ROUND((SUM(BE87:BE149)),  2)</f>
        <v>0</v>
      </c>
      <c r="G33" s="36"/>
      <c r="H33" s="36"/>
      <c r="I33" s="127">
        <v>0.21</v>
      </c>
      <c r="J33" s="126">
        <f>ROUND(((SUM(BE87:BE149))*I33),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ROUND((SUM(BF87:BF149)),  2)</f>
        <v>0</v>
      </c>
      <c r="G34" s="36"/>
      <c r="H34" s="36"/>
      <c r="I34" s="127">
        <v>0.15</v>
      </c>
      <c r="J34" s="126">
        <f>ROUND(((SUM(BF87:BF149))*I34),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ROUND((SUM(BG87:BG149)),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ROUND((SUM(BH87:BH149)),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ROUND((SUM(BI87:BI149)),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02 - STABILNÍ HASÍCÍ ZAŘÍZENÍ</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J87</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6755</v>
      </c>
      <c r="E60" s="146"/>
      <c r="F60" s="146"/>
      <c r="G60" s="146"/>
      <c r="H60" s="146"/>
      <c r="I60" s="146"/>
      <c r="J60" s="147">
        <f>J88</f>
        <v>0</v>
      </c>
      <c r="K60" s="144"/>
      <c r="L60" s="148"/>
    </row>
    <row r="61" spans="1:47" s="10" customFormat="1" ht="19.899999999999999" customHeight="1">
      <c r="B61" s="149"/>
      <c r="C61" s="99"/>
      <c r="D61" s="150" t="s">
        <v>6756</v>
      </c>
      <c r="E61" s="151"/>
      <c r="F61" s="151"/>
      <c r="G61" s="151"/>
      <c r="H61" s="151"/>
      <c r="I61" s="151"/>
      <c r="J61" s="152">
        <f>J89</f>
        <v>0</v>
      </c>
      <c r="K61" s="99"/>
      <c r="L61" s="153"/>
    </row>
    <row r="62" spans="1:47" s="10" customFormat="1" ht="19.899999999999999" customHeight="1">
      <c r="B62" s="149"/>
      <c r="C62" s="99"/>
      <c r="D62" s="150" t="s">
        <v>6757</v>
      </c>
      <c r="E62" s="151"/>
      <c r="F62" s="151"/>
      <c r="G62" s="151"/>
      <c r="H62" s="151"/>
      <c r="I62" s="151"/>
      <c r="J62" s="152">
        <f>J93</f>
        <v>0</v>
      </c>
      <c r="K62" s="99"/>
      <c r="L62" s="153"/>
    </row>
    <row r="63" spans="1:47" s="10" customFormat="1" ht="19.899999999999999" customHeight="1">
      <c r="B63" s="149"/>
      <c r="C63" s="99"/>
      <c r="D63" s="150" t="s">
        <v>6758</v>
      </c>
      <c r="E63" s="151"/>
      <c r="F63" s="151"/>
      <c r="G63" s="151"/>
      <c r="H63" s="151"/>
      <c r="I63" s="151"/>
      <c r="J63" s="152">
        <f>J107</f>
        <v>0</v>
      </c>
      <c r="K63" s="99"/>
      <c r="L63" s="153"/>
    </row>
    <row r="64" spans="1:47" s="9" customFormat="1" ht="24.95" customHeight="1">
      <c r="B64" s="143"/>
      <c r="C64" s="144"/>
      <c r="D64" s="145" t="s">
        <v>6759</v>
      </c>
      <c r="E64" s="146"/>
      <c r="F64" s="146"/>
      <c r="G64" s="146"/>
      <c r="H64" s="146"/>
      <c r="I64" s="146"/>
      <c r="J64" s="147">
        <f>J119</f>
        <v>0</v>
      </c>
      <c r="K64" s="144"/>
      <c r="L64" s="148"/>
    </row>
    <row r="65" spans="1:31" s="10" customFormat="1" ht="19.899999999999999" customHeight="1">
      <c r="B65" s="149"/>
      <c r="C65" s="99"/>
      <c r="D65" s="150" t="s">
        <v>6756</v>
      </c>
      <c r="E65" s="151"/>
      <c r="F65" s="151"/>
      <c r="G65" s="151"/>
      <c r="H65" s="151"/>
      <c r="I65" s="151"/>
      <c r="J65" s="152">
        <f>J120</f>
        <v>0</v>
      </c>
      <c r="K65" s="99"/>
      <c r="L65" s="153"/>
    </row>
    <row r="66" spans="1:31" s="10" customFormat="1" ht="19.899999999999999" customHeight="1">
      <c r="B66" s="149"/>
      <c r="C66" s="99"/>
      <c r="D66" s="150" t="s">
        <v>6757</v>
      </c>
      <c r="E66" s="151"/>
      <c r="F66" s="151"/>
      <c r="G66" s="151"/>
      <c r="H66" s="151"/>
      <c r="I66" s="151"/>
      <c r="J66" s="152">
        <f>J124</f>
        <v>0</v>
      </c>
      <c r="K66" s="99"/>
      <c r="L66" s="153"/>
    </row>
    <row r="67" spans="1:31" s="10" customFormat="1" ht="19.899999999999999" customHeight="1">
      <c r="B67" s="149"/>
      <c r="C67" s="99"/>
      <c r="D67" s="150" t="s">
        <v>6758</v>
      </c>
      <c r="E67" s="151"/>
      <c r="F67" s="151"/>
      <c r="G67" s="151"/>
      <c r="H67" s="151"/>
      <c r="I67" s="151"/>
      <c r="J67" s="152">
        <f>J138</f>
        <v>0</v>
      </c>
      <c r="K67" s="99"/>
      <c r="L67" s="153"/>
    </row>
    <row r="68" spans="1:31" s="2" customFormat="1" ht="21.7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6"/>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6"/>
      <c r="S73" s="36"/>
      <c r="T73" s="36"/>
      <c r="U73" s="36"/>
      <c r="V73" s="36"/>
      <c r="W73" s="36"/>
      <c r="X73" s="36"/>
      <c r="Y73" s="36"/>
      <c r="Z73" s="36"/>
      <c r="AA73" s="36"/>
      <c r="AB73" s="36"/>
      <c r="AC73" s="36"/>
      <c r="AD73" s="36"/>
      <c r="AE73" s="36"/>
    </row>
    <row r="74" spans="1:31" s="2" customFormat="1" ht="24.95" customHeight="1">
      <c r="A74" s="36"/>
      <c r="B74" s="37"/>
      <c r="C74" s="25" t="s">
        <v>365</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416" t="str">
        <f>E7</f>
        <v>ARCHIV UP V OLOMOUCI - BEZ VYBAVENÍ INTERIÉRU</v>
      </c>
      <c r="F77" s="417"/>
      <c r="G77" s="417"/>
      <c r="H77" s="417"/>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282</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E9</f>
        <v>PS 02 - STABILNÍ HASÍCÍ ZAŘÍZENÍ</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t="str">
        <f>IF(J12="","",J12)</f>
        <v>4. 8. 2021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UP V OLOMOUCI, KŘÍŽOVSKÉHO 511/8, 779 00</v>
      </c>
      <c r="G83" s="38"/>
      <c r="H83" s="38"/>
      <c r="I83" s="31" t="s">
        <v>31</v>
      </c>
      <c r="J83" s="34" t="str">
        <f>E21</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IF(E18="","",E18)</f>
        <v>Vyplň údaj</v>
      </c>
      <c r="G84" s="38"/>
      <c r="H84" s="38"/>
      <c r="I84" s="31" t="s">
        <v>34</v>
      </c>
      <c r="J84" s="34" t="str">
        <f>E24</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366</v>
      </c>
      <c r="D86" s="157" t="s">
        <v>57</v>
      </c>
      <c r="E86" s="157" t="s">
        <v>53</v>
      </c>
      <c r="F86" s="157" t="s">
        <v>54</v>
      </c>
      <c r="G86" s="157" t="s">
        <v>367</v>
      </c>
      <c r="H86" s="157" t="s">
        <v>368</v>
      </c>
      <c r="I86" s="157" t="s">
        <v>369</v>
      </c>
      <c r="J86" s="157" t="s">
        <v>334</v>
      </c>
      <c r="K86" s="158" t="s">
        <v>370</v>
      </c>
      <c r="L86" s="159"/>
      <c r="M86" s="70" t="s">
        <v>19</v>
      </c>
      <c r="N86" s="71" t="s">
        <v>42</v>
      </c>
      <c r="O86" s="71" t="s">
        <v>371</v>
      </c>
      <c r="P86" s="71" t="s">
        <v>372</v>
      </c>
      <c r="Q86" s="71" t="s">
        <v>373</v>
      </c>
      <c r="R86" s="71" t="s">
        <v>374</v>
      </c>
      <c r="S86" s="71" t="s">
        <v>375</v>
      </c>
      <c r="T86" s="72" t="s">
        <v>376</v>
      </c>
      <c r="U86" s="154"/>
      <c r="V86" s="154"/>
      <c r="W86" s="154"/>
      <c r="X86" s="154"/>
      <c r="Y86" s="154"/>
      <c r="Z86" s="154"/>
      <c r="AA86" s="154"/>
      <c r="AB86" s="154"/>
      <c r="AC86" s="154"/>
      <c r="AD86" s="154"/>
      <c r="AE86" s="154"/>
    </row>
    <row r="87" spans="1:65" s="2" customFormat="1" ht="22.9" customHeight="1">
      <c r="A87" s="36"/>
      <c r="B87" s="37"/>
      <c r="C87" s="77" t="s">
        <v>377</v>
      </c>
      <c r="D87" s="38"/>
      <c r="E87" s="38"/>
      <c r="F87" s="38"/>
      <c r="G87" s="38"/>
      <c r="H87" s="38"/>
      <c r="I87" s="38"/>
      <c r="J87" s="160">
        <f>BK87</f>
        <v>0</v>
      </c>
      <c r="K87" s="38"/>
      <c r="L87" s="41"/>
      <c r="M87" s="73"/>
      <c r="N87" s="161"/>
      <c r="O87" s="74"/>
      <c r="P87" s="162">
        <f>P88+P119</f>
        <v>0</v>
      </c>
      <c r="Q87" s="74"/>
      <c r="R87" s="162">
        <f>R88+R119</f>
        <v>0</v>
      </c>
      <c r="S87" s="74"/>
      <c r="T87" s="163">
        <f>T88+T119</f>
        <v>0</v>
      </c>
      <c r="U87" s="36"/>
      <c r="V87" s="36"/>
      <c r="W87" s="36"/>
      <c r="X87" s="36"/>
      <c r="Y87" s="36"/>
      <c r="Z87" s="36"/>
      <c r="AA87" s="36"/>
      <c r="AB87" s="36"/>
      <c r="AC87" s="36"/>
      <c r="AD87" s="36"/>
      <c r="AE87" s="36"/>
      <c r="AT87" s="19" t="s">
        <v>71</v>
      </c>
      <c r="AU87" s="19" t="s">
        <v>335</v>
      </c>
      <c r="BK87" s="164">
        <f>BK88+BK119</f>
        <v>0</v>
      </c>
    </row>
    <row r="88" spans="1:65" s="12" customFormat="1" ht="25.9" customHeight="1">
      <c r="B88" s="165"/>
      <c r="C88" s="166"/>
      <c r="D88" s="167" t="s">
        <v>71</v>
      </c>
      <c r="E88" s="168" t="s">
        <v>79</v>
      </c>
      <c r="F88" s="168" t="s">
        <v>6760</v>
      </c>
      <c r="G88" s="166"/>
      <c r="H88" s="166"/>
      <c r="I88" s="169"/>
      <c r="J88" s="170">
        <f>BK88</f>
        <v>0</v>
      </c>
      <c r="K88" s="166"/>
      <c r="L88" s="171"/>
      <c r="M88" s="172"/>
      <c r="N88" s="173"/>
      <c r="O88" s="173"/>
      <c r="P88" s="174">
        <f>P89+P93+P107</f>
        <v>0</v>
      </c>
      <c r="Q88" s="173"/>
      <c r="R88" s="174">
        <f>R89+R93+R107</f>
        <v>0</v>
      </c>
      <c r="S88" s="173"/>
      <c r="T88" s="175">
        <f>T89+T93+T107</f>
        <v>0</v>
      </c>
      <c r="AR88" s="176" t="s">
        <v>79</v>
      </c>
      <c r="AT88" s="177" t="s">
        <v>71</v>
      </c>
      <c r="AU88" s="177" t="s">
        <v>72</v>
      </c>
      <c r="AY88" s="176" t="s">
        <v>380</v>
      </c>
      <c r="BK88" s="178">
        <f>BK89+BK93+BK107</f>
        <v>0</v>
      </c>
    </row>
    <row r="89" spans="1:65" s="12" customFormat="1" ht="22.9" customHeight="1">
      <c r="B89" s="165"/>
      <c r="C89" s="166"/>
      <c r="D89" s="167" t="s">
        <v>71</v>
      </c>
      <c r="E89" s="179" t="s">
        <v>4693</v>
      </c>
      <c r="F89" s="179" t="s">
        <v>6761</v>
      </c>
      <c r="G89" s="166"/>
      <c r="H89" s="166"/>
      <c r="I89" s="169"/>
      <c r="J89" s="180">
        <f>BK89</f>
        <v>0</v>
      </c>
      <c r="K89" s="166"/>
      <c r="L89" s="171"/>
      <c r="M89" s="172"/>
      <c r="N89" s="173"/>
      <c r="O89" s="173"/>
      <c r="P89" s="174">
        <f>SUM(P90:P92)</f>
        <v>0</v>
      </c>
      <c r="Q89" s="173"/>
      <c r="R89" s="174">
        <f>SUM(R90:R92)</f>
        <v>0</v>
      </c>
      <c r="S89" s="173"/>
      <c r="T89" s="175">
        <f>SUM(T90:T92)</f>
        <v>0</v>
      </c>
      <c r="AR89" s="176" t="s">
        <v>79</v>
      </c>
      <c r="AT89" s="177" t="s">
        <v>71</v>
      </c>
      <c r="AU89" s="177" t="s">
        <v>79</v>
      </c>
      <c r="AY89" s="176" t="s">
        <v>380</v>
      </c>
      <c r="BK89" s="178">
        <f>SUM(BK90:BK92)</f>
        <v>0</v>
      </c>
    </row>
    <row r="90" spans="1:65" s="2" customFormat="1" ht="16.5" customHeight="1">
      <c r="A90" s="36"/>
      <c r="B90" s="37"/>
      <c r="C90" s="181" t="s">
        <v>79</v>
      </c>
      <c r="D90" s="181" t="s">
        <v>382</v>
      </c>
      <c r="E90" s="182" t="s">
        <v>6762</v>
      </c>
      <c r="F90" s="183" t="s">
        <v>6763</v>
      </c>
      <c r="G90" s="184" t="s">
        <v>2393</v>
      </c>
      <c r="H90" s="185">
        <v>80</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281</v>
      </c>
      <c r="AT90" s="192" t="s">
        <v>382</v>
      </c>
      <c r="AU90" s="192" t="s">
        <v>82</v>
      </c>
      <c r="AY90" s="19" t="s">
        <v>380</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281</v>
      </c>
      <c r="BM90" s="192" t="s">
        <v>82</v>
      </c>
    </row>
    <row r="91" spans="1:65" s="2" customFormat="1" ht="16.5" customHeight="1">
      <c r="A91" s="36"/>
      <c r="B91" s="37"/>
      <c r="C91" s="181" t="s">
        <v>82</v>
      </c>
      <c r="D91" s="181" t="s">
        <v>382</v>
      </c>
      <c r="E91" s="182" t="s">
        <v>6764</v>
      </c>
      <c r="F91" s="183" t="s">
        <v>6765</v>
      </c>
      <c r="G91" s="184" t="s">
        <v>2393</v>
      </c>
      <c r="H91" s="185">
        <v>8</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281</v>
      </c>
      <c r="AT91" s="192" t="s">
        <v>382</v>
      </c>
      <c r="AU91" s="192" t="s">
        <v>82</v>
      </c>
      <c r="AY91" s="19" t="s">
        <v>380</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281</v>
      </c>
      <c r="BM91" s="192" t="s">
        <v>386</v>
      </c>
    </row>
    <row r="92" spans="1:65" s="2" customFormat="1" ht="16.5" customHeight="1">
      <c r="A92" s="36"/>
      <c r="B92" s="37"/>
      <c r="C92" s="181" t="s">
        <v>99</v>
      </c>
      <c r="D92" s="181" t="s">
        <v>382</v>
      </c>
      <c r="E92" s="182" t="s">
        <v>6766</v>
      </c>
      <c r="F92" s="183" t="s">
        <v>6767</v>
      </c>
      <c r="G92" s="184" t="s">
        <v>2393</v>
      </c>
      <c r="H92" s="185">
        <v>48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281</v>
      </c>
      <c r="AT92" s="192" t="s">
        <v>382</v>
      </c>
      <c r="AU92" s="192" t="s">
        <v>82</v>
      </c>
      <c r="AY92" s="19" t="s">
        <v>380</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281</v>
      </c>
      <c r="BM92" s="192" t="s">
        <v>411</v>
      </c>
    </row>
    <row r="93" spans="1:65" s="12" customFormat="1" ht="22.9" customHeight="1">
      <c r="B93" s="165"/>
      <c r="C93" s="166"/>
      <c r="D93" s="167" t="s">
        <v>71</v>
      </c>
      <c r="E93" s="179" t="s">
        <v>6469</v>
      </c>
      <c r="F93" s="179" t="s">
        <v>6768</v>
      </c>
      <c r="G93" s="166"/>
      <c r="H93" s="166"/>
      <c r="I93" s="169"/>
      <c r="J93" s="180">
        <f>BK93</f>
        <v>0</v>
      </c>
      <c r="K93" s="166"/>
      <c r="L93" s="171"/>
      <c r="M93" s="172"/>
      <c r="N93" s="173"/>
      <c r="O93" s="173"/>
      <c r="P93" s="174">
        <f>SUM(P94:P106)</f>
        <v>0</v>
      </c>
      <c r="Q93" s="173"/>
      <c r="R93" s="174">
        <f>SUM(R94:R106)</f>
        <v>0</v>
      </c>
      <c r="S93" s="173"/>
      <c r="T93" s="175">
        <f>SUM(T94:T106)</f>
        <v>0</v>
      </c>
      <c r="AR93" s="176" t="s">
        <v>79</v>
      </c>
      <c r="AT93" s="177" t="s">
        <v>71</v>
      </c>
      <c r="AU93" s="177" t="s">
        <v>79</v>
      </c>
      <c r="AY93" s="176" t="s">
        <v>380</v>
      </c>
      <c r="BK93" s="178">
        <f>SUM(BK94:BK106)</f>
        <v>0</v>
      </c>
    </row>
    <row r="94" spans="1:65" s="2" customFormat="1" ht="16.5" customHeight="1">
      <c r="A94" s="36"/>
      <c r="B94" s="37"/>
      <c r="C94" s="181" t="s">
        <v>386</v>
      </c>
      <c r="D94" s="181" t="s">
        <v>382</v>
      </c>
      <c r="E94" s="182" t="s">
        <v>6769</v>
      </c>
      <c r="F94" s="183" t="s">
        <v>6770</v>
      </c>
      <c r="G94" s="184" t="s">
        <v>2393</v>
      </c>
      <c r="H94" s="185">
        <v>8</v>
      </c>
      <c r="I94" s="186"/>
      <c r="J94" s="187">
        <f t="shared" ref="J94:J106" si="0">ROUND(I94*H94,2)</f>
        <v>0</v>
      </c>
      <c r="K94" s="183" t="s">
        <v>19</v>
      </c>
      <c r="L94" s="41"/>
      <c r="M94" s="188" t="s">
        <v>19</v>
      </c>
      <c r="N94" s="189" t="s">
        <v>43</v>
      </c>
      <c r="O94" s="66"/>
      <c r="P94" s="190">
        <f t="shared" ref="P94:P106" si="1">O94*H94</f>
        <v>0</v>
      </c>
      <c r="Q94" s="190">
        <v>0</v>
      </c>
      <c r="R94" s="190">
        <f t="shared" ref="R94:R106" si="2">Q94*H94</f>
        <v>0</v>
      </c>
      <c r="S94" s="190">
        <v>0</v>
      </c>
      <c r="T94" s="191">
        <f t="shared" ref="T94:T106" si="3">S94*H94</f>
        <v>0</v>
      </c>
      <c r="U94" s="36"/>
      <c r="V94" s="36"/>
      <c r="W94" s="36"/>
      <c r="X94" s="36"/>
      <c r="Y94" s="36"/>
      <c r="Z94" s="36"/>
      <c r="AA94" s="36"/>
      <c r="AB94" s="36"/>
      <c r="AC94" s="36"/>
      <c r="AD94" s="36"/>
      <c r="AE94" s="36"/>
      <c r="AR94" s="192" t="s">
        <v>281</v>
      </c>
      <c r="AT94" s="192" t="s">
        <v>382</v>
      </c>
      <c r="AU94" s="192" t="s">
        <v>82</v>
      </c>
      <c r="AY94" s="19" t="s">
        <v>380</v>
      </c>
      <c r="BE94" s="193">
        <f t="shared" ref="BE94:BE106" si="4">IF(N94="základní",J94,0)</f>
        <v>0</v>
      </c>
      <c r="BF94" s="193">
        <f t="shared" ref="BF94:BF106" si="5">IF(N94="snížená",J94,0)</f>
        <v>0</v>
      </c>
      <c r="BG94" s="193">
        <f t="shared" ref="BG94:BG106" si="6">IF(N94="zákl. přenesená",J94,0)</f>
        <v>0</v>
      </c>
      <c r="BH94" s="193">
        <f t="shared" ref="BH94:BH106" si="7">IF(N94="sníž. přenesená",J94,0)</f>
        <v>0</v>
      </c>
      <c r="BI94" s="193">
        <f t="shared" ref="BI94:BI106" si="8">IF(N94="nulová",J94,0)</f>
        <v>0</v>
      </c>
      <c r="BJ94" s="19" t="s">
        <v>79</v>
      </c>
      <c r="BK94" s="193">
        <f t="shared" ref="BK94:BK106" si="9">ROUND(I94*H94,2)</f>
        <v>0</v>
      </c>
      <c r="BL94" s="19" t="s">
        <v>281</v>
      </c>
      <c r="BM94" s="192" t="s">
        <v>424</v>
      </c>
    </row>
    <row r="95" spans="1:65" s="2" customFormat="1" ht="16.5" customHeight="1">
      <c r="A95" s="36"/>
      <c r="B95" s="37"/>
      <c r="C95" s="181" t="s">
        <v>405</v>
      </c>
      <c r="D95" s="181" t="s">
        <v>382</v>
      </c>
      <c r="E95" s="182" t="s">
        <v>6771</v>
      </c>
      <c r="F95" s="183" t="s">
        <v>6772</v>
      </c>
      <c r="G95" s="184" t="s">
        <v>2393</v>
      </c>
      <c r="H95" s="185">
        <v>24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281</v>
      </c>
      <c r="AT95" s="192" t="s">
        <v>382</v>
      </c>
      <c r="AU95" s="192" t="s">
        <v>82</v>
      </c>
      <c r="AY95" s="19" t="s">
        <v>380</v>
      </c>
      <c r="BE95" s="193">
        <f t="shared" si="4"/>
        <v>0</v>
      </c>
      <c r="BF95" s="193">
        <f t="shared" si="5"/>
        <v>0</v>
      </c>
      <c r="BG95" s="193">
        <f t="shared" si="6"/>
        <v>0</v>
      </c>
      <c r="BH95" s="193">
        <f t="shared" si="7"/>
        <v>0</v>
      </c>
      <c r="BI95" s="193">
        <f t="shared" si="8"/>
        <v>0</v>
      </c>
      <c r="BJ95" s="19" t="s">
        <v>79</v>
      </c>
      <c r="BK95" s="193">
        <f t="shared" si="9"/>
        <v>0</v>
      </c>
      <c r="BL95" s="19" t="s">
        <v>281</v>
      </c>
      <c r="BM95" s="192" t="s">
        <v>122</v>
      </c>
    </row>
    <row r="96" spans="1:65" s="2" customFormat="1" ht="16.5" customHeight="1">
      <c r="A96" s="36"/>
      <c r="B96" s="37"/>
      <c r="C96" s="181" t="s">
        <v>411</v>
      </c>
      <c r="D96" s="181" t="s">
        <v>382</v>
      </c>
      <c r="E96" s="182" t="s">
        <v>6773</v>
      </c>
      <c r="F96" s="183" t="s">
        <v>6774</v>
      </c>
      <c r="G96" s="184" t="s">
        <v>2393</v>
      </c>
      <c r="H96" s="185">
        <v>24</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281</v>
      </c>
      <c r="AT96" s="192" t="s">
        <v>382</v>
      </c>
      <c r="AU96" s="192" t="s">
        <v>82</v>
      </c>
      <c r="AY96" s="19" t="s">
        <v>380</v>
      </c>
      <c r="BE96" s="193">
        <f t="shared" si="4"/>
        <v>0</v>
      </c>
      <c r="BF96" s="193">
        <f t="shared" si="5"/>
        <v>0</v>
      </c>
      <c r="BG96" s="193">
        <f t="shared" si="6"/>
        <v>0</v>
      </c>
      <c r="BH96" s="193">
        <f t="shared" si="7"/>
        <v>0</v>
      </c>
      <c r="BI96" s="193">
        <f t="shared" si="8"/>
        <v>0</v>
      </c>
      <c r="BJ96" s="19" t="s">
        <v>79</v>
      </c>
      <c r="BK96" s="193">
        <f t="shared" si="9"/>
        <v>0</v>
      </c>
      <c r="BL96" s="19" t="s">
        <v>281</v>
      </c>
      <c r="BM96" s="192" t="s">
        <v>128</v>
      </c>
    </row>
    <row r="97" spans="1:65" s="2" customFormat="1" ht="16.5" customHeight="1">
      <c r="A97" s="36"/>
      <c r="B97" s="37"/>
      <c r="C97" s="181" t="s">
        <v>420</v>
      </c>
      <c r="D97" s="181" t="s">
        <v>382</v>
      </c>
      <c r="E97" s="182" t="s">
        <v>6775</v>
      </c>
      <c r="F97" s="183" t="s">
        <v>6776</v>
      </c>
      <c r="G97" s="184" t="s">
        <v>2393</v>
      </c>
      <c r="H97" s="185">
        <v>8</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281</v>
      </c>
      <c r="AT97" s="192" t="s">
        <v>382</v>
      </c>
      <c r="AU97" s="192" t="s">
        <v>82</v>
      </c>
      <c r="AY97" s="19" t="s">
        <v>380</v>
      </c>
      <c r="BE97" s="193">
        <f t="shared" si="4"/>
        <v>0</v>
      </c>
      <c r="BF97" s="193">
        <f t="shared" si="5"/>
        <v>0</v>
      </c>
      <c r="BG97" s="193">
        <f t="shared" si="6"/>
        <v>0</v>
      </c>
      <c r="BH97" s="193">
        <f t="shared" si="7"/>
        <v>0</v>
      </c>
      <c r="BI97" s="193">
        <f t="shared" si="8"/>
        <v>0</v>
      </c>
      <c r="BJ97" s="19" t="s">
        <v>79</v>
      </c>
      <c r="BK97" s="193">
        <f t="shared" si="9"/>
        <v>0</v>
      </c>
      <c r="BL97" s="19" t="s">
        <v>281</v>
      </c>
      <c r="BM97" s="192" t="s">
        <v>134</v>
      </c>
    </row>
    <row r="98" spans="1:65" s="2" customFormat="1" ht="16.5" customHeight="1">
      <c r="A98" s="36"/>
      <c r="B98" s="37"/>
      <c r="C98" s="181" t="s">
        <v>424</v>
      </c>
      <c r="D98" s="181" t="s">
        <v>382</v>
      </c>
      <c r="E98" s="182" t="s">
        <v>6777</v>
      </c>
      <c r="F98" s="183" t="s">
        <v>6778</v>
      </c>
      <c r="G98" s="184" t="s">
        <v>2393</v>
      </c>
      <c r="H98" s="185">
        <v>8</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281</v>
      </c>
      <c r="AT98" s="192" t="s">
        <v>382</v>
      </c>
      <c r="AU98" s="192" t="s">
        <v>82</v>
      </c>
      <c r="AY98" s="19" t="s">
        <v>380</v>
      </c>
      <c r="BE98" s="193">
        <f t="shared" si="4"/>
        <v>0</v>
      </c>
      <c r="BF98" s="193">
        <f t="shared" si="5"/>
        <v>0</v>
      </c>
      <c r="BG98" s="193">
        <f t="shared" si="6"/>
        <v>0</v>
      </c>
      <c r="BH98" s="193">
        <f t="shared" si="7"/>
        <v>0</v>
      </c>
      <c r="BI98" s="193">
        <f t="shared" si="8"/>
        <v>0</v>
      </c>
      <c r="BJ98" s="19" t="s">
        <v>79</v>
      </c>
      <c r="BK98" s="193">
        <f t="shared" si="9"/>
        <v>0</v>
      </c>
      <c r="BL98" s="19" t="s">
        <v>281</v>
      </c>
      <c r="BM98" s="192" t="s">
        <v>281</v>
      </c>
    </row>
    <row r="99" spans="1:65" s="2" customFormat="1" ht="16.5" customHeight="1">
      <c r="A99" s="36"/>
      <c r="B99" s="37"/>
      <c r="C99" s="181" t="s">
        <v>430</v>
      </c>
      <c r="D99" s="181" t="s">
        <v>382</v>
      </c>
      <c r="E99" s="182" t="s">
        <v>6779</v>
      </c>
      <c r="F99" s="183" t="s">
        <v>6780</v>
      </c>
      <c r="G99" s="184" t="s">
        <v>2393</v>
      </c>
      <c r="H99" s="185">
        <v>8</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281</v>
      </c>
      <c r="AT99" s="192" t="s">
        <v>382</v>
      </c>
      <c r="AU99" s="192" t="s">
        <v>82</v>
      </c>
      <c r="AY99" s="19" t="s">
        <v>380</v>
      </c>
      <c r="BE99" s="193">
        <f t="shared" si="4"/>
        <v>0</v>
      </c>
      <c r="BF99" s="193">
        <f t="shared" si="5"/>
        <v>0</v>
      </c>
      <c r="BG99" s="193">
        <f t="shared" si="6"/>
        <v>0</v>
      </c>
      <c r="BH99" s="193">
        <f t="shared" si="7"/>
        <v>0</v>
      </c>
      <c r="BI99" s="193">
        <f t="shared" si="8"/>
        <v>0</v>
      </c>
      <c r="BJ99" s="19" t="s">
        <v>79</v>
      </c>
      <c r="BK99" s="193">
        <f t="shared" si="9"/>
        <v>0</v>
      </c>
      <c r="BL99" s="19" t="s">
        <v>281</v>
      </c>
      <c r="BM99" s="192" t="s">
        <v>477</v>
      </c>
    </row>
    <row r="100" spans="1:65" s="2" customFormat="1" ht="16.5" customHeight="1">
      <c r="A100" s="36"/>
      <c r="B100" s="37"/>
      <c r="C100" s="181" t="s">
        <v>122</v>
      </c>
      <c r="D100" s="181" t="s">
        <v>382</v>
      </c>
      <c r="E100" s="182" t="s">
        <v>6781</v>
      </c>
      <c r="F100" s="183" t="s">
        <v>6782</v>
      </c>
      <c r="G100" s="184" t="s">
        <v>2393</v>
      </c>
      <c r="H100" s="185">
        <v>8</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281</v>
      </c>
      <c r="AT100" s="192" t="s">
        <v>382</v>
      </c>
      <c r="AU100" s="192" t="s">
        <v>82</v>
      </c>
      <c r="AY100" s="19" t="s">
        <v>380</v>
      </c>
      <c r="BE100" s="193">
        <f t="shared" si="4"/>
        <v>0</v>
      </c>
      <c r="BF100" s="193">
        <f t="shared" si="5"/>
        <v>0</v>
      </c>
      <c r="BG100" s="193">
        <f t="shared" si="6"/>
        <v>0</v>
      </c>
      <c r="BH100" s="193">
        <f t="shared" si="7"/>
        <v>0</v>
      </c>
      <c r="BI100" s="193">
        <f t="shared" si="8"/>
        <v>0</v>
      </c>
      <c r="BJ100" s="19" t="s">
        <v>79</v>
      </c>
      <c r="BK100" s="193">
        <f t="shared" si="9"/>
        <v>0</v>
      </c>
      <c r="BL100" s="19" t="s">
        <v>281</v>
      </c>
      <c r="BM100" s="192" t="s">
        <v>486</v>
      </c>
    </row>
    <row r="101" spans="1:65" s="2" customFormat="1" ht="16.5" customHeight="1">
      <c r="A101" s="36"/>
      <c r="B101" s="37"/>
      <c r="C101" s="181" t="s">
        <v>125</v>
      </c>
      <c r="D101" s="181" t="s">
        <v>382</v>
      </c>
      <c r="E101" s="182" t="s">
        <v>6783</v>
      </c>
      <c r="F101" s="183" t="s">
        <v>6784</v>
      </c>
      <c r="G101" s="184" t="s">
        <v>2393</v>
      </c>
      <c r="H101" s="185">
        <v>8</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281</v>
      </c>
      <c r="AT101" s="192" t="s">
        <v>382</v>
      </c>
      <c r="AU101" s="192" t="s">
        <v>82</v>
      </c>
      <c r="AY101" s="19" t="s">
        <v>380</v>
      </c>
      <c r="BE101" s="193">
        <f t="shared" si="4"/>
        <v>0</v>
      </c>
      <c r="BF101" s="193">
        <f t="shared" si="5"/>
        <v>0</v>
      </c>
      <c r="BG101" s="193">
        <f t="shared" si="6"/>
        <v>0</v>
      </c>
      <c r="BH101" s="193">
        <f t="shared" si="7"/>
        <v>0</v>
      </c>
      <c r="BI101" s="193">
        <f t="shared" si="8"/>
        <v>0</v>
      </c>
      <c r="BJ101" s="19" t="s">
        <v>79</v>
      </c>
      <c r="BK101" s="193">
        <f t="shared" si="9"/>
        <v>0</v>
      </c>
      <c r="BL101" s="19" t="s">
        <v>281</v>
      </c>
      <c r="BM101" s="192" t="s">
        <v>495</v>
      </c>
    </row>
    <row r="102" spans="1:65" s="2" customFormat="1" ht="16.5" customHeight="1">
      <c r="A102" s="36"/>
      <c r="B102" s="37"/>
      <c r="C102" s="181" t="s">
        <v>128</v>
      </c>
      <c r="D102" s="181" t="s">
        <v>382</v>
      </c>
      <c r="E102" s="182" t="s">
        <v>6785</v>
      </c>
      <c r="F102" s="183" t="s">
        <v>6786</v>
      </c>
      <c r="G102" s="184" t="s">
        <v>452</v>
      </c>
      <c r="H102" s="185">
        <v>440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281</v>
      </c>
      <c r="AT102" s="192" t="s">
        <v>382</v>
      </c>
      <c r="AU102" s="192" t="s">
        <v>82</v>
      </c>
      <c r="AY102" s="19" t="s">
        <v>380</v>
      </c>
      <c r="BE102" s="193">
        <f t="shared" si="4"/>
        <v>0</v>
      </c>
      <c r="BF102" s="193">
        <f t="shared" si="5"/>
        <v>0</v>
      </c>
      <c r="BG102" s="193">
        <f t="shared" si="6"/>
        <v>0</v>
      </c>
      <c r="BH102" s="193">
        <f t="shared" si="7"/>
        <v>0</v>
      </c>
      <c r="BI102" s="193">
        <f t="shared" si="8"/>
        <v>0</v>
      </c>
      <c r="BJ102" s="19" t="s">
        <v>79</v>
      </c>
      <c r="BK102" s="193">
        <f t="shared" si="9"/>
        <v>0</v>
      </c>
      <c r="BL102" s="19" t="s">
        <v>281</v>
      </c>
      <c r="BM102" s="192" t="s">
        <v>505</v>
      </c>
    </row>
    <row r="103" spans="1:65" s="2" customFormat="1" ht="16.5" customHeight="1">
      <c r="A103" s="36"/>
      <c r="B103" s="37"/>
      <c r="C103" s="181" t="s">
        <v>131</v>
      </c>
      <c r="D103" s="181" t="s">
        <v>382</v>
      </c>
      <c r="E103" s="182" t="s">
        <v>6787</v>
      </c>
      <c r="F103" s="183" t="s">
        <v>6788</v>
      </c>
      <c r="G103" s="184" t="s">
        <v>452</v>
      </c>
      <c r="H103" s="185">
        <v>680</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281</v>
      </c>
      <c r="AT103" s="192" t="s">
        <v>382</v>
      </c>
      <c r="AU103" s="192" t="s">
        <v>82</v>
      </c>
      <c r="AY103" s="19" t="s">
        <v>380</v>
      </c>
      <c r="BE103" s="193">
        <f t="shared" si="4"/>
        <v>0</v>
      </c>
      <c r="BF103" s="193">
        <f t="shared" si="5"/>
        <v>0</v>
      </c>
      <c r="BG103" s="193">
        <f t="shared" si="6"/>
        <v>0</v>
      </c>
      <c r="BH103" s="193">
        <f t="shared" si="7"/>
        <v>0</v>
      </c>
      <c r="BI103" s="193">
        <f t="shared" si="8"/>
        <v>0</v>
      </c>
      <c r="BJ103" s="19" t="s">
        <v>79</v>
      </c>
      <c r="BK103" s="193">
        <f t="shared" si="9"/>
        <v>0</v>
      </c>
      <c r="BL103" s="19" t="s">
        <v>281</v>
      </c>
      <c r="BM103" s="192" t="s">
        <v>514</v>
      </c>
    </row>
    <row r="104" spans="1:65" s="2" customFormat="1" ht="16.5" customHeight="1">
      <c r="A104" s="36"/>
      <c r="B104" s="37"/>
      <c r="C104" s="181" t="s">
        <v>134</v>
      </c>
      <c r="D104" s="181" t="s">
        <v>382</v>
      </c>
      <c r="E104" s="182" t="s">
        <v>6789</v>
      </c>
      <c r="F104" s="183" t="s">
        <v>6790</v>
      </c>
      <c r="G104" s="184" t="s">
        <v>452</v>
      </c>
      <c r="H104" s="185">
        <v>40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281</v>
      </c>
      <c r="AT104" s="192" t="s">
        <v>382</v>
      </c>
      <c r="AU104" s="192" t="s">
        <v>82</v>
      </c>
      <c r="AY104" s="19" t="s">
        <v>380</v>
      </c>
      <c r="BE104" s="193">
        <f t="shared" si="4"/>
        <v>0</v>
      </c>
      <c r="BF104" s="193">
        <f t="shared" si="5"/>
        <v>0</v>
      </c>
      <c r="BG104" s="193">
        <f t="shared" si="6"/>
        <v>0</v>
      </c>
      <c r="BH104" s="193">
        <f t="shared" si="7"/>
        <v>0</v>
      </c>
      <c r="BI104" s="193">
        <f t="shared" si="8"/>
        <v>0</v>
      </c>
      <c r="BJ104" s="19" t="s">
        <v>79</v>
      </c>
      <c r="BK104" s="193">
        <f t="shared" si="9"/>
        <v>0</v>
      </c>
      <c r="BL104" s="19" t="s">
        <v>281</v>
      </c>
      <c r="BM104" s="192" t="s">
        <v>525</v>
      </c>
    </row>
    <row r="105" spans="1:65" s="2" customFormat="1" ht="16.5" customHeight="1">
      <c r="A105" s="36"/>
      <c r="B105" s="37"/>
      <c r="C105" s="181" t="s">
        <v>8</v>
      </c>
      <c r="D105" s="181" t="s">
        <v>382</v>
      </c>
      <c r="E105" s="182" t="s">
        <v>6791</v>
      </c>
      <c r="F105" s="183" t="s">
        <v>6792</v>
      </c>
      <c r="G105" s="184" t="s">
        <v>2393</v>
      </c>
      <c r="H105" s="185">
        <v>280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281</v>
      </c>
      <c r="AT105" s="192" t="s">
        <v>382</v>
      </c>
      <c r="AU105" s="192" t="s">
        <v>82</v>
      </c>
      <c r="AY105" s="19" t="s">
        <v>380</v>
      </c>
      <c r="BE105" s="193">
        <f t="shared" si="4"/>
        <v>0</v>
      </c>
      <c r="BF105" s="193">
        <f t="shared" si="5"/>
        <v>0</v>
      </c>
      <c r="BG105" s="193">
        <f t="shared" si="6"/>
        <v>0</v>
      </c>
      <c r="BH105" s="193">
        <f t="shared" si="7"/>
        <v>0</v>
      </c>
      <c r="BI105" s="193">
        <f t="shared" si="8"/>
        <v>0</v>
      </c>
      <c r="BJ105" s="19" t="s">
        <v>79</v>
      </c>
      <c r="BK105" s="193">
        <f t="shared" si="9"/>
        <v>0</v>
      </c>
      <c r="BL105" s="19" t="s">
        <v>281</v>
      </c>
      <c r="BM105" s="192" t="s">
        <v>534</v>
      </c>
    </row>
    <row r="106" spans="1:65" s="2" customFormat="1" ht="16.5" customHeight="1">
      <c r="A106" s="36"/>
      <c r="B106" s="37"/>
      <c r="C106" s="181" t="s">
        <v>281</v>
      </c>
      <c r="D106" s="181" t="s">
        <v>382</v>
      </c>
      <c r="E106" s="182" t="s">
        <v>6793</v>
      </c>
      <c r="F106" s="183" t="s">
        <v>6794</v>
      </c>
      <c r="G106" s="184" t="s">
        <v>452</v>
      </c>
      <c r="H106" s="185">
        <v>240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281</v>
      </c>
      <c r="AT106" s="192" t="s">
        <v>382</v>
      </c>
      <c r="AU106" s="192" t="s">
        <v>82</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546</v>
      </c>
    </row>
    <row r="107" spans="1:65" s="12" customFormat="1" ht="22.9" customHeight="1">
      <c r="B107" s="165"/>
      <c r="C107" s="166"/>
      <c r="D107" s="167" t="s">
        <v>71</v>
      </c>
      <c r="E107" s="179" t="s">
        <v>6526</v>
      </c>
      <c r="F107" s="179" t="s">
        <v>6795</v>
      </c>
      <c r="G107" s="166"/>
      <c r="H107" s="166"/>
      <c r="I107" s="169"/>
      <c r="J107" s="180">
        <f>BK107</f>
        <v>0</v>
      </c>
      <c r="K107" s="166"/>
      <c r="L107" s="171"/>
      <c r="M107" s="172"/>
      <c r="N107" s="173"/>
      <c r="O107" s="173"/>
      <c r="P107" s="174">
        <f>SUM(P108:P118)</f>
        <v>0</v>
      </c>
      <c r="Q107" s="173"/>
      <c r="R107" s="174">
        <f>SUM(R108:R118)</f>
        <v>0</v>
      </c>
      <c r="S107" s="173"/>
      <c r="T107" s="175">
        <f>SUM(T108:T118)</f>
        <v>0</v>
      </c>
      <c r="AR107" s="176" t="s">
        <v>79</v>
      </c>
      <c r="AT107" s="177" t="s">
        <v>71</v>
      </c>
      <c r="AU107" s="177" t="s">
        <v>79</v>
      </c>
      <c r="AY107" s="176" t="s">
        <v>380</v>
      </c>
      <c r="BK107" s="178">
        <f>SUM(BK108:BK118)</f>
        <v>0</v>
      </c>
    </row>
    <row r="108" spans="1:65" s="2" customFormat="1" ht="16.5" customHeight="1">
      <c r="A108" s="36"/>
      <c r="B108" s="37"/>
      <c r="C108" s="181" t="s">
        <v>471</v>
      </c>
      <c r="D108" s="181" t="s">
        <v>382</v>
      </c>
      <c r="E108" s="182" t="s">
        <v>6796</v>
      </c>
      <c r="F108" s="183" t="s">
        <v>6797</v>
      </c>
      <c r="G108" s="184" t="s">
        <v>2393</v>
      </c>
      <c r="H108" s="185">
        <v>88</v>
      </c>
      <c r="I108" s="186"/>
      <c r="J108" s="187">
        <f t="shared" ref="J108:J118" si="10">ROUND(I108*H108,2)</f>
        <v>0</v>
      </c>
      <c r="K108" s="183" t="s">
        <v>19</v>
      </c>
      <c r="L108" s="41"/>
      <c r="M108" s="188" t="s">
        <v>19</v>
      </c>
      <c r="N108" s="189" t="s">
        <v>43</v>
      </c>
      <c r="O108" s="66"/>
      <c r="P108" s="190">
        <f t="shared" ref="P108:P118" si="11">O108*H108</f>
        <v>0</v>
      </c>
      <c r="Q108" s="190">
        <v>0</v>
      </c>
      <c r="R108" s="190">
        <f t="shared" ref="R108:R118" si="12">Q108*H108</f>
        <v>0</v>
      </c>
      <c r="S108" s="190">
        <v>0</v>
      </c>
      <c r="T108" s="191">
        <f t="shared" ref="T108:T118" si="13">S108*H108</f>
        <v>0</v>
      </c>
      <c r="U108" s="36"/>
      <c r="V108" s="36"/>
      <c r="W108" s="36"/>
      <c r="X108" s="36"/>
      <c r="Y108" s="36"/>
      <c r="Z108" s="36"/>
      <c r="AA108" s="36"/>
      <c r="AB108" s="36"/>
      <c r="AC108" s="36"/>
      <c r="AD108" s="36"/>
      <c r="AE108" s="36"/>
      <c r="AR108" s="192" t="s">
        <v>281</v>
      </c>
      <c r="AT108" s="192" t="s">
        <v>382</v>
      </c>
      <c r="AU108" s="192" t="s">
        <v>82</v>
      </c>
      <c r="AY108" s="19" t="s">
        <v>380</v>
      </c>
      <c r="BE108" s="193">
        <f t="shared" ref="BE108:BE118" si="14">IF(N108="základní",J108,0)</f>
        <v>0</v>
      </c>
      <c r="BF108" s="193">
        <f t="shared" ref="BF108:BF118" si="15">IF(N108="snížená",J108,0)</f>
        <v>0</v>
      </c>
      <c r="BG108" s="193">
        <f t="shared" ref="BG108:BG118" si="16">IF(N108="zákl. přenesená",J108,0)</f>
        <v>0</v>
      </c>
      <c r="BH108" s="193">
        <f t="shared" ref="BH108:BH118" si="17">IF(N108="sníž. přenesená",J108,0)</f>
        <v>0</v>
      </c>
      <c r="BI108" s="193">
        <f t="shared" ref="BI108:BI118" si="18">IF(N108="nulová",J108,0)</f>
        <v>0</v>
      </c>
      <c r="BJ108" s="19" t="s">
        <v>79</v>
      </c>
      <c r="BK108" s="193">
        <f t="shared" ref="BK108:BK118" si="19">ROUND(I108*H108,2)</f>
        <v>0</v>
      </c>
      <c r="BL108" s="19" t="s">
        <v>281</v>
      </c>
      <c r="BM108" s="192" t="s">
        <v>556</v>
      </c>
    </row>
    <row r="109" spans="1:65" s="2" customFormat="1" ht="16.5" customHeight="1">
      <c r="A109" s="36"/>
      <c r="B109" s="37"/>
      <c r="C109" s="181" t="s">
        <v>477</v>
      </c>
      <c r="D109" s="181" t="s">
        <v>382</v>
      </c>
      <c r="E109" s="182" t="s">
        <v>6798</v>
      </c>
      <c r="F109" s="183" t="s">
        <v>6799</v>
      </c>
      <c r="G109" s="184" t="s">
        <v>452</v>
      </c>
      <c r="H109" s="185">
        <v>533.6</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281</v>
      </c>
      <c r="AT109" s="192" t="s">
        <v>382</v>
      </c>
      <c r="AU109" s="192" t="s">
        <v>82</v>
      </c>
      <c r="AY109" s="19" t="s">
        <v>380</v>
      </c>
      <c r="BE109" s="193">
        <f t="shared" si="14"/>
        <v>0</v>
      </c>
      <c r="BF109" s="193">
        <f t="shared" si="15"/>
        <v>0</v>
      </c>
      <c r="BG109" s="193">
        <f t="shared" si="16"/>
        <v>0</v>
      </c>
      <c r="BH109" s="193">
        <f t="shared" si="17"/>
        <v>0</v>
      </c>
      <c r="BI109" s="193">
        <f t="shared" si="18"/>
        <v>0</v>
      </c>
      <c r="BJ109" s="19" t="s">
        <v>79</v>
      </c>
      <c r="BK109" s="193">
        <f t="shared" si="19"/>
        <v>0</v>
      </c>
      <c r="BL109" s="19" t="s">
        <v>281</v>
      </c>
      <c r="BM109" s="192" t="s">
        <v>579</v>
      </c>
    </row>
    <row r="110" spans="1:65" s="2" customFormat="1" ht="16.5" customHeight="1">
      <c r="A110" s="36"/>
      <c r="B110" s="37"/>
      <c r="C110" s="181" t="s">
        <v>284</v>
      </c>
      <c r="D110" s="181" t="s">
        <v>382</v>
      </c>
      <c r="E110" s="182" t="s">
        <v>6800</v>
      </c>
      <c r="F110" s="183" t="s">
        <v>6801</v>
      </c>
      <c r="G110" s="184" t="s">
        <v>2393</v>
      </c>
      <c r="H110" s="185">
        <v>8</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281</v>
      </c>
      <c r="AT110" s="192" t="s">
        <v>382</v>
      </c>
      <c r="AU110" s="192" t="s">
        <v>82</v>
      </c>
      <c r="AY110" s="19" t="s">
        <v>380</v>
      </c>
      <c r="BE110" s="193">
        <f t="shared" si="14"/>
        <v>0</v>
      </c>
      <c r="BF110" s="193">
        <f t="shared" si="15"/>
        <v>0</v>
      </c>
      <c r="BG110" s="193">
        <f t="shared" si="16"/>
        <v>0</v>
      </c>
      <c r="BH110" s="193">
        <f t="shared" si="17"/>
        <v>0</v>
      </c>
      <c r="BI110" s="193">
        <f t="shared" si="18"/>
        <v>0</v>
      </c>
      <c r="BJ110" s="19" t="s">
        <v>79</v>
      </c>
      <c r="BK110" s="193">
        <f t="shared" si="19"/>
        <v>0</v>
      </c>
      <c r="BL110" s="19" t="s">
        <v>281</v>
      </c>
      <c r="BM110" s="192" t="s">
        <v>619</v>
      </c>
    </row>
    <row r="111" spans="1:65" s="2" customFormat="1" ht="16.5" customHeight="1">
      <c r="A111" s="36"/>
      <c r="B111" s="37"/>
      <c r="C111" s="181" t="s">
        <v>486</v>
      </c>
      <c r="D111" s="181" t="s">
        <v>382</v>
      </c>
      <c r="E111" s="182" t="s">
        <v>6802</v>
      </c>
      <c r="F111" s="183" t="s">
        <v>6803</v>
      </c>
      <c r="G111" s="184" t="s">
        <v>2393</v>
      </c>
      <c r="H111" s="185">
        <v>16</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281</v>
      </c>
      <c r="AT111" s="192" t="s">
        <v>382</v>
      </c>
      <c r="AU111" s="192" t="s">
        <v>82</v>
      </c>
      <c r="AY111" s="19" t="s">
        <v>380</v>
      </c>
      <c r="BE111" s="193">
        <f t="shared" si="14"/>
        <v>0</v>
      </c>
      <c r="BF111" s="193">
        <f t="shared" si="15"/>
        <v>0</v>
      </c>
      <c r="BG111" s="193">
        <f t="shared" si="16"/>
        <v>0</v>
      </c>
      <c r="BH111" s="193">
        <f t="shared" si="17"/>
        <v>0</v>
      </c>
      <c r="BI111" s="193">
        <f t="shared" si="18"/>
        <v>0</v>
      </c>
      <c r="BJ111" s="19" t="s">
        <v>79</v>
      </c>
      <c r="BK111" s="193">
        <f t="shared" si="19"/>
        <v>0</v>
      </c>
      <c r="BL111" s="19" t="s">
        <v>281</v>
      </c>
      <c r="BM111" s="192" t="s">
        <v>631</v>
      </c>
    </row>
    <row r="112" spans="1:65" s="2" customFormat="1" ht="16.5" customHeight="1">
      <c r="A112" s="36"/>
      <c r="B112" s="37"/>
      <c r="C112" s="181" t="s">
        <v>7</v>
      </c>
      <c r="D112" s="181" t="s">
        <v>382</v>
      </c>
      <c r="E112" s="182" t="s">
        <v>6804</v>
      </c>
      <c r="F112" s="183" t="s">
        <v>6805</v>
      </c>
      <c r="G112" s="184" t="s">
        <v>2393</v>
      </c>
      <c r="H112" s="185">
        <v>24</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281</v>
      </c>
      <c r="AT112" s="192" t="s">
        <v>382</v>
      </c>
      <c r="AU112" s="192" t="s">
        <v>82</v>
      </c>
      <c r="AY112" s="19" t="s">
        <v>380</v>
      </c>
      <c r="BE112" s="193">
        <f t="shared" si="14"/>
        <v>0</v>
      </c>
      <c r="BF112" s="193">
        <f t="shared" si="15"/>
        <v>0</v>
      </c>
      <c r="BG112" s="193">
        <f t="shared" si="16"/>
        <v>0</v>
      </c>
      <c r="BH112" s="193">
        <f t="shared" si="17"/>
        <v>0</v>
      </c>
      <c r="BI112" s="193">
        <f t="shared" si="18"/>
        <v>0</v>
      </c>
      <c r="BJ112" s="19" t="s">
        <v>79</v>
      </c>
      <c r="BK112" s="193">
        <f t="shared" si="19"/>
        <v>0</v>
      </c>
      <c r="BL112" s="19" t="s">
        <v>281</v>
      </c>
      <c r="BM112" s="192" t="s">
        <v>644</v>
      </c>
    </row>
    <row r="113" spans="1:65" s="2" customFormat="1" ht="16.5" customHeight="1">
      <c r="A113" s="36"/>
      <c r="B113" s="37"/>
      <c r="C113" s="181" t="s">
        <v>495</v>
      </c>
      <c r="D113" s="181" t="s">
        <v>382</v>
      </c>
      <c r="E113" s="182" t="s">
        <v>6806</v>
      </c>
      <c r="F113" s="183" t="s">
        <v>6807</v>
      </c>
      <c r="G113" s="184" t="s">
        <v>2393</v>
      </c>
      <c r="H113" s="185">
        <v>8</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281</v>
      </c>
      <c r="AT113" s="192" t="s">
        <v>382</v>
      </c>
      <c r="AU113" s="192" t="s">
        <v>82</v>
      </c>
      <c r="AY113" s="19" t="s">
        <v>380</v>
      </c>
      <c r="BE113" s="193">
        <f t="shared" si="14"/>
        <v>0</v>
      </c>
      <c r="BF113" s="193">
        <f t="shared" si="15"/>
        <v>0</v>
      </c>
      <c r="BG113" s="193">
        <f t="shared" si="16"/>
        <v>0</v>
      </c>
      <c r="BH113" s="193">
        <f t="shared" si="17"/>
        <v>0</v>
      </c>
      <c r="BI113" s="193">
        <f t="shared" si="18"/>
        <v>0</v>
      </c>
      <c r="BJ113" s="19" t="s">
        <v>79</v>
      </c>
      <c r="BK113" s="193">
        <f t="shared" si="19"/>
        <v>0</v>
      </c>
      <c r="BL113" s="19" t="s">
        <v>281</v>
      </c>
      <c r="BM113" s="192" t="s">
        <v>652</v>
      </c>
    </row>
    <row r="114" spans="1:65" s="2" customFormat="1" ht="16.5" customHeight="1">
      <c r="A114" s="36"/>
      <c r="B114" s="37"/>
      <c r="C114" s="181" t="s">
        <v>500</v>
      </c>
      <c r="D114" s="181" t="s">
        <v>382</v>
      </c>
      <c r="E114" s="182" t="s">
        <v>6808</v>
      </c>
      <c r="F114" s="183" t="s">
        <v>6809</v>
      </c>
      <c r="G114" s="184" t="s">
        <v>2393</v>
      </c>
      <c r="H114" s="185">
        <v>8</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281</v>
      </c>
      <c r="AT114" s="192" t="s">
        <v>382</v>
      </c>
      <c r="AU114" s="192" t="s">
        <v>82</v>
      </c>
      <c r="AY114" s="19" t="s">
        <v>380</v>
      </c>
      <c r="BE114" s="193">
        <f t="shared" si="14"/>
        <v>0</v>
      </c>
      <c r="BF114" s="193">
        <f t="shared" si="15"/>
        <v>0</v>
      </c>
      <c r="BG114" s="193">
        <f t="shared" si="16"/>
        <v>0</v>
      </c>
      <c r="BH114" s="193">
        <f t="shared" si="17"/>
        <v>0</v>
      </c>
      <c r="BI114" s="193">
        <f t="shared" si="18"/>
        <v>0</v>
      </c>
      <c r="BJ114" s="19" t="s">
        <v>79</v>
      </c>
      <c r="BK114" s="193">
        <f t="shared" si="19"/>
        <v>0</v>
      </c>
      <c r="BL114" s="19" t="s">
        <v>281</v>
      </c>
      <c r="BM114" s="192" t="s">
        <v>660</v>
      </c>
    </row>
    <row r="115" spans="1:65" s="2" customFormat="1" ht="16.5" customHeight="1">
      <c r="A115" s="36"/>
      <c r="B115" s="37"/>
      <c r="C115" s="181" t="s">
        <v>505</v>
      </c>
      <c r="D115" s="181" t="s">
        <v>382</v>
      </c>
      <c r="E115" s="182" t="s">
        <v>6810</v>
      </c>
      <c r="F115" s="183" t="s">
        <v>6811</v>
      </c>
      <c r="G115" s="184" t="s">
        <v>2393</v>
      </c>
      <c r="H115" s="185">
        <v>8</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281</v>
      </c>
      <c r="AT115" s="192" t="s">
        <v>382</v>
      </c>
      <c r="AU115" s="192" t="s">
        <v>82</v>
      </c>
      <c r="AY115" s="19" t="s">
        <v>380</v>
      </c>
      <c r="BE115" s="193">
        <f t="shared" si="14"/>
        <v>0</v>
      </c>
      <c r="BF115" s="193">
        <f t="shared" si="15"/>
        <v>0</v>
      </c>
      <c r="BG115" s="193">
        <f t="shared" si="16"/>
        <v>0</v>
      </c>
      <c r="BH115" s="193">
        <f t="shared" si="17"/>
        <v>0</v>
      </c>
      <c r="BI115" s="193">
        <f t="shared" si="18"/>
        <v>0</v>
      </c>
      <c r="BJ115" s="19" t="s">
        <v>79</v>
      </c>
      <c r="BK115" s="193">
        <f t="shared" si="19"/>
        <v>0</v>
      </c>
      <c r="BL115" s="19" t="s">
        <v>281</v>
      </c>
      <c r="BM115" s="192" t="s">
        <v>668</v>
      </c>
    </row>
    <row r="116" spans="1:65" s="2" customFormat="1" ht="16.5" customHeight="1">
      <c r="A116" s="36"/>
      <c r="B116" s="37"/>
      <c r="C116" s="181" t="s">
        <v>509</v>
      </c>
      <c r="D116" s="181" t="s">
        <v>382</v>
      </c>
      <c r="E116" s="182" t="s">
        <v>6812</v>
      </c>
      <c r="F116" s="183" t="s">
        <v>6813</v>
      </c>
      <c r="G116" s="184" t="s">
        <v>2393</v>
      </c>
      <c r="H116" s="185">
        <v>8</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281</v>
      </c>
      <c r="AT116" s="192" t="s">
        <v>382</v>
      </c>
      <c r="AU116" s="192" t="s">
        <v>82</v>
      </c>
      <c r="AY116" s="19" t="s">
        <v>380</v>
      </c>
      <c r="BE116" s="193">
        <f t="shared" si="14"/>
        <v>0</v>
      </c>
      <c r="BF116" s="193">
        <f t="shared" si="15"/>
        <v>0</v>
      </c>
      <c r="BG116" s="193">
        <f t="shared" si="16"/>
        <v>0</v>
      </c>
      <c r="BH116" s="193">
        <f t="shared" si="17"/>
        <v>0</v>
      </c>
      <c r="BI116" s="193">
        <f t="shared" si="18"/>
        <v>0</v>
      </c>
      <c r="BJ116" s="19" t="s">
        <v>79</v>
      </c>
      <c r="BK116" s="193">
        <f t="shared" si="19"/>
        <v>0</v>
      </c>
      <c r="BL116" s="19" t="s">
        <v>281</v>
      </c>
      <c r="BM116" s="192" t="s">
        <v>677</v>
      </c>
    </row>
    <row r="117" spans="1:65" s="2" customFormat="1" ht="16.5" customHeight="1">
      <c r="A117" s="36"/>
      <c r="B117" s="37"/>
      <c r="C117" s="181" t="s">
        <v>514</v>
      </c>
      <c r="D117" s="181" t="s">
        <v>382</v>
      </c>
      <c r="E117" s="182" t="s">
        <v>6814</v>
      </c>
      <c r="F117" s="183" t="s">
        <v>6815</v>
      </c>
      <c r="G117" s="184" t="s">
        <v>2393</v>
      </c>
      <c r="H117" s="185">
        <v>8</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281</v>
      </c>
      <c r="AT117" s="192" t="s">
        <v>382</v>
      </c>
      <c r="AU117" s="192" t="s">
        <v>82</v>
      </c>
      <c r="AY117" s="19" t="s">
        <v>380</v>
      </c>
      <c r="BE117" s="193">
        <f t="shared" si="14"/>
        <v>0</v>
      </c>
      <c r="BF117" s="193">
        <f t="shared" si="15"/>
        <v>0</v>
      </c>
      <c r="BG117" s="193">
        <f t="shared" si="16"/>
        <v>0</v>
      </c>
      <c r="BH117" s="193">
        <f t="shared" si="17"/>
        <v>0</v>
      </c>
      <c r="BI117" s="193">
        <f t="shared" si="18"/>
        <v>0</v>
      </c>
      <c r="BJ117" s="19" t="s">
        <v>79</v>
      </c>
      <c r="BK117" s="193">
        <f t="shared" si="19"/>
        <v>0</v>
      </c>
      <c r="BL117" s="19" t="s">
        <v>281</v>
      </c>
      <c r="BM117" s="192" t="s">
        <v>699</v>
      </c>
    </row>
    <row r="118" spans="1:65" s="2" customFormat="1" ht="16.5" customHeight="1">
      <c r="A118" s="36"/>
      <c r="B118" s="37"/>
      <c r="C118" s="181" t="s">
        <v>520</v>
      </c>
      <c r="D118" s="181" t="s">
        <v>382</v>
      </c>
      <c r="E118" s="182" t="s">
        <v>6816</v>
      </c>
      <c r="F118" s="183" t="s">
        <v>6817</v>
      </c>
      <c r="G118" s="184" t="s">
        <v>2393</v>
      </c>
      <c r="H118" s="185">
        <v>8</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281</v>
      </c>
      <c r="AT118" s="192" t="s">
        <v>382</v>
      </c>
      <c r="AU118" s="192" t="s">
        <v>82</v>
      </c>
      <c r="AY118" s="19" t="s">
        <v>380</v>
      </c>
      <c r="BE118" s="193">
        <f t="shared" si="14"/>
        <v>0</v>
      </c>
      <c r="BF118" s="193">
        <f t="shared" si="15"/>
        <v>0</v>
      </c>
      <c r="BG118" s="193">
        <f t="shared" si="16"/>
        <v>0</v>
      </c>
      <c r="BH118" s="193">
        <f t="shared" si="17"/>
        <v>0</v>
      </c>
      <c r="BI118" s="193">
        <f t="shared" si="18"/>
        <v>0</v>
      </c>
      <c r="BJ118" s="19" t="s">
        <v>79</v>
      </c>
      <c r="BK118" s="193">
        <f t="shared" si="19"/>
        <v>0</v>
      </c>
      <c r="BL118" s="19" t="s">
        <v>281</v>
      </c>
      <c r="BM118" s="192" t="s">
        <v>709</v>
      </c>
    </row>
    <row r="119" spans="1:65" s="12" customFormat="1" ht="25.9" customHeight="1">
      <c r="B119" s="165"/>
      <c r="C119" s="166"/>
      <c r="D119" s="167" t="s">
        <v>71</v>
      </c>
      <c r="E119" s="168" t="s">
        <v>82</v>
      </c>
      <c r="F119" s="168" t="s">
        <v>6818</v>
      </c>
      <c r="G119" s="166"/>
      <c r="H119" s="166"/>
      <c r="I119" s="169"/>
      <c r="J119" s="170">
        <f>BK119</f>
        <v>0</v>
      </c>
      <c r="K119" s="166"/>
      <c r="L119" s="171"/>
      <c r="M119" s="172"/>
      <c r="N119" s="173"/>
      <c r="O119" s="173"/>
      <c r="P119" s="174">
        <f>P120+P124+P138</f>
        <v>0</v>
      </c>
      <c r="Q119" s="173"/>
      <c r="R119" s="174">
        <f>R120+R124+R138</f>
        <v>0</v>
      </c>
      <c r="S119" s="173"/>
      <c r="T119" s="175">
        <f>T120+T124+T138</f>
        <v>0</v>
      </c>
      <c r="AR119" s="176" t="s">
        <v>79</v>
      </c>
      <c r="AT119" s="177" t="s">
        <v>71</v>
      </c>
      <c r="AU119" s="177" t="s">
        <v>72</v>
      </c>
      <c r="AY119" s="176" t="s">
        <v>380</v>
      </c>
      <c r="BK119" s="178">
        <f>BK120+BK124+BK138</f>
        <v>0</v>
      </c>
    </row>
    <row r="120" spans="1:65" s="12" customFormat="1" ht="22.9" customHeight="1">
      <c r="B120" s="165"/>
      <c r="C120" s="166"/>
      <c r="D120" s="167" t="s">
        <v>71</v>
      </c>
      <c r="E120" s="179" t="s">
        <v>4693</v>
      </c>
      <c r="F120" s="179" t="s">
        <v>6761</v>
      </c>
      <c r="G120" s="166"/>
      <c r="H120" s="166"/>
      <c r="I120" s="169"/>
      <c r="J120" s="180">
        <f>BK120</f>
        <v>0</v>
      </c>
      <c r="K120" s="166"/>
      <c r="L120" s="171"/>
      <c r="M120" s="172"/>
      <c r="N120" s="173"/>
      <c r="O120" s="173"/>
      <c r="P120" s="174">
        <f>SUM(P121:P123)</f>
        <v>0</v>
      </c>
      <c r="Q120" s="173"/>
      <c r="R120" s="174">
        <f>SUM(R121:R123)</f>
        <v>0</v>
      </c>
      <c r="S120" s="173"/>
      <c r="T120" s="175">
        <f>SUM(T121:T123)</f>
        <v>0</v>
      </c>
      <c r="AR120" s="176" t="s">
        <v>79</v>
      </c>
      <c r="AT120" s="177" t="s">
        <v>71</v>
      </c>
      <c r="AU120" s="177" t="s">
        <v>79</v>
      </c>
      <c r="AY120" s="176" t="s">
        <v>380</v>
      </c>
      <c r="BK120" s="178">
        <f>SUM(BK121:BK123)</f>
        <v>0</v>
      </c>
    </row>
    <row r="121" spans="1:65" s="2" customFormat="1" ht="16.5" customHeight="1">
      <c r="A121" s="36"/>
      <c r="B121" s="37"/>
      <c r="C121" s="181" t="s">
        <v>525</v>
      </c>
      <c r="D121" s="181" t="s">
        <v>382</v>
      </c>
      <c r="E121" s="182" t="s">
        <v>6819</v>
      </c>
      <c r="F121" s="183" t="s">
        <v>6820</v>
      </c>
      <c r="G121" s="184" t="s">
        <v>2393</v>
      </c>
      <c r="H121" s="185">
        <v>1</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733</v>
      </c>
    </row>
    <row r="122" spans="1:65" s="2" customFormat="1" ht="16.5" customHeight="1">
      <c r="A122" s="36"/>
      <c r="B122" s="37"/>
      <c r="C122" s="181" t="s">
        <v>529</v>
      </c>
      <c r="D122" s="181" t="s">
        <v>382</v>
      </c>
      <c r="E122" s="182" t="s">
        <v>6821</v>
      </c>
      <c r="F122" s="183" t="s">
        <v>6765</v>
      </c>
      <c r="G122" s="184" t="s">
        <v>2393</v>
      </c>
      <c r="H122" s="185">
        <v>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753</v>
      </c>
    </row>
    <row r="123" spans="1:65" s="2" customFormat="1" ht="16.5" customHeight="1">
      <c r="A123" s="36"/>
      <c r="B123" s="37"/>
      <c r="C123" s="181" t="s">
        <v>534</v>
      </c>
      <c r="D123" s="181" t="s">
        <v>382</v>
      </c>
      <c r="E123" s="182" t="s">
        <v>6822</v>
      </c>
      <c r="F123" s="183" t="s">
        <v>6767</v>
      </c>
      <c r="G123" s="184" t="s">
        <v>2393</v>
      </c>
      <c r="H123" s="185">
        <v>5</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767</v>
      </c>
    </row>
    <row r="124" spans="1:65" s="12" customFormat="1" ht="22.9" customHeight="1">
      <c r="B124" s="165"/>
      <c r="C124" s="166"/>
      <c r="D124" s="167" t="s">
        <v>71</v>
      </c>
      <c r="E124" s="179" t="s">
        <v>6469</v>
      </c>
      <c r="F124" s="179" t="s">
        <v>6768</v>
      </c>
      <c r="G124" s="166"/>
      <c r="H124" s="166"/>
      <c r="I124" s="169"/>
      <c r="J124" s="180">
        <f>BK124</f>
        <v>0</v>
      </c>
      <c r="K124" s="166"/>
      <c r="L124" s="171"/>
      <c r="M124" s="172"/>
      <c r="N124" s="173"/>
      <c r="O124" s="173"/>
      <c r="P124" s="174">
        <f>SUM(P125:P137)</f>
        <v>0</v>
      </c>
      <c r="Q124" s="173"/>
      <c r="R124" s="174">
        <f>SUM(R125:R137)</f>
        <v>0</v>
      </c>
      <c r="S124" s="173"/>
      <c r="T124" s="175">
        <f>SUM(T125:T137)</f>
        <v>0</v>
      </c>
      <c r="AR124" s="176" t="s">
        <v>79</v>
      </c>
      <c r="AT124" s="177" t="s">
        <v>71</v>
      </c>
      <c r="AU124" s="177" t="s">
        <v>79</v>
      </c>
      <c r="AY124" s="176" t="s">
        <v>380</v>
      </c>
      <c r="BK124" s="178">
        <f>SUM(BK125:BK137)</f>
        <v>0</v>
      </c>
    </row>
    <row r="125" spans="1:65" s="2" customFormat="1" ht="16.5" customHeight="1">
      <c r="A125" s="36"/>
      <c r="B125" s="37"/>
      <c r="C125" s="181" t="s">
        <v>540</v>
      </c>
      <c r="D125" s="181" t="s">
        <v>382</v>
      </c>
      <c r="E125" s="182" t="s">
        <v>6823</v>
      </c>
      <c r="F125" s="183" t="s">
        <v>6770</v>
      </c>
      <c r="G125" s="184" t="s">
        <v>2393</v>
      </c>
      <c r="H125" s="185">
        <v>1</v>
      </c>
      <c r="I125" s="186"/>
      <c r="J125" s="187">
        <f t="shared" ref="J125:J137" si="20">ROUND(I125*H125,2)</f>
        <v>0</v>
      </c>
      <c r="K125" s="183" t="s">
        <v>19</v>
      </c>
      <c r="L125" s="41"/>
      <c r="M125" s="188" t="s">
        <v>19</v>
      </c>
      <c r="N125" s="189" t="s">
        <v>43</v>
      </c>
      <c r="O125" s="66"/>
      <c r="P125" s="190">
        <f t="shared" ref="P125:P137" si="21">O125*H125</f>
        <v>0</v>
      </c>
      <c r="Q125" s="190">
        <v>0</v>
      </c>
      <c r="R125" s="190">
        <f t="shared" ref="R125:R137" si="22">Q125*H125</f>
        <v>0</v>
      </c>
      <c r="S125" s="190">
        <v>0</v>
      </c>
      <c r="T125" s="191">
        <f t="shared" ref="T125:T137" si="23">S125*H125</f>
        <v>0</v>
      </c>
      <c r="U125" s="36"/>
      <c r="V125" s="36"/>
      <c r="W125" s="36"/>
      <c r="X125" s="36"/>
      <c r="Y125" s="36"/>
      <c r="Z125" s="36"/>
      <c r="AA125" s="36"/>
      <c r="AB125" s="36"/>
      <c r="AC125" s="36"/>
      <c r="AD125" s="36"/>
      <c r="AE125" s="36"/>
      <c r="AR125" s="192" t="s">
        <v>281</v>
      </c>
      <c r="AT125" s="192" t="s">
        <v>382</v>
      </c>
      <c r="AU125" s="192" t="s">
        <v>82</v>
      </c>
      <c r="AY125" s="19" t="s">
        <v>380</v>
      </c>
      <c r="BE125" s="193">
        <f t="shared" ref="BE125:BE137" si="24">IF(N125="základní",J125,0)</f>
        <v>0</v>
      </c>
      <c r="BF125" s="193">
        <f t="shared" ref="BF125:BF137" si="25">IF(N125="snížená",J125,0)</f>
        <v>0</v>
      </c>
      <c r="BG125" s="193">
        <f t="shared" ref="BG125:BG137" si="26">IF(N125="zákl. přenesená",J125,0)</f>
        <v>0</v>
      </c>
      <c r="BH125" s="193">
        <f t="shared" ref="BH125:BH137" si="27">IF(N125="sníž. přenesená",J125,0)</f>
        <v>0</v>
      </c>
      <c r="BI125" s="193">
        <f t="shared" ref="BI125:BI137" si="28">IF(N125="nulová",J125,0)</f>
        <v>0</v>
      </c>
      <c r="BJ125" s="19" t="s">
        <v>79</v>
      </c>
      <c r="BK125" s="193">
        <f t="shared" ref="BK125:BK137" si="29">ROUND(I125*H125,2)</f>
        <v>0</v>
      </c>
      <c r="BL125" s="19" t="s">
        <v>281</v>
      </c>
      <c r="BM125" s="192" t="s">
        <v>776</v>
      </c>
    </row>
    <row r="126" spans="1:65" s="2" customFormat="1" ht="16.5" customHeight="1">
      <c r="A126" s="36"/>
      <c r="B126" s="37"/>
      <c r="C126" s="181" t="s">
        <v>546</v>
      </c>
      <c r="D126" s="181" t="s">
        <v>382</v>
      </c>
      <c r="E126" s="182" t="s">
        <v>6824</v>
      </c>
      <c r="F126" s="183" t="s">
        <v>6772</v>
      </c>
      <c r="G126" s="184" t="s">
        <v>2393</v>
      </c>
      <c r="H126" s="185">
        <v>3</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281</v>
      </c>
      <c r="AT126" s="192" t="s">
        <v>382</v>
      </c>
      <c r="AU126" s="192" t="s">
        <v>82</v>
      </c>
      <c r="AY126" s="19" t="s">
        <v>380</v>
      </c>
      <c r="BE126" s="193">
        <f t="shared" si="24"/>
        <v>0</v>
      </c>
      <c r="BF126" s="193">
        <f t="shared" si="25"/>
        <v>0</v>
      </c>
      <c r="BG126" s="193">
        <f t="shared" si="26"/>
        <v>0</v>
      </c>
      <c r="BH126" s="193">
        <f t="shared" si="27"/>
        <v>0</v>
      </c>
      <c r="BI126" s="193">
        <f t="shared" si="28"/>
        <v>0</v>
      </c>
      <c r="BJ126" s="19" t="s">
        <v>79</v>
      </c>
      <c r="BK126" s="193">
        <f t="shared" si="29"/>
        <v>0</v>
      </c>
      <c r="BL126" s="19" t="s">
        <v>281</v>
      </c>
      <c r="BM126" s="192" t="s">
        <v>787</v>
      </c>
    </row>
    <row r="127" spans="1:65" s="2" customFormat="1" ht="16.5" customHeight="1">
      <c r="A127" s="36"/>
      <c r="B127" s="37"/>
      <c r="C127" s="181" t="s">
        <v>552</v>
      </c>
      <c r="D127" s="181" t="s">
        <v>382</v>
      </c>
      <c r="E127" s="182" t="s">
        <v>6825</v>
      </c>
      <c r="F127" s="183" t="s">
        <v>6774</v>
      </c>
      <c r="G127" s="184" t="s">
        <v>2393</v>
      </c>
      <c r="H127" s="185">
        <v>3</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281</v>
      </c>
      <c r="AT127" s="192" t="s">
        <v>382</v>
      </c>
      <c r="AU127" s="192" t="s">
        <v>82</v>
      </c>
      <c r="AY127" s="19" t="s">
        <v>380</v>
      </c>
      <c r="BE127" s="193">
        <f t="shared" si="24"/>
        <v>0</v>
      </c>
      <c r="BF127" s="193">
        <f t="shared" si="25"/>
        <v>0</v>
      </c>
      <c r="BG127" s="193">
        <f t="shared" si="26"/>
        <v>0</v>
      </c>
      <c r="BH127" s="193">
        <f t="shared" si="27"/>
        <v>0</v>
      </c>
      <c r="BI127" s="193">
        <f t="shared" si="28"/>
        <v>0</v>
      </c>
      <c r="BJ127" s="19" t="s">
        <v>79</v>
      </c>
      <c r="BK127" s="193">
        <f t="shared" si="29"/>
        <v>0</v>
      </c>
      <c r="BL127" s="19" t="s">
        <v>281</v>
      </c>
      <c r="BM127" s="192" t="s">
        <v>795</v>
      </c>
    </row>
    <row r="128" spans="1:65" s="2" customFormat="1" ht="16.5" customHeight="1">
      <c r="A128" s="36"/>
      <c r="B128" s="37"/>
      <c r="C128" s="181" t="s">
        <v>556</v>
      </c>
      <c r="D128" s="181" t="s">
        <v>382</v>
      </c>
      <c r="E128" s="182" t="s">
        <v>6826</v>
      </c>
      <c r="F128" s="183" t="s">
        <v>6776</v>
      </c>
      <c r="G128" s="184" t="s">
        <v>2393</v>
      </c>
      <c r="H128" s="185">
        <v>1</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281</v>
      </c>
      <c r="AT128" s="192" t="s">
        <v>382</v>
      </c>
      <c r="AU128" s="192" t="s">
        <v>82</v>
      </c>
      <c r="AY128" s="19" t="s">
        <v>380</v>
      </c>
      <c r="BE128" s="193">
        <f t="shared" si="24"/>
        <v>0</v>
      </c>
      <c r="BF128" s="193">
        <f t="shared" si="25"/>
        <v>0</v>
      </c>
      <c r="BG128" s="193">
        <f t="shared" si="26"/>
        <v>0</v>
      </c>
      <c r="BH128" s="193">
        <f t="shared" si="27"/>
        <v>0</v>
      </c>
      <c r="BI128" s="193">
        <f t="shared" si="28"/>
        <v>0</v>
      </c>
      <c r="BJ128" s="19" t="s">
        <v>79</v>
      </c>
      <c r="BK128" s="193">
        <f t="shared" si="29"/>
        <v>0</v>
      </c>
      <c r="BL128" s="19" t="s">
        <v>281</v>
      </c>
      <c r="BM128" s="192" t="s">
        <v>804</v>
      </c>
    </row>
    <row r="129" spans="1:65" s="2" customFormat="1" ht="16.5" customHeight="1">
      <c r="A129" s="36"/>
      <c r="B129" s="37"/>
      <c r="C129" s="181" t="s">
        <v>565</v>
      </c>
      <c r="D129" s="181" t="s">
        <v>382</v>
      </c>
      <c r="E129" s="182" t="s">
        <v>6827</v>
      </c>
      <c r="F129" s="183" t="s">
        <v>6778</v>
      </c>
      <c r="G129" s="184" t="s">
        <v>2393</v>
      </c>
      <c r="H129" s="185">
        <v>1</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281</v>
      </c>
      <c r="AT129" s="192" t="s">
        <v>382</v>
      </c>
      <c r="AU129" s="192" t="s">
        <v>82</v>
      </c>
      <c r="AY129" s="19" t="s">
        <v>380</v>
      </c>
      <c r="BE129" s="193">
        <f t="shared" si="24"/>
        <v>0</v>
      </c>
      <c r="BF129" s="193">
        <f t="shared" si="25"/>
        <v>0</v>
      </c>
      <c r="BG129" s="193">
        <f t="shared" si="26"/>
        <v>0</v>
      </c>
      <c r="BH129" s="193">
        <f t="shared" si="27"/>
        <v>0</v>
      </c>
      <c r="BI129" s="193">
        <f t="shared" si="28"/>
        <v>0</v>
      </c>
      <c r="BJ129" s="19" t="s">
        <v>79</v>
      </c>
      <c r="BK129" s="193">
        <f t="shared" si="29"/>
        <v>0</v>
      </c>
      <c r="BL129" s="19" t="s">
        <v>281</v>
      </c>
      <c r="BM129" s="192" t="s">
        <v>831</v>
      </c>
    </row>
    <row r="130" spans="1:65" s="2" customFormat="1" ht="16.5" customHeight="1">
      <c r="A130" s="36"/>
      <c r="B130" s="37"/>
      <c r="C130" s="181" t="s">
        <v>579</v>
      </c>
      <c r="D130" s="181" t="s">
        <v>382</v>
      </c>
      <c r="E130" s="182" t="s">
        <v>6828</v>
      </c>
      <c r="F130" s="183" t="s">
        <v>6780</v>
      </c>
      <c r="G130" s="184" t="s">
        <v>2393</v>
      </c>
      <c r="H130" s="185">
        <v>1</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281</v>
      </c>
      <c r="AT130" s="192" t="s">
        <v>382</v>
      </c>
      <c r="AU130" s="192" t="s">
        <v>82</v>
      </c>
      <c r="AY130" s="19" t="s">
        <v>380</v>
      </c>
      <c r="BE130" s="193">
        <f t="shared" si="24"/>
        <v>0</v>
      </c>
      <c r="BF130" s="193">
        <f t="shared" si="25"/>
        <v>0</v>
      </c>
      <c r="BG130" s="193">
        <f t="shared" si="26"/>
        <v>0</v>
      </c>
      <c r="BH130" s="193">
        <f t="shared" si="27"/>
        <v>0</v>
      </c>
      <c r="BI130" s="193">
        <f t="shared" si="28"/>
        <v>0</v>
      </c>
      <c r="BJ130" s="19" t="s">
        <v>79</v>
      </c>
      <c r="BK130" s="193">
        <f t="shared" si="29"/>
        <v>0</v>
      </c>
      <c r="BL130" s="19" t="s">
        <v>281</v>
      </c>
      <c r="BM130" s="192" t="s">
        <v>841</v>
      </c>
    </row>
    <row r="131" spans="1:65" s="2" customFormat="1" ht="16.5" customHeight="1">
      <c r="A131" s="36"/>
      <c r="B131" s="37"/>
      <c r="C131" s="181" t="s">
        <v>600</v>
      </c>
      <c r="D131" s="181" t="s">
        <v>382</v>
      </c>
      <c r="E131" s="182" t="s">
        <v>6829</v>
      </c>
      <c r="F131" s="183" t="s">
        <v>6782</v>
      </c>
      <c r="G131" s="184" t="s">
        <v>2393</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281</v>
      </c>
      <c r="AT131" s="192" t="s">
        <v>382</v>
      </c>
      <c r="AU131" s="192" t="s">
        <v>82</v>
      </c>
      <c r="AY131" s="19" t="s">
        <v>380</v>
      </c>
      <c r="BE131" s="193">
        <f t="shared" si="24"/>
        <v>0</v>
      </c>
      <c r="BF131" s="193">
        <f t="shared" si="25"/>
        <v>0</v>
      </c>
      <c r="BG131" s="193">
        <f t="shared" si="26"/>
        <v>0</v>
      </c>
      <c r="BH131" s="193">
        <f t="shared" si="27"/>
        <v>0</v>
      </c>
      <c r="BI131" s="193">
        <f t="shared" si="28"/>
        <v>0</v>
      </c>
      <c r="BJ131" s="19" t="s">
        <v>79</v>
      </c>
      <c r="BK131" s="193">
        <f t="shared" si="29"/>
        <v>0</v>
      </c>
      <c r="BL131" s="19" t="s">
        <v>281</v>
      </c>
      <c r="BM131" s="192" t="s">
        <v>851</v>
      </c>
    </row>
    <row r="132" spans="1:65" s="2" customFormat="1" ht="16.5" customHeight="1">
      <c r="A132" s="36"/>
      <c r="B132" s="37"/>
      <c r="C132" s="181" t="s">
        <v>619</v>
      </c>
      <c r="D132" s="181" t="s">
        <v>382</v>
      </c>
      <c r="E132" s="182" t="s">
        <v>6830</v>
      </c>
      <c r="F132" s="183" t="s">
        <v>6784</v>
      </c>
      <c r="G132" s="184" t="s">
        <v>2393</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281</v>
      </c>
      <c r="AT132" s="192" t="s">
        <v>382</v>
      </c>
      <c r="AU132" s="192" t="s">
        <v>82</v>
      </c>
      <c r="AY132" s="19" t="s">
        <v>380</v>
      </c>
      <c r="BE132" s="193">
        <f t="shared" si="24"/>
        <v>0</v>
      </c>
      <c r="BF132" s="193">
        <f t="shared" si="25"/>
        <v>0</v>
      </c>
      <c r="BG132" s="193">
        <f t="shared" si="26"/>
        <v>0</v>
      </c>
      <c r="BH132" s="193">
        <f t="shared" si="27"/>
        <v>0</v>
      </c>
      <c r="BI132" s="193">
        <f t="shared" si="28"/>
        <v>0</v>
      </c>
      <c r="BJ132" s="19" t="s">
        <v>79</v>
      </c>
      <c r="BK132" s="193">
        <f t="shared" si="29"/>
        <v>0</v>
      </c>
      <c r="BL132" s="19" t="s">
        <v>281</v>
      </c>
      <c r="BM132" s="192" t="s">
        <v>859</v>
      </c>
    </row>
    <row r="133" spans="1:65" s="2" customFormat="1" ht="16.5" customHeight="1">
      <c r="A133" s="36"/>
      <c r="B133" s="37"/>
      <c r="C133" s="181" t="s">
        <v>623</v>
      </c>
      <c r="D133" s="181" t="s">
        <v>382</v>
      </c>
      <c r="E133" s="182" t="s">
        <v>6831</v>
      </c>
      <c r="F133" s="183" t="s">
        <v>6786</v>
      </c>
      <c r="G133" s="184" t="s">
        <v>452</v>
      </c>
      <c r="H133" s="185">
        <v>17</v>
      </c>
      <c r="I133" s="186"/>
      <c r="J133" s="187">
        <f t="shared" si="20"/>
        <v>0</v>
      </c>
      <c r="K133" s="183" t="s">
        <v>19</v>
      </c>
      <c r="L133" s="41"/>
      <c r="M133" s="188" t="s">
        <v>19</v>
      </c>
      <c r="N133" s="189" t="s">
        <v>43</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281</v>
      </c>
      <c r="AT133" s="192" t="s">
        <v>382</v>
      </c>
      <c r="AU133" s="192" t="s">
        <v>82</v>
      </c>
      <c r="AY133" s="19" t="s">
        <v>380</v>
      </c>
      <c r="BE133" s="193">
        <f t="shared" si="24"/>
        <v>0</v>
      </c>
      <c r="BF133" s="193">
        <f t="shared" si="25"/>
        <v>0</v>
      </c>
      <c r="BG133" s="193">
        <f t="shared" si="26"/>
        <v>0</v>
      </c>
      <c r="BH133" s="193">
        <f t="shared" si="27"/>
        <v>0</v>
      </c>
      <c r="BI133" s="193">
        <f t="shared" si="28"/>
        <v>0</v>
      </c>
      <c r="BJ133" s="19" t="s">
        <v>79</v>
      </c>
      <c r="BK133" s="193">
        <f t="shared" si="29"/>
        <v>0</v>
      </c>
      <c r="BL133" s="19" t="s">
        <v>281</v>
      </c>
      <c r="BM133" s="192" t="s">
        <v>867</v>
      </c>
    </row>
    <row r="134" spans="1:65" s="2" customFormat="1" ht="16.5" customHeight="1">
      <c r="A134" s="36"/>
      <c r="B134" s="37"/>
      <c r="C134" s="181" t="s">
        <v>631</v>
      </c>
      <c r="D134" s="181" t="s">
        <v>382</v>
      </c>
      <c r="E134" s="182" t="s">
        <v>6832</v>
      </c>
      <c r="F134" s="183" t="s">
        <v>6788</v>
      </c>
      <c r="G134" s="184" t="s">
        <v>452</v>
      </c>
      <c r="H134" s="185">
        <v>47</v>
      </c>
      <c r="I134" s="186"/>
      <c r="J134" s="187">
        <f t="shared" si="20"/>
        <v>0</v>
      </c>
      <c r="K134" s="183" t="s">
        <v>19</v>
      </c>
      <c r="L134" s="41"/>
      <c r="M134" s="188" t="s">
        <v>19</v>
      </c>
      <c r="N134" s="189" t="s">
        <v>43</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281</v>
      </c>
      <c r="AT134" s="192" t="s">
        <v>382</v>
      </c>
      <c r="AU134" s="192" t="s">
        <v>82</v>
      </c>
      <c r="AY134" s="19" t="s">
        <v>380</v>
      </c>
      <c r="BE134" s="193">
        <f t="shared" si="24"/>
        <v>0</v>
      </c>
      <c r="BF134" s="193">
        <f t="shared" si="25"/>
        <v>0</v>
      </c>
      <c r="BG134" s="193">
        <f t="shared" si="26"/>
        <v>0</v>
      </c>
      <c r="BH134" s="193">
        <f t="shared" si="27"/>
        <v>0</v>
      </c>
      <c r="BI134" s="193">
        <f t="shared" si="28"/>
        <v>0</v>
      </c>
      <c r="BJ134" s="19" t="s">
        <v>79</v>
      </c>
      <c r="BK134" s="193">
        <f t="shared" si="29"/>
        <v>0</v>
      </c>
      <c r="BL134" s="19" t="s">
        <v>281</v>
      </c>
      <c r="BM134" s="192" t="s">
        <v>884</v>
      </c>
    </row>
    <row r="135" spans="1:65" s="2" customFormat="1" ht="16.5" customHeight="1">
      <c r="A135" s="36"/>
      <c r="B135" s="37"/>
      <c r="C135" s="181" t="s">
        <v>638</v>
      </c>
      <c r="D135" s="181" t="s">
        <v>382</v>
      </c>
      <c r="E135" s="182" t="s">
        <v>6833</v>
      </c>
      <c r="F135" s="183" t="s">
        <v>6790</v>
      </c>
      <c r="G135" s="184" t="s">
        <v>452</v>
      </c>
      <c r="H135" s="185">
        <v>5</v>
      </c>
      <c r="I135" s="186"/>
      <c r="J135" s="187">
        <f t="shared" si="20"/>
        <v>0</v>
      </c>
      <c r="K135" s="183" t="s">
        <v>19</v>
      </c>
      <c r="L135" s="41"/>
      <c r="M135" s="188" t="s">
        <v>19</v>
      </c>
      <c r="N135" s="189" t="s">
        <v>43</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281</v>
      </c>
      <c r="AT135" s="192" t="s">
        <v>382</v>
      </c>
      <c r="AU135" s="192" t="s">
        <v>82</v>
      </c>
      <c r="AY135" s="19" t="s">
        <v>380</v>
      </c>
      <c r="BE135" s="193">
        <f t="shared" si="24"/>
        <v>0</v>
      </c>
      <c r="BF135" s="193">
        <f t="shared" si="25"/>
        <v>0</v>
      </c>
      <c r="BG135" s="193">
        <f t="shared" si="26"/>
        <v>0</v>
      </c>
      <c r="BH135" s="193">
        <f t="shared" si="27"/>
        <v>0</v>
      </c>
      <c r="BI135" s="193">
        <f t="shared" si="28"/>
        <v>0</v>
      </c>
      <c r="BJ135" s="19" t="s">
        <v>79</v>
      </c>
      <c r="BK135" s="193">
        <f t="shared" si="29"/>
        <v>0</v>
      </c>
      <c r="BL135" s="19" t="s">
        <v>281</v>
      </c>
      <c r="BM135" s="192" t="s">
        <v>910</v>
      </c>
    </row>
    <row r="136" spans="1:65" s="2" customFormat="1" ht="16.5" customHeight="1">
      <c r="A136" s="36"/>
      <c r="B136" s="37"/>
      <c r="C136" s="181" t="s">
        <v>644</v>
      </c>
      <c r="D136" s="181" t="s">
        <v>382</v>
      </c>
      <c r="E136" s="182" t="s">
        <v>6834</v>
      </c>
      <c r="F136" s="183" t="s">
        <v>6792</v>
      </c>
      <c r="G136" s="184" t="s">
        <v>2393</v>
      </c>
      <c r="H136" s="185">
        <v>26</v>
      </c>
      <c r="I136" s="186"/>
      <c r="J136" s="187">
        <f t="shared" si="20"/>
        <v>0</v>
      </c>
      <c r="K136" s="183" t="s">
        <v>19</v>
      </c>
      <c r="L136" s="41"/>
      <c r="M136" s="188" t="s">
        <v>19</v>
      </c>
      <c r="N136" s="189" t="s">
        <v>43</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281</v>
      </c>
      <c r="AT136" s="192" t="s">
        <v>382</v>
      </c>
      <c r="AU136" s="192" t="s">
        <v>82</v>
      </c>
      <c r="AY136" s="19" t="s">
        <v>380</v>
      </c>
      <c r="BE136" s="193">
        <f t="shared" si="24"/>
        <v>0</v>
      </c>
      <c r="BF136" s="193">
        <f t="shared" si="25"/>
        <v>0</v>
      </c>
      <c r="BG136" s="193">
        <f t="shared" si="26"/>
        <v>0</v>
      </c>
      <c r="BH136" s="193">
        <f t="shared" si="27"/>
        <v>0</v>
      </c>
      <c r="BI136" s="193">
        <f t="shared" si="28"/>
        <v>0</v>
      </c>
      <c r="BJ136" s="19" t="s">
        <v>79</v>
      </c>
      <c r="BK136" s="193">
        <f t="shared" si="29"/>
        <v>0</v>
      </c>
      <c r="BL136" s="19" t="s">
        <v>281</v>
      </c>
      <c r="BM136" s="192" t="s">
        <v>927</v>
      </c>
    </row>
    <row r="137" spans="1:65" s="2" customFormat="1" ht="16.5" customHeight="1">
      <c r="A137" s="36"/>
      <c r="B137" s="37"/>
      <c r="C137" s="181" t="s">
        <v>648</v>
      </c>
      <c r="D137" s="181" t="s">
        <v>382</v>
      </c>
      <c r="E137" s="182" t="s">
        <v>6835</v>
      </c>
      <c r="F137" s="183" t="s">
        <v>6794</v>
      </c>
      <c r="G137" s="184" t="s">
        <v>452</v>
      </c>
      <c r="H137" s="185">
        <v>45</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281</v>
      </c>
      <c r="AT137" s="192" t="s">
        <v>382</v>
      </c>
      <c r="AU137" s="192" t="s">
        <v>82</v>
      </c>
      <c r="AY137" s="19" t="s">
        <v>380</v>
      </c>
      <c r="BE137" s="193">
        <f t="shared" si="24"/>
        <v>0</v>
      </c>
      <c r="BF137" s="193">
        <f t="shared" si="25"/>
        <v>0</v>
      </c>
      <c r="BG137" s="193">
        <f t="shared" si="26"/>
        <v>0</v>
      </c>
      <c r="BH137" s="193">
        <f t="shared" si="27"/>
        <v>0</v>
      </c>
      <c r="BI137" s="193">
        <f t="shared" si="28"/>
        <v>0</v>
      </c>
      <c r="BJ137" s="19" t="s">
        <v>79</v>
      </c>
      <c r="BK137" s="193">
        <f t="shared" si="29"/>
        <v>0</v>
      </c>
      <c r="BL137" s="19" t="s">
        <v>281</v>
      </c>
      <c r="BM137" s="192" t="s">
        <v>936</v>
      </c>
    </row>
    <row r="138" spans="1:65" s="12" customFormat="1" ht="22.9" customHeight="1">
      <c r="B138" s="165"/>
      <c r="C138" s="166"/>
      <c r="D138" s="167" t="s">
        <v>71</v>
      </c>
      <c r="E138" s="179" t="s">
        <v>6526</v>
      </c>
      <c r="F138" s="179" t="s">
        <v>6795</v>
      </c>
      <c r="G138" s="166"/>
      <c r="H138" s="166"/>
      <c r="I138" s="169"/>
      <c r="J138" s="180">
        <f>BK138</f>
        <v>0</v>
      </c>
      <c r="K138" s="166"/>
      <c r="L138" s="171"/>
      <c r="M138" s="172"/>
      <c r="N138" s="173"/>
      <c r="O138" s="173"/>
      <c r="P138" s="174">
        <f>SUM(P139:P149)</f>
        <v>0</v>
      </c>
      <c r="Q138" s="173"/>
      <c r="R138" s="174">
        <f>SUM(R139:R149)</f>
        <v>0</v>
      </c>
      <c r="S138" s="173"/>
      <c r="T138" s="175">
        <f>SUM(T139:T149)</f>
        <v>0</v>
      </c>
      <c r="AR138" s="176" t="s">
        <v>79</v>
      </c>
      <c r="AT138" s="177" t="s">
        <v>71</v>
      </c>
      <c r="AU138" s="177" t="s">
        <v>79</v>
      </c>
      <c r="AY138" s="176" t="s">
        <v>380</v>
      </c>
      <c r="BK138" s="178">
        <f>SUM(BK139:BK149)</f>
        <v>0</v>
      </c>
    </row>
    <row r="139" spans="1:65" s="2" customFormat="1" ht="16.5" customHeight="1">
      <c r="A139" s="36"/>
      <c r="B139" s="37"/>
      <c r="C139" s="181" t="s">
        <v>652</v>
      </c>
      <c r="D139" s="181" t="s">
        <v>382</v>
      </c>
      <c r="E139" s="182" t="s">
        <v>6836</v>
      </c>
      <c r="F139" s="183" t="s">
        <v>6797</v>
      </c>
      <c r="G139" s="184" t="s">
        <v>2393</v>
      </c>
      <c r="H139" s="185">
        <v>9</v>
      </c>
      <c r="I139" s="186"/>
      <c r="J139" s="187">
        <f t="shared" ref="J139:J149" si="30">ROUND(I139*H139,2)</f>
        <v>0</v>
      </c>
      <c r="K139" s="183" t="s">
        <v>19</v>
      </c>
      <c r="L139" s="41"/>
      <c r="M139" s="188" t="s">
        <v>19</v>
      </c>
      <c r="N139" s="189" t="s">
        <v>43</v>
      </c>
      <c r="O139" s="66"/>
      <c r="P139" s="190">
        <f t="shared" ref="P139:P149" si="31">O139*H139</f>
        <v>0</v>
      </c>
      <c r="Q139" s="190">
        <v>0</v>
      </c>
      <c r="R139" s="190">
        <f t="shared" ref="R139:R149" si="32">Q139*H139</f>
        <v>0</v>
      </c>
      <c r="S139" s="190">
        <v>0</v>
      </c>
      <c r="T139" s="191">
        <f t="shared" ref="T139:T149" si="33">S139*H139</f>
        <v>0</v>
      </c>
      <c r="U139" s="36"/>
      <c r="V139" s="36"/>
      <c r="W139" s="36"/>
      <c r="X139" s="36"/>
      <c r="Y139" s="36"/>
      <c r="Z139" s="36"/>
      <c r="AA139" s="36"/>
      <c r="AB139" s="36"/>
      <c r="AC139" s="36"/>
      <c r="AD139" s="36"/>
      <c r="AE139" s="36"/>
      <c r="AR139" s="192" t="s">
        <v>281</v>
      </c>
      <c r="AT139" s="192" t="s">
        <v>382</v>
      </c>
      <c r="AU139" s="192" t="s">
        <v>82</v>
      </c>
      <c r="AY139" s="19" t="s">
        <v>380</v>
      </c>
      <c r="BE139" s="193">
        <f t="shared" ref="BE139:BE149" si="34">IF(N139="základní",J139,0)</f>
        <v>0</v>
      </c>
      <c r="BF139" s="193">
        <f t="shared" ref="BF139:BF149" si="35">IF(N139="snížená",J139,0)</f>
        <v>0</v>
      </c>
      <c r="BG139" s="193">
        <f t="shared" ref="BG139:BG149" si="36">IF(N139="zákl. přenesená",J139,0)</f>
        <v>0</v>
      </c>
      <c r="BH139" s="193">
        <f t="shared" ref="BH139:BH149" si="37">IF(N139="sníž. přenesená",J139,0)</f>
        <v>0</v>
      </c>
      <c r="BI139" s="193">
        <f t="shared" ref="BI139:BI149" si="38">IF(N139="nulová",J139,0)</f>
        <v>0</v>
      </c>
      <c r="BJ139" s="19" t="s">
        <v>79</v>
      </c>
      <c r="BK139" s="193">
        <f t="shared" ref="BK139:BK149" si="39">ROUND(I139*H139,2)</f>
        <v>0</v>
      </c>
      <c r="BL139" s="19" t="s">
        <v>281</v>
      </c>
      <c r="BM139" s="192" t="s">
        <v>946</v>
      </c>
    </row>
    <row r="140" spans="1:65" s="2" customFormat="1" ht="16.5" customHeight="1">
      <c r="A140" s="36"/>
      <c r="B140" s="37"/>
      <c r="C140" s="181" t="s">
        <v>656</v>
      </c>
      <c r="D140" s="181" t="s">
        <v>382</v>
      </c>
      <c r="E140" s="182" t="s">
        <v>6837</v>
      </c>
      <c r="F140" s="183" t="s">
        <v>6799</v>
      </c>
      <c r="G140" s="184" t="s">
        <v>452</v>
      </c>
      <c r="H140" s="185">
        <v>40</v>
      </c>
      <c r="I140" s="186"/>
      <c r="J140" s="187">
        <f t="shared" si="30"/>
        <v>0</v>
      </c>
      <c r="K140" s="183" t="s">
        <v>19</v>
      </c>
      <c r="L140" s="41"/>
      <c r="M140" s="188" t="s">
        <v>19</v>
      </c>
      <c r="N140" s="189" t="s">
        <v>43</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281</v>
      </c>
      <c r="AT140" s="192" t="s">
        <v>382</v>
      </c>
      <c r="AU140" s="192" t="s">
        <v>82</v>
      </c>
      <c r="AY140" s="19" t="s">
        <v>380</v>
      </c>
      <c r="BE140" s="193">
        <f t="shared" si="34"/>
        <v>0</v>
      </c>
      <c r="BF140" s="193">
        <f t="shared" si="35"/>
        <v>0</v>
      </c>
      <c r="BG140" s="193">
        <f t="shared" si="36"/>
        <v>0</v>
      </c>
      <c r="BH140" s="193">
        <f t="shared" si="37"/>
        <v>0</v>
      </c>
      <c r="BI140" s="193">
        <f t="shared" si="38"/>
        <v>0</v>
      </c>
      <c r="BJ140" s="19" t="s">
        <v>79</v>
      </c>
      <c r="BK140" s="193">
        <f t="shared" si="39"/>
        <v>0</v>
      </c>
      <c r="BL140" s="19" t="s">
        <v>281</v>
      </c>
      <c r="BM140" s="192" t="s">
        <v>955</v>
      </c>
    </row>
    <row r="141" spans="1:65" s="2" customFormat="1" ht="16.5" customHeight="1">
      <c r="A141" s="36"/>
      <c r="B141" s="37"/>
      <c r="C141" s="181" t="s">
        <v>660</v>
      </c>
      <c r="D141" s="181" t="s">
        <v>382</v>
      </c>
      <c r="E141" s="182" t="s">
        <v>6838</v>
      </c>
      <c r="F141" s="183" t="s">
        <v>6801</v>
      </c>
      <c r="G141" s="184" t="s">
        <v>2393</v>
      </c>
      <c r="H141" s="185">
        <v>1</v>
      </c>
      <c r="I141" s="186"/>
      <c r="J141" s="187">
        <f t="shared" si="30"/>
        <v>0</v>
      </c>
      <c r="K141" s="183" t="s">
        <v>19</v>
      </c>
      <c r="L141" s="41"/>
      <c r="M141" s="188" t="s">
        <v>19</v>
      </c>
      <c r="N141" s="189" t="s">
        <v>43</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281</v>
      </c>
      <c r="AT141" s="192" t="s">
        <v>382</v>
      </c>
      <c r="AU141" s="192" t="s">
        <v>82</v>
      </c>
      <c r="AY141" s="19" t="s">
        <v>380</v>
      </c>
      <c r="BE141" s="193">
        <f t="shared" si="34"/>
        <v>0</v>
      </c>
      <c r="BF141" s="193">
        <f t="shared" si="35"/>
        <v>0</v>
      </c>
      <c r="BG141" s="193">
        <f t="shared" si="36"/>
        <v>0</v>
      </c>
      <c r="BH141" s="193">
        <f t="shared" si="37"/>
        <v>0</v>
      </c>
      <c r="BI141" s="193">
        <f t="shared" si="38"/>
        <v>0</v>
      </c>
      <c r="BJ141" s="19" t="s">
        <v>79</v>
      </c>
      <c r="BK141" s="193">
        <f t="shared" si="39"/>
        <v>0</v>
      </c>
      <c r="BL141" s="19" t="s">
        <v>281</v>
      </c>
      <c r="BM141" s="192" t="s">
        <v>963</v>
      </c>
    </row>
    <row r="142" spans="1:65" s="2" customFormat="1" ht="16.5" customHeight="1">
      <c r="A142" s="36"/>
      <c r="B142" s="37"/>
      <c r="C142" s="181" t="s">
        <v>664</v>
      </c>
      <c r="D142" s="181" t="s">
        <v>382</v>
      </c>
      <c r="E142" s="182" t="s">
        <v>6839</v>
      </c>
      <c r="F142" s="183" t="s">
        <v>6803</v>
      </c>
      <c r="G142" s="184" t="s">
        <v>2393</v>
      </c>
      <c r="H142" s="185">
        <v>2</v>
      </c>
      <c r="I142" s="186"/>
      <c r="J142" s="187">
        <f t="shared" si="30"/>
        <v>0</v>
      </c>
      <c r="K142" s="183" t="s">
        <v>19</v>
      </c>
      <c r="L142" s="41"/>
      <c r="M142" s="188" t="s">
        <v>19</v>
      </c>
      <c r="N142" s="189" t="s">
        <v>43</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281</v>
      </c>
      <c r="AT142" s="192" t="s">
        <v>382</v>
      </c>
      <c r="AU142" s="192" t="s">
        <v>82</v>
      </c>
      <c r="AY142" s="19" t="s">
        <v>380</v>
      </c>
      <c r="BE142" s="193">
        <f t="shared" si="34"/>
        <v>0</v>
      </c>
      <c r="BF142" s="193">
        <f t="shared" si="35"/>
        <v>0</v>
      </c>
      <c r="BG142" s="193">
        <f t="shared" si="36"/>
        <v>0</v>
      </c>
      <c r="BH142" s="193">
        <f t="shared" si="37"/>
        <v>0</v>
      </c>
      <c r="BI142" s="193">
        <f t="shared" si="38"/>
        <v>0</v>
      </c>
      <c r="BJ142" s="19" t="s">
        <v>79</v>
      </c>
      <c r="BK142" s="193">
        <f t="shared" si="39"/>
        <v>0</v>
      </c>
      <c r="BL142" s="19" t="s">
        <v>281</v>
      </c>
      <c r="BM142" s="192" t="s">
        <v>971</v>
      </c>
    </row>
    <row r="143" spans="1:65" s="2" customFormat="1" ht="16.5" customHeight="1">
      <c r="A143" s="36"/>
      <c r="B143" s="37"/>
      <c r="C143" s="181" t="s">
        <v>668</v>
      </c>
      <c r="D143" s="181" t="s">
        <v>382</v>
      </c>
      <c r="E143" s="182" t="s">
        <v>6840</v>
      </c>
      <c r="F143" s="183" t="s">
        <v>6805</v>
      </c>
      <c r="G143" s="184" t="s">
        <v>2393</v>
      </c>
      <c r="H143" s="185">
        <v>3</v>
      </c>
      <c r="I143" s="186"/>
      <c r="J143" s="187">
        <f t="shared" si="30"/>
        <v>0</v>
      </c>
      <c r="K143" s="183" t="s">
        <v>19</v>
      </c>
      <c r="L143" s="41"/>
      <c r="M143" s="188" t="s">
        <v>19</v>
      </c>
      <c r="N143" s="189" t="s">
        <v>43</v>
      </c>
      <c r="O143" s="66"/>
      <c r="P143" s="190">
        <f t="shared" si="31"/>
        <v>0</v>
      </c>
      <c r="Q143" s="190">
        <v>0</v>
      </c>
      <c r="R143" s="190">
        <f t="shared" si="32"/>
        <v>0</v>
      </c>
      <c r="S143" s="190">
        <v>0</v>
      </c>
      <c r="T143" s="191">
        <f t="shared" si="33"/>
        <v>0</v>
      </c>
      <c r="U143" s="36"/>
      <c r="V143" s="36"/>
      <c r="W143" s="36"/>
      <c r="X143" s="36"/>
      <c r="Y143" s="36"/>
      <c r="Z143" s="36"/>
      <c r="AA143" s="36"/>
      <c r="AB143" s="36"/>
      <c r="AC143" s="36"/>
      <c r="AD143" s="36"/>
      <c r="AE143" s="36"/>
      <c r="AR143" s="192" t="s">
        <v>281</v>
      </c>
      <c r="AT143" s="192" t="s">
        <v>382</v>
      </c>
      <c r="AU143" s="192" t="s">
        <v>82</v>
      </c>
      <c r="AY143" s="19" t="s">
        <v>380</v>
      </c>
      <c r="BE143" s="193">
        <f t="shared" si="34"/>
        <v>0</v>
      </c>
      <c r="BF143" s="193">
        <f t="shared" si="35"/>
        <v>0</v>
      </c>
      <c r="BG143" s="193">
        <f t="shared" si="36"/>
        <v>0</v>
      </c>
      <c r="BH143" s="193">
        <f t="shared" si="37"/>
        <v>0</v>
      </c>
      <c r="BI143" s="193">
        <f t="shared" si="38"/>
        <v>0</v>
      </c>
      <c r="BJ143" s="19" t="s">
        <v>79</v>
      </c>
      <c r="BK143" s="193">
        <f t="shared" si="39"/>
        <v>0</v>
      </c>
      <c r="BL143" s="19" t="s">
        <v>281</v>
      </c>
      <c r="BM143" s="192" t="s">
        <v>979</v>
      </c>
    </row>
    <row r="144" spans="1:65" s="2" customFormat="1" ht="16.5" customHeight="1">
      <c r="A144" s="36"/>
      <c r="B144" s="37"/>
      <c r="C144" s="181" t="s">
        <v>672</v>
      </c>
      <c r="D144" s="181" t="s">
        <v>382</v>
      </c>
      <c r="E144" s="182" t="s">
        <v>6841</v>
      </c>
      <c r="F144" s="183" t="s">
        <v>6807</v>
      </c>
      <c r="G144" s="184" t="s">
        <v>2393</v>
      </c>
      <c r="H144" s="185">
        <v>1</v>
      </c>
      <c r="I144" s="186"/>
      <c r="J144" s="187">
        <f t="shared" si="30"/>
        <v>0</v>
      </c>
      <c r="K144" s="183" t="s">
        <v>19</v>
      </c>
      <c r="L144" s="41"/>
      <c r="M144" s="188" t="s">
        <v>19</v>
      </c>
      <c r="N144" s="189" t="s">
        <v>43</v>
      </c>
      <c r="O144" s="66"/>
      <c r="P144" s="190">
        <f t="shared" si="31"/>
        <v>0</v>
      </c>
      <c r="Q144" s="190">
        <v>0</v>
      </c>
      <c r="R144" s="190">
        <f t="shared" si="32"/>
        <v>0</v>
      </c>
      <c r="S144" s="190">
        <v>0</v>
      </c>
      <c r="T144" s="191">
        <f t="shared" si="33"/>
        <v>0</v>
      </c>
      <c r="U144" s="36"/>
      <c r="V144" s="36"/>
      <c r="W144" s="36"/>
      <c r="X144" s="36"/>
      <c r="Y144" s="36"/>
      <c r="Z144" s="36"/>
      <c r="AA144" s="36"/>
      <c r="AB144" s="36"/>
      <c r="AC144" s="36"/>
      <c r="AD144" s="36"/>
      <c r="AE144" s="36"/>
      <c r="AR144" s="192" t="s">
        <v>281</v>
      </c>
      <c r="AT144" s="192" t="s">
        <v>382</v>
      </c>
      <c r="AU144" s="192" t="s">
        <v>82</v>
      </c>
      <c r="AY144" s="19" t="s">
        <v>380</v>
      </c>
      <c r="BE144" s="193">
        <f t="shared" si="34"/>
        <v>0</v>
      </c>
      <c r="BF144" s="193">
        <f t="shared" si="35"/>
        <v>0</v>
      </c>
      <c r="BG144" s="193">
        <f t="shared" si="36"/>
        <v>0</v>
      </c>
      <c r="BH144" s="193">
        <f t="shared" si="37"/>
        <v>0</v>
      </c>
      <c r="BI144" s="193">
        <f t="shared" si="38"/>
        <v>0</v>
      </c>
      <c r="BJ144" s="19" t="s">
        <v>79</v>
      </c>
      <c r="BK144" s="193">
        <f t="shared" si="39"/>
        <v>0</v>
      </c>
      <c r="BL144" s="19" t="s">
        <v>281</v>
      </c>
      <c r="BM144" s="192" t="s">
        <v>987</v>
      </c>
    </row>
    <row r="145" spans="1:65" s="2" customFormat="1" ht="16.5" customHeight="1">
      <c r="A145" s="36"/>
      <c r="B145" s="37"/>
      <c r="C145" s="181" t="s">
        <v>677</v>
      </c>
      <c r="D145" s="181" t="s">
        <v>382</v>
      </c>
      <c r="E145" s="182" t="s">
        <v>6842</v>
      </c>
      <c r="F145" s="183" t="s">
        <v>6809</v>
      </c>
      <c r="G145" s="184" t="s">
        <v>2393</v>
      </c>
      <c r="H145" s="185">
        <v>1</v>
      </c>
      <c r="I145" s="186"/>
      <c r="J145" s="187">
        <f t="shared" si="30"/>
        <v>0</v>
      </c>
      <c r="K145" s="183" t="s">
        <v>19</v>
      </c>
      <c r="L145" s="41"/>
      <c r="M145" s="188" t="s">
        <v>19</v>
      </c>
      <c r="N145" s="189" t="s">
        <v>43</v>
      </c>
      <c r="O145" s="66"/>
      <c r="P145" s="190">
        <f t="shared" si="31"/>
        <v>0</v>
      </c>
      <c r="Q145" s="190">
        <v>0</v>
      </c>
      <c r="R145" s="190">
        <f t="shared" si="32"/>
        <v>0</v>
      </c>
      <c r="S145" s="190">
        <v>0</v>
      </c>
      <c r="T145" s="191">
        <f t="shared" si="33"/>
        <v>0</v>
      </c>
      <c r="U145" s="36"/>
      <c r="V145" s="36"/>
      <c r="W145" s="36"/>
      <c r="X145" s="36"/>
      <c r="Y145" s="36"/>
      <c r="Z145" s="36"/>
      <c r="AA145" s="36"/>
      <c r="AB145" s="36"/>
      <c r="AC145" s="36"/>
      <c r="AD145" s="36"/>
      <c r="AE145" s="36"/>
      <c r="AR145" s="192" t="s">
        <v>281</v>
      </c>
      <c r="AT145" s="192" t="s">
        <v>382</v>
      </c>
      <c r="AU145" s="192" t="s">
        <v>82</v>
      </c>
      <c r="AY145" s="19" t="s">
        <v>380</v>
      </c>
      <c r="BE145" s="193">
        <f t="shared" si="34"/>
        <v>0</v>
      </c>
      <c r="BF145" s="193">
        <f t="shared" si="35"/>
        <v>0</v>
      </c>
      <c r="BG145" s="193">
        <f t="shared" si="36"/>
        <v>0</v>
      </c>
      <c r="BH145" s="193">
        <f t="shared" si="37"/>
        <v>0</v>
      </c>
      <c r="BI145" s="193">
        <f t="shared" si="38"/>
        <v>0</v>
      </c>
      <c r="BJ145" s="19" t="s">
        <v>79</v>
      </c>
      <c r="BK145" s="193">
        <f t="shared" si="39"/>
        <v>0</v>
      </c>
      <c r="BL145" s="19" t="s">
        <v>281</v>
      </c>
      <c r="BM145" s="192" t="s">
        <v>995</v>
      </c>
    </row>
    <row r="146" spans="1:65" s="2" customFormat="1" ht="16.5" customHeight="1">
      <c r="A146" s="36"/>
      <c r="B146" s="37"/>
      <c r="C146" s="181" t="s">
        <v>688</v>
      </c>
      <c r="D146" s="181" t="s">
        <v>382</v>
      </c>
      <c r="E146" s="182" t="s">
        <v>6843</v>
      </c>
      <c r="F146" s="183" t="s">
        <v>6811</v>
      </c>
      <c r="G146" s="184" t="s">
        <v>2393</v>
      </c>
      <c r="H146" s="185">
        <v>1</v>
      </c>
      <c r="I146" s="186"/>
      <c r="J146" s="187">
        <f t="shared" si="30"/>
        <v>0</v>
      </c>
      <c r="K146" s="183" t="s">
        <v>19</v>
      </c>
      <c r="L146" s="41"/>
      <c r="M146" s="188" t="s">
        <v>19</v>
      </c>
      <c r="N146" s="189" t="s">
        <v>43</v>
      </c>
      <c r="O146" s="66"/>
      <c r="P146" s="190">
        <f t="shared" si="31"/>
        <v>0</v>
      </c>
      <c r="Q146" s="190">
        <v>0</v>
      </c>
      <c r="R146" s="190">
        <f t="shared" si="32"/>
        <v>0</v>
      </c>
      <c r="S146" s="190">
        <v>0</v>
      </c>
      <c r="T146" s="191">
        <f t="shared" si="33"/>
        <v>0</v>
      </c>
      <c r="U146" s="36"/>
      <c r="V146" s="36"/>
      <c r="W146" s="36"/>
      <c r="X146" s="36"/>
      <c r="Y146" s="36"/>
      <c r="Z146" s="36"/>
      <c r="AA146" s="36"/>
      <c r="AB146" s="36"/>
      <c r="AC146" s="36"/>
      <c r="AD146" s="36"/>
      <c r="AE146" s="36"/>
      <c r="AR146" s="192" t="s">
        <v>281</v>
      </c>
      <c r="AT146" s="192" t="s">
        <v>382</v>
      </c>
      <c r="AU146" s="192" t="s">
        <v>82</v>
      </c>
      <c r="AY146" s="19" t="s">
        <v>380</v>
      </c>
      <c r="BE146" s="193">
        <f t="shared" si="34"/>
        <v>0</v>
      </c>
      <c r="BF146" s="193">
        <f t="shared" si="35"/>
        <v>0</v>
      </c>
      <c r="BG146" s="193">
        <f t="shared" si="36"/>
        <v>0</v>
      </c>
      <c r="BH146" s="193">
        <f t="shared" si="37"/>
        <v>0</v>
      </c>
      <c r="BI146" s="193">
        <f t="shared" si="38"/>
        <v>0</v>
      </c>
      <c r="BJ146" s="19" t="s">
        <v>79</v>
      </c>
      <c r="BK146" s="193">
        <f t="shared" si="39"/>
        <v>0</v>
      </c>
      <c r="BL146" s="19" t="s">
        <v>281</v>
      </c>
      <c r="BM146" s="192" t="s">
        <v>154</v>
      </c>
    </row>
    <row r="147" spans="1:65" s="2" customFormat="1" ht="16.5" customHeight="1">
      <c r="A147" s="36"/>
      <c r="B147" s="37"/>
      <c r="C147" s="181" t="s">
        <v>699</v>
      </c>
      <c r="D147" s="181" t="s">
        <v>382</v>
      </c>
      <c r="E147" s="182" t="s">
        <v>6844</v>
      </c>
      <c r="F147" s="183" t="s">
        <v>6813</v>
      </c>
      <c r="G147" s="184" t="s">
        <v>2393</v>
      </c>
      <c r="H147" s="185">
        <v>1</v>
      </c>
      <c r="I147" s="186"/>
      <c r="J147" s="187">
        <f t="shared" si="30"/>
        <v>0</v>
      </c>
      <c r="K147" s="183" t="s">
        <v>19</v>
      </c>
      <c r="L147" s="41"/>
      <c r="M147" s="188" t="s">
        <v>19</v>
      </c>
      <c r="N147" s="189" t="s">
        <v>43</v>
      </c>
      <c r="O147" s="66"/>
      <c r="P147" s="190">
        <f t="shared" si="31"/>
        <v>0</v>
      </c>
      <c r="Q147" s="190">
        <v>0</v>
      </c>
      <c r="R147" s="190">
        <f t="shared" si="32"/>
        <v>0</v>
      </c>
      <c r="S147" s="190">
        <v>0</v>
      </c>
      <c r="T147" s="191">
        <f t="shared" si="33"/>
        <v>0</v>
      </c>
      <c r="U147" s="36"/>
      <c r="V147" s="36"/>
      <c r="W147" s="36"/>
      <c r="X147" s="36"/>
      <c r="Y147" s="36"/>
      <c r="Z147" s="36"/>
      <c r="AA147" s="36"/>
      <c r="AB147" s="36"/>
      <c r="AC147" s="36"/>
      <c r="AD147" s="36"/>
      <c r="AE147" s="36"/>
      <c r="AR147" s="192" t="s">
        <v>281</v>
      </c>
      <c r="AT147" s="192" t="s">
        <v>382</v>
      </c>
      <c r="AU147" s="192" t="s">
        <v>82</v>
      </c>
      <c r="AY147" s="19" t="s">
        <v>380</v>
      </c>
      <c r="BE147" s="193">
        <f t="shared" si="34"/>
        <v>0</v>
      </c>
      <c r="BF147" s="193">
        <f t="shared" si="35"/>
        <v>0</v>
      </c>
      <c r="BG147" s="193">
        <f t="shared" si="36"/>
        <v>0</v>
      </c>
      <c r="BH147" s="193">
        <f t="shared" si="37"/>
        <v>0</v>
      </c>
      <c r="BI147" s="193">
        <f t="shared" si="38"/>
        <v>0</v>
      </c>
      <c r="BJ147" s="19" t="s">
        <v>79</v>
      </c>
      <c r="BK147" s="193">
        <f t="shared" si="39"/>
        <v>0</v>
      </c>
      <c r="BL147" s="19" t="s">
        <v>281</v>
      </c>
      <c r="BM147" s="192" t="s">
        <v>160</v>
      </c>
    </row>
    <row r="148" spans="1:65" s="2" customFormat="1" ht="16.5" customHeight="1">
      <c r="A148" s="36"/>
      <c r="B148" s="37"/>
      <c r="C148" s="181" t="s">
        <v>703</v>
      </c>
      <c r="D148" s="181" t="s">
        <v>382</v>
      </c>
      <c r="E148" s="182" t="s">
        <v>6845</v>
      </c>
      <c r="F148" s="183" t="s">
        <v>6815</v>
      </c>
      <c r="G148" s="184" t="s">
        <v>2393</v>
      </c>
      <c r="H148" s="185">
        <v>1</v>
      </c>
      <c r="I148" s="186"/>
      <c r="J148" s="187">
        <f t="shared" si="30"/>
        <v>0</v>
      </c>
      <c r="K148" s="183" t="s">
        <v>19</v>
      </c>
      <c r="L148" s="41"/>
      <c r="M148" s="188" t="s">
        <v>19</v>
      </c>
      <c r="N148" s="189" t="s">
        <v>43</v>
      </c>
      <c r="O148" s="66"/>
      <c r="P148" s="190">
        <f t="shared" si="31"/>
        <v>0</v>
      </c>
      <c r="Q148" s="190">
        <v>0</v>
      </c>
      <c r="R148" s="190">
        <f t="shared" si="32"/>
        <v>0</v>
      </c>
      <c r="S148" s="190">
        <v>0</v>
      </c>
      <c r="T148" s="191">
        <f t="shared" si="33"/>
        <v>0</v>
      </c>
      <c r="U148" s="36"/>
      <c r="V148" s="36"/>
      <c r="W148" s="36"/>
      <c r="X148" s="36"/>
      <c r="Y148" s="36"/>
      <c r="Z148" s="36"/>
      <c r="AA148" s="36"/>
      <c r="AB148" s="36"/>
      <c r="AC148" s="36"/>
      <c r="AD148" s="36"/>
      <c r="AE148" s="36"/>
      <c r="AR148" s="192" t="s">
        <v>281</v>
      </c>
      <c r="AT148" s="192" t="s">
        <v>382</v>
      </c>
      <c r="AU148" s="192" t="s">
        <v>82</v>
      </c>
      <c r="AY148" s="19" t="s">
        <v>380</v>
      </c>
      <c r="BE148" s="193">
        <f t="shared" si="34"/>
        <v>0</v>
      </c>
      <c r="BF148" s="193">
        <f t="shared" si="35"/>
        <v>0</v>
      </c>
      <c r="BG148" s="193">
        <f t="shared" si="36"/>
        <v>0</v>
      </c>
      <c r="BH148" s="193">
        <f t="shared" si="37"/>
        <v>0</v>
      </c>
      <c r="BI148" s="193">
        <f t="shared" si="38"/>
        <v>0</v>
      </c>
      <c r="BJ148" s="19" t="s">
        <v>79</v>
      </c>
      <c r="BK148" s="193">
        <f t="shared" si="39"/>
        <v>0</v>
      </c>
      <c r="BL148" s="19" t="s">
        <v>281</v>
      </c>
      <c r="BM148" s="192" t="s">
        <v>163</v>
      </c>
    </row>
    <row r="149" spans="1:65" s="2" customFormat="1" ht="16.5" customHeight="1">
      <c r="A149" s="36"/>
      <c r="B149" s="37"/>
      <c r="C149" s="181" t="s">
        <v>709</v>
      </c>
      <c r="D149" s="181" t="s">
        <v>382</v>
      </c>
      <c r="E149" s="182" t="s">
        <v>6846</v>
      </c>
      <c r="F149" s="183" t="s">
        <v>6817</v>
      </c>
      <c r="G149" s="184" t="s">
        <v>2393</v>
      </c>
      <c r="H149" s="185">
        <v>1</v>
      </c>
      <c r="I149" s="186"/>
      <c r="J149" s="187">
        <f t="shared" si="30"/>
        <v>0</v>
      </c>
      <c r="K149" s="183" t="s">
        <v>19</v>
      </c>
      <c r="L149" s="41"/>
      <c r="M149" s="252" t="s">
        <v>19</v>
      </c>
      <c r="N149" s="253" t="s">
        <v>43</v>
      </c>
      <c r="O149" s="254"/>
      <c r="P149" s="255">
        <f t="shared" si="31"/>
        <v>0</v>
      </c>
      <c r="Q149" s="255">
        <v>0</v>
      </c>
      <c r="R149" s="255">
        <f t="shared" si="32"/>
        <v>0</v>
      </c>
      <c r="S149" s="255">
        <v>0</v>
      </c>
      <c r="T149" s="256">
        <f t="shared" si="33"/>
        <v>0</v>
      </c>
      <c r="U149" s="36"/>
      <c r="V149" s="36"/>
      <c r="W149" s="36"/>
      <c r="X149" s="36"/>
      <c r="Y149" s="36"/>
      <c r="Z149" s="36"/>
      <c r="AA149" s="36"/>
      <c r="AB149" s="36"/>
      <c r="AC149" s="36"/>
      <c r="AD149" s="36"/>
      <c r="AE149" s="36"/>
      <c r="AR149" s="192" t="s">
        <v>281</v>
      </c>
      <c r="AT149" s="192" t="s">
        <v>382</v>
      </c>
      <c r="AU149" s="192" t="s">
        <v>82</v>
      </c>
      <c r="AY149" s="19" t="s">
        <v>380</v>
      </c>
      <c r="BE149" s="193">
        <f t="shared" si="34"/>
        <v>0</v>
      </c>
      <c r="BF149" s="193">
        <f t="shared" si="35"/>
        <v>0</v>
      </c>
      <c r="BG149" s="193">
        <f t="shared" si="36"/>
        <v>0</v>
      </c>
      <c r="BH149" s="193">
        <f t="shared" si="37"/>
        <v>0</v>
      </c>
      <c r="BI149" s="193">
        <f t="shared" si="38"/>
        <v>0</v>
      </c>
      <c r="BJ149" s="19" t="s">
        <v>79</v>
      </c>
      <c r="BK149" s="193">
        <f t="shared" si="39"/>
        <v>0</v>
      </c>
      <c r="BL149" s="19" t="s">
        <v>281</v>
      </c>
      <c r="BM149" s="192" t="s">
        <v>1029</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ermhLoioCRAoP9MBrxATkbdJ/cWNbTNodGhF6BCGYzJyb/wyE82SGBQ6rel9MN6MiPtBRqQNjIZUHzZBUEJXcQ==" saltValue="BGMfHqv+GH9S408RYVdEZ7U97eibhIIv9qRAbqv2ZXT6yOk8wilrO4uG7Py7wxRTeGWeO/9FSIh2K/7Ob6tLXQ==" spinCount="100000" sheet="1" objects="1" scenarios="1" formatColumns="0" formatRows="0" autoFilter="0"/>
  <autoFilter ref="C86:K149" xr:uid="{00000000-0009-0000-0000-000039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6847</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ROUND((SUM(BE83:BE97)),  2)</f>
        <v>0</v>
      </c>
      <c r="G33" s="36"/>
      <c r="H33" s="36"/>
      <c r="I33" s="127">
        <v>0.21</v>
      </c>
      <c r="J33" s="126">
        <f>ROUND(((SUM(BE83:BE97))*I33),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ROUND((SUM(BF83:BF97)),  2)</f>
        <v>0</v>
      </c>
      <c r="G34" s="36"/>
      <c r="H34" s="36"/>
      <c r="I34" s="127">
        <v>0.15</v>
      </c>
      <c r="J34" s="126">
        <f>ROUND(((SUM(BF83:BF97))*I34),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ROUND((SUM(BG83:BG97)),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ROUND((SUM(BH83:BH97)),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ROUND((SUM(BI83:BI97)),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03 - REGÁLOVÉ SYSTÉMY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6848</v>
      </c>
      <c r="E60" s="146"/>
      <c r="F60" s="146"/>
      <c r="G60" s="146"/>
      <c r="H60" s="146"/>
      <c r="I60" s="146"/>
      <c r="J60" s="147">
        <f>J84</f>
        <v>0</v>
      </c>
      <c r="K60" s="144"/>
      <c r="L60" s="148"/>
    </row>
    <row r="61" spans="1:47" s="9" customFormat="1" ht="24.95" customHeight="1">
      <c r="B61" s="143"/>
      <c r="C61" s="144"/>
      <c r="D61" s="145" t="s">
        <v>6849</v>
      </c>
      <c r="E61" s="146"/>
      <c r="F61" s="146"/>
      <c r="G61" s="146"/>
      <c r="H61" s="146"/>
      <c r="I61" s="146"/>
      <c r="J61" s="147">
        <f>J89</f>
        <v>0</v>
      </c>
      <c r="K61" s="144"/>
      <c r="L61" s="148"/>
    </row>
    <row r="62" spans="1:47" s="9" customFormat="1" ht="24.95" customHeight="1">
      <c r="B62" s="143"/>
      <c r="C62" s="144"/>
      <c r="D62" s="145" t="s">
        <v>6850</v>
      </c>
      <c r="E62" s="146"/>
      <c r="F62" s="146"/>
      <c r="G62" s="146"/>
      <c r="H62" s="146"/>
      <c r="I62" s="146"/>
      <c r="J62" s="147">
        <f>J92</f>
        <v>0</v>
      </c>
      <c r="K62" s="144"/>
      <c r="L62" s="148"/>
    </row>
    <row r="63" spans="1:47" s="9" customFormat="1" ht="24.95" customHeight="1">
      <c r="B63" s="143"/>
      <c r="C63" s="144"/>
      <c r="D63" s="145" t="s">
        <v>6851</v>
      </c>
      <c r="E63" s="146"/>
      <c r="F63" s="146"/>
      <c r="G63" s="146"/>
      <c r="H63" s="146"/>
      <c r="I63" s="146"/>
      <c r="J63" s="147">
        <f>J95</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365</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282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PS 03 - REGÁLOVÉ SYSTÉMY</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4. 8. 2021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366</v>
      </c>
      <c r="D82" s="157" t="s">
        <v>57</v>
      </c>
      <c r="E82" s="157" t="s">
        <v>53</v>
      </c>
      <c r="F82" s="157" t="s">
        <v>54</v>
      </c>
      <c r="G82" s="157" t="s">
        <v>367</v>
      </c>
      <c r="H82" s="157" t="s">
        <v>368</v>
      </c>
      <c r="I82" s="157" t="s">
        <v>369</v>
      </c>
      <c r="J82" s="157" t="s">
        <v>334</v>
      </c>
      <c r="K82" s="158" t="s">
        <v>370</v>
      </c>
      <c r="L82" s="159"/>
      <c r="M82" s="70" t="s">
        <v>19</v>
      </c>
      <c r="N82" s="71" t="s">
        <v>42</v>
      </c>
      <c r="O82" s="71" t="s">
        <v>371</v>
      </c>
      <c r="P82" s="71" t="s">
        <v>372</v>
      </c>
      <c r="Q82" s="71" t="s">
        <v>373</v>
      </c>
      <c r="R82" s="71" t="s">
        <v>374</v>
      </c>
      <c r="S82" s="71" t="s">
        <v>375</v>
      </c>
      <c r="T82" s="72" t="s">
        <v>376</v>
      </c>
      <c r="U82" s="154"/>
      <c r="V82" s="154"/>
      <c r="W82" s="154"/>
      <c r="X82" s="154"/>
      <c r="Y82" s="154"/>
      <c r="Z82" s="154"/>
      <c r="AA82" s="154"/>
      <c r="AB82" s="154"/>
      <c r="AC82" s="154"/>
      <c r="AD82" s="154"/>
      <c r="AE82" s="154"/>
    </row>
    <row r="83" spans="1:65" s="2" customFormat="1" ht="22.9" customHeight="1">
      <c r="A83" s="36"/>
      <c r="B83" s="37"/>
      <c r="C83" s="77" t="s">
        <v>377</v>
      </c>
      <c r="D83" s="38"/>
      <c r="E83" s="38"/>
      <c r="F83" s="38"/>
      <c r="G83" s="38"/>
      <c r="H83" s="38"/>
      <c r="I83" s="38"/>
      <c r="J83" s="160">
        <f>BK83</f>
        <v>0</v>
      </c>
      <c r="K83" s="38"/>
      <c r="L83" s="41"/>
      <c r="M83" s="73"/>
      <c r="N83" s="161"/>
      <c r="O83" s="74"/>
      <c r="P83" s="162">
        <f>P84+P89+P92+P95</f>
        <v>0</v>
      </c>
      <c r="Q83" s="74"/>
      <c r="R83" s="162">
        <f>R84+R89+R92+R95</f>
        <v>0</v>
      </c>
      <c r="S83" s="74"/>
      <c r="T83" s="163">
        <f>T84+T89+T92+T95</f>
        <v>0</v>
      </c>
      <c r="U83" s="36"/>
      <c r="V83" s="36"/>
      <c r="W83" s="36"/>
      <c r="X83" s="36"/>
      <c r="Y83" s="36"/>
      <c r="Z83" s="36"/>
      <c r="AA83" s="36"/>
      <c r="AB83" s="36"/>
      <c r="AC83" s="36"/>
      <c r="AD83" s="36"/>
      <c r="AE83" s="36"/>
      <c r="AT83" s="19" t="s">
        <v>71</v>
      </c>
      <c r="AU83" s="19" t="s">
        <v>335</v>
      </c>
      <c r="BK83" s="164">
        <f>BK84+BK89+BK92+BK95</f>
        <v>0</v>
      </c>
    </row>
    <row r="84" spans="1:65" s="12" customFormat="1" ht="25.9" customHeight="1">
      <c r="B84" s="165"/>
      <c r="C84" s="166"/>
      <c r="D84" s="167" t="s">
        <v>71</v>
      </c>
      <c r="E84" s="168" t="s">
        <v>4693</v>
      </c>
      <c r="F84" s="168" t="s">
        <v>6852</v>
      </c>
      <c r="G84" s="166"/>
      <c r="H84" s="166"/>
      <c r="I84" s="169"/>
      <c r="J84" s="170">
        <f>BK84</f>
        <v>0</v>
      </c>
      <c r="K84" s="166"/>
      <c r="L84" s="171"/>
      <c r="M84" s="172"/>
      <c r="N84" s="173"/>
      <c r="O84" s="173"/>
      <c r="P84" s="174">
        <f>SUM(P85:P88)</f>
        <v>0</v>
      </c>
      <c r="Q84" s="173"/>
      <c r="R84" s="174">
        <f>SUM(R85:R88)</f>
        <v>0</v>
      </c>
      <c r="S84" s="173"/>
      <c r="T84" s="175">
        <f>SUM(T85:T88)</f>
        <v>0</v>
      </c>
      <c r="AR84" s="176" t="s">
        <v>79</v>
      </c>
      <c r="AT84" s="177" t="s">
        <v>71</v>
      </c>
      <c r="AU84" s="177" t="s">
        <v>72</v>
      </c>
      <c r="AY84" s="176" t="s">
        <v>380</v>
      </c>
      <c r="BK84" s="178">
        <f>SUM(BK85:BK88)</f>
        <v>0</v>
      </c>
    </row>
    <row r="85" spans="1:65" s="2" customFormat="1" ht="16.5" customHeight="1">
      <c r="A85" s="36"/>
      <c r="B85" s="37"/>
      <c r="C85" s="181" t="s">
        <v>79</v>
      </c>
      <c r="D85" s="181" t="s">
        <v>382</v>
      </c>
      <c r="E85" s="182" t="s">
        <v>6853</v>
      </c>
      <c r="F85" s="183" t="s">
        <v>6854</v>
      </c>
      <c r="G85" s="184" t="s">
        <v>2393</v>
      </c>
      <c r="H85" s="185">
        <v>56</v>
      </c>
      <c r="I85" s="186"/>
      <c r="J85" s="187">
        <f>ROUND(I85*H85,2)</f>
        <v>0</v>
      </c>
      <c r="K85" s="183" t="s">
        <v>19</v>
      </c>
      <c r="L85" s="41"/>
      <c r="M85" s="188" t="s">
        <v>19</v>
      </c>
      <c r="N85" s="189"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281</v>
      </c>
      <c r="AT85" s="192" t="s">
        <v>382</v>
      </c>
      <c r="AU85" s="192" t="s">
        <v>79</v>
      </c>
      <c r="AY85" s="19" t="s">
        <v>380</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281</v>
      </c>
      <c r="BM85" s="192" t="s">
        <v>82</v>
      </c>
    </row>
    <row r="86" spans="1:65" s="2" customFormat="1" ht="16.5" customHeight="1">
      <c r="A86" s="36"/>
      <c r="B86" s="37"/>
      <c r="C86" s="181" t="s">
        <v>82</v>
      </c>
      <c r="D86" s="181" t="s">
        <v>382</v>
      </c>
      <c r="E86" s="182" t="s">
        <v>6855</v>
      </c>
      <c r="F86" s="183" t="s">
        <v>6856</v>
      </c>
      <c r="G86" s="184" t="s">
        <v>2393</v>
      </c>
      <c r="H86" s="185">
        <v>12</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281</v>
      </c>
      <c r="AT86" s="192" t="s">
        <v>382</v>
      </c>
      <c r="AU86" s="192" t="s">
        <v>79</v>
      </c>
      <c r="AY86" s="19" t="s">
        <v>380</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281</v>
      </c>
      <c r="BM86" s="192" t="s">
        <v>386</v>
      </c>
    </row>
    <row r="87" spans="1:65" s="2" customFormat="1" ht="16.5" customHeight="1">
      <c r="A87" s="36"/>
      <c r="B87" s="37"/>
      <c r="C87" s="181" t="s">
        <v>99</v>
      </c>
      <c r="D87" s="181" t="s">
        <v>382</v>
      </c>
      <c r="E87" s="182" t="s">
        <v>6857</v>
      </c>
      <c r="F87" s="183" t="s">
        <v>6858</v>
      </c>
      <c r="G87" s="184" t="s">
        <v>2393</v>
      </c>
      <c r="H87" s="185">
        <v>56</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281</v>
      </c>
      <c r="AT87" s="192" t="s">
        <v>382</v>
      </c>
      <c r="AU87" s="192" t="s">
        <v>79</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281</v>
      </c>
      <c r="BM87" s="192" t="s">
        <v>411</v>
      </c>
    </row>
    <row r="88" spans="1:65" s="2" customFormat="1" ht="16.5" customHeight="1">
      <c r="A88" s="36"/>
      <c r="B88" s="37"/>
      <c r="C88" s="181" t="s">
        <v>386</v>
      </c>
      <c r="D88" s="181" t="s">
        <v>382</v>
      </c>
      <c r="E88" s="182" t="s">
        <v>6859</v>
      </c>
      <c r="F88" s="183" t="s">
        <v>6860</v>
      </c>
      <c r="G88" s="184" t="s">
        <v>2393</v>
      </c>
      <c r="H88" s="185">
        <v>12</v>
      </c>
      <c r="I88" s="186"/>
      <c r="J88" s="187">
        <f>ROUND(I88*H88,2)</f>
        <v>0</v>
      </c>
      <c r="K88" s="183" t="s">
        <v>19</v>
      </c>
      <c r="L88" s="41"/>
      <c r="M88" s="188" t="s">
        <v>19</v>
      </c>
      <c r="N88" s="189"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281</v>
      </c>
      <c r="AT88" s="192" t="s">
        <v>382</v>
      </c>
      <c r="AU88" s="192" t="s">
        <v>79</v>
      </c>
      <c r="AY88" s="19" t="s">
        <v>380</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281</v>
      </c>
      <c r="BM88" s="192" t="s">
        <v>424</v>
      </c>
    </row>
    <row r="89" spans="1:65" s="12" customFormat="1" ht="25.9" customHeight="1">
      <c r="B89" s="165"/>
      <c r="C89" s="166"/>
      <c r="D89" s="167" t="s">
        <v>71</v>
      </c>
      <c r="E89" s="168" t="s">
        <v>6469</v>
      </c>
      <c r="F89" s="168" t="s">
        <v>6861</v>
      </c>
      <c r="G89" s="166"/>
      <c r="H89" s="166"/>
      <c r="I89" s="169"/>
      <c r="J89" s="170">
        <f>BK89</f>
        <v>0</v>
      </c>
      <c r="K89" s="166"/>
      <c r="L89" s="171"/>
      <c r="M89" s="172"/>
      <c r="N89" s="173"/>
      <c r="O89" s="173"/>
      <c r="P89" s="174">
        <f>SUM(P90:P91)</f>
        <v>0</v>
      </c>
      <c r="Q89" s="173"/>
      <c r="R89" s="174">
        <f>SUM(R90:R91)</f>
        <v>0</v>
      </c>
      <c r="S89" s="173"/>
      <c r="T89" s="175">
        <f>SUM(T90:T91)</f>
        <v>0</v>
      </c>
      <c r="AR89" s="176" t="s">
        <v>79</v>
      </c>
      <c r="AT89" s="177" t="s">
        <v>71</v>
      </c>
      <c r="AU89" s="177" t="s">
        <v>72</v>
      </c>
      <c r="AY89" s="176" t="s">
        <v>380</v>
      </c>
      <c r="BK89" s="178">
        <f>SUM(BK90:BK91)</f>
        <v>0</v>
      </c>
    </row>
    <row r="90" spans="1:65" s="2" customFormat="1" ht="16.5" customHeight="1">
      <c r="A90" s="36"/>
      <c r="B90" s="37"/>
      <c r="C90" s="181" t="s">
        <v>405</v>
      </c>
      <c r="D90" s="181" t="s">
        <v>382</v>
      </c>
      <c r="E90" s="182" t="s">
        <v>6862</v>
      </c>
      <c r="F90" s="183" t="s">
        <v>6860</v>
      </c>
      <c r="G90" s="184" t="s">
        <v>2393</v>
      </c>
      <c r="H90" s="185">
        <v>36</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281</v>
      </c>
      <c r="AT90" s="192" t="s">
        <v>382</v>
      </c>
      <c r="AU90" s="192" t="s">
        <v>79</v>
      </c>
      <c r="AY90" s="19" t="s">
        <v>380</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281</v>
      </c>
      <c r="BM90" s="192" t="s">
        <v>122</v>
      </c>
    </row>
    <row r="91" spans="1:65" s="2" customFormat="1" ht="16.5" customHeight="1">
      <c r="A91" s="36"/>
      <c r="B91" s="37"/>
      <c r="C91" s="181" t="s">
        <v>411</v>
      </c>
      <c r="D91" s="181" t="s">
        <v>382</v>
      </c>
      <c r="E91" s="182" t="s">
        <v>6863</v>
      </c>
      <c r="F91" s="183" t="s">
        <v>6856</v>
      </c>
      <c r="G91" s="184" t="s">
        <v>2393</v>
      </c>
      <c r="H91" s="185">
        <v>36</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281</v>
      </c>
      <c r="AT91" s="192" t="s">
        <v>382</v>
      </c>
      <c r="AU91" s="192" t="s">
        <v>79</v>
      </c>
      <c r="AY91" s="19" t="s">
        <v>380</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281</v>
      </c>
      <c r="BM91" s="192" t="s">
        <v>128</v>
      </c>
    </row>
    <row r="92" spans="1:65" s="12" customFormat="1" ht="25.9" customHeight="1">
      <c r="B92" s="165"/>
      <c r="C92" s="166"/>
      <c r="D92" s="167" t="s">
        <v>71</v>
      </c>
      <c r="E92" s="168" t="s">
        <v>6526</v>
      </c>
      <c r="F92" s="168" t="s">
        <v>6864</v>
      </c>
      <c r="G92" s="166"/>
      <c r="H92" s="166"/>
      <c r="I92" s="169"/>
      <c r="J92" s="170">
        <f>BK92</f>
        <v>0</v>
      </c>
      <c r="K92" s="166"/>
      <c r="L92" s="171"/>
      <c r="M92" s="172"/>
      <c r="N92" s="173"/>
      <c r="O92" s="173"/>
      <c r="P92" s="174">
        <f>SUM(P93:P94)</f>
        <v>0</v>
      </c>
      <c r="Q92" s="173"/>
      <c r="R92" s="174">
        <f>SUM(R93:R94)</f>
        <v>0</v>
      </c>
      <c r="S92" s="173"/>
      <c r="T92" s="175">
        <f>SUM(T93:T94)</f>
        <v>0</v>
      </c>
      <c r="AR92" s="176" t="s">
        <v>79</v>
      </c>
      <c r="AT92" s="177" t="s">
        <v>71</v>
      </c>
      <c r="AU92" s="177" t="s">
        <v>72</v>
      </c>
      <c r="AY92" s="176" t="s">
        <v>380</v>
      </c>
      <c r="BK92" s="178">
        <f>SUM(BK93:BK94)</f>
        <v>0</v>
      </c>
    </row>
    <row r="93" spans="1:65" s="2" customFormat="1" ht="16.5" customHeight="1">
      <c r="A93" s="36"/>
      <c r="B93" s="37"/>
      <c r="C93" s="181" t="s">
        <v>420</v>
      </c>
      <c r="D93" s="181" t="s">
        <v>382</v>
      </c>
      <c r="E93" s="182" t="s">
        <v>6865</v>
      </c>
      <c r="F93" s="183" t="s">
        <v>6866</v>
      </c>
      <c r="G93" s="184" t="s">
        <v>2393</v>
      </c>
      <c r="H93" s="185">
        <v>2</v>
      </c>
      <c r="I93" s="186"/>
      <c r="J93" s="187">
        <f>ROUND(I93*H93,2)</f>
        <v>0</v>
      </c>
      <c r="K93" s="183" t="s">
        <v>19</v>
      </c>
      <c r="L93" s="41"/>
      <c r="M93" s="188" t="s">
        <v>19</v>
      </c>
      <c r="N93" s="189" t="s">
        <v>43</v>
      </c>
      <c r="O93" s="66"/>
      <c r="P93" s="190">
        <f>O93*H93</f>
        <v>0</v>
      </c>
      <c r="Q93" s="190">
        <v>0</v>
      </c>
      <c r="R93" s="190">
        <f>Q93*H93</f>
        <v>0</v>
      </c>
      <c r="S93" s="190">
        <v>0</v>
      </c>
      <c r="T93" s="191">
        <f>S93*H93</f>
        <v>0</v>
      </c>
      <c r="U93" s="36"/>
      <c r="V93" s="36"/>
      <c r="W93" s="36"/>
      <c r="X93" s="36"/>
      <c r="Y93" s="36"/>
      <c r="Z93" s="36"/>
      <c r="AA93" s="36"/>
      <c r="AB93" s="36"/>
      <c r="AC93" s="36"/>
      <c r="AD93" s="36"/>
      <c r="AE93" s="36"/>
      <c r="AR93" s="192" t="s">
        <v>281</v>
      </c>
      <c r="AT93" s="192" t="s">
        <v>382</v>
      </c>
      <c r="AU93" s="192" t="s">
        <v>79</v>
      </c>
      <c r="AY93" s="19" t="s">
        <v>380</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281</v>
      </c>
      <c r="BM93" s="192" t="s">
        <v>134</v>
      </c>
    </row>
    <row r="94" spans="1:65" s="2" customFormat="1" ht="16.5" customHeight="1">
      <c r="A94" s="36"/>
      <c r="B94" s="37"/>
      <c r="C94" s="181" t="s">
        <v>424</v>
      </c>
      <c r="D94" s="181" t="s">
        <v>382</v>
      </c>
      <c r="E94" s="182" t="s">
        <v>6867</v>
      </c>
      <c r="F94" s="183" t="s">
        <v>6868</v>
      </c>
      <c r="G94" s="184" t="s">
        <v>2393</v>
      </c>
      <c r="H94" s="185">
        <v>8</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281</v>
      </c>
      <c r="AT94" s="192" t="s">
        <v>382</v>
      </c>
      <c r="AU94" s="192" t="s">
        <v>79</v>
      </c>
      <c r="AY94" s="19" t="s">
        <v>380</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281</v>
      </c>
      <c r="BM94" s="192" t="s">
        <v>281</v>
      </c>
    </row>
    <row r="95" spans="1:65" s="12" customFormat="1" ht="25.9" customHeight="1">
      <c r="B95" s="165"/>
      <c r="C95" s="166"/>
      <c r="D95" s="167" t="s">
        <v>71</v>
      </c>
      <c r="E95" s="168" t="s">
        <v>6534</v>
      </c>
      <c r="F95" s="168" t="s">
        <v>6869</v>
      </c>
      <c r="G95" s="166"/>
      <c r="H95" s="166"/>
      <c r="I95" s="169"/>
      <c r="J95" s="170">
        <f>BK95</f>
        <v>0</v>
      </c>
      <c r="K95" s="166"/>
      <c r="L95" s="171"/>
      <c r="M95" s="172"/>
      <c r="N95" s="173"/>
      <c r="O95" s="173"/>
      <c r="P95" s="174">
        <f>SUM(P96:P97)</f>
        <v>0</v>
      </c>
      <c r="Q95" s="173"/>
      <c r="R95" s="174">
        <f>SUM(R96:R97)</f>
        <v>0</v>
      </c>
      <c r="S95" s="173"/>
      <c r="T95" s="175">
        <f>SUM(T96:T97)</f>
        <v>0</v>
      </c>
      <c r="AR95" s="176" t="s">
        <v>79</v>
      </c>
      <c r="AT95" s="177" t="s">
        <v>71</v>
      </c>
      <c r="AU95" s="177" t="s">
        <v>72</v>
      </c>
      <c r="AY95" s="176" t="s">
        <v>380</v>
      </c>
      <c r="BK95" s="178">
        <f>SUM(BK96:BK97)</f>
        <v>0</v>
      </c>
    </row>
    <row r="96" spans="1:65" s="2" customFormat="1" ht="16.5" customHeight="1">
      <c r="A96" s="36"/>
      <c r="B96" s="37"/>
      <c r="C96" s="181" t="s">
        <v>430</v>
      </c>
      <c r="D96" s="181" t="s">
        <v>382</v>
      </c>
      <c r="E96" s="182" t="s">
        <v>6870</v>
      </c>
      <c r="F96" s="183" t="s">
        <v>6871</v>
      </c>
      <c r="G96" s="184" t="s">
        <v>2393</v>
      </c>
      <c r="H96" s="185">
        <v>1</v>
      </c>
      <c r="I96" s="186"/>
      <c r="J96" s="187">
        <f>ROUND(I96*H96,2)</f>
        <v>0</v>
      </c>
      <c r="K96" s="183" t="s">
        <v>19</v>
      </c>
      <c r="L96" s="41"/>
      <c r="M96" s="188" t="s">
        <v>19</v>
      </c>
      <c r="N96" s="189" t="s">
        <v>43</v>
      </c>
      <c r="O96" s="66"/>
      <c r="P96" s="190">
        <f>O96*H96</f>
        <v>0</v>
      </c>
      <c r="Q96" s="190">
        <v>0</v>
      </c>
      <c r="R96" s="190">
        <f>Q96*H96</f>
        <v>0</v>
      </c>
      <c r="S96" s="190">
        <v>0</v>
      </c>
      <c r="T96" s="191">
        <f>S96*H96</f>
        <v>0</v>
      </c>
      <c r="U96" s="36"/>
      <c r="V96" s="36"/>
      <c r="W96" s="36"/>
      <c r="X96" s="36"/>
      <c r="Y96" s="36"/>
      <c r="Z96" s="36"/>
      <c r="AA96" s="36"/>
      <c r="AB96" s="36"/>
      <c r="AC96" s="36"/>
      <c r="AD96" s="36"/>
      <c r="AE96" s="36"/>
      <c r="AR96" s="192" t="s">
        <v>281</v>
      </c>
      <c r="AT96" s="192" t="s">
        <v>382</v>
      </c>
      <c r="AU96" s="192" t="s">
        <v>79</v>
      </c>
      <c r="AY96" s="19" t="s">
        <v>380</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281</v>
      </c>
      <c r="BM96" s="192" t="s">
        <v>477</v>
      </c>
    </row>
    <row r="97" spans="1:65" s="2" customFormat="1" ht="16.5" customHeight="1">
      <c r="A97" s="36"/>
      <c r="B97" s="37"/>
      <c r="C97" s="181" t="s">
        <v>122</v>
      </c>
      <c r="D97" s="181" t="s">
        <v>382</v>
      </c>
      <c r="E97" s="182" t="s">
        <v>6872</v>
      </c>
      <c r="F97" s="183" t="s">
        <v>6873</v>
      </c>
      <c r="G97" s="184" t="s">
        <v>2393</v>
      </c>
      <c r="H97" s="185">
        <v>1</v>
      </c>
      <c r="I97" s="186"/>
      <c r="J97" s="187">
        <f>ROUND(I97*H97,2)</f>
        <v>0</v>
      </c>
      <c r="K97" s="183" t="s">
        <v>19</v>
      </c>
      <c r="L97" s="41"/>
      <c r="M97" s="252" t="s">
        <v>19</v>
      </c>
      <c r="N97" s="253" t="s">
        <v>43</v>
      </c>
      <c r="O97" s="254"/>
      <c r="P97" s="255">
        <f>O97*H97</f>
        <v>0</v>
      </c>
      <c r="Q97" s="255">
        <v>0</v>
      </c>
      <c r="R97" s="255">
        <f>Q97*H97</f>
        <v>0</v>
      </c>
      <c r="S97" s="255">
        <v>0</v>
      </c>
      <c r="T97" s="256">
        <f>S97*H97</f>
        <v>0</v>
      </c>
      <c r="U97" s="36"/>
      <c r="V97" s="36"/>
      <c r="W97" s="36"/>
      <c r="X97" s="36"/>
      <c r="Y97" s="36"/>
      <c r="Z97" s="36"/>
      <c r="AA97" s="36"/>
      <c r="AB97" s="36"/>
      <c r="AC97" s="36"/>
      <c r="AD97" s="36"/>
      <c r="AE97" s="36"/>
      <c r="AR97" s="192" t="s">
        <v>281</v>
      </c>
      <c r="AT97" s="192" t="s">
        <v>382</v>
      </c>
      <c r="AU97" s="192" t="s">
        <v>79</v>
      </c>
      <c r="AY97" s="19" t="s">
        <v>380</v>
      </c>
      <c r="BE97" s="193">
        <f>IF(N97="základní",J97,0)</f>
        <v>0</v>
      </c>
      <c r="BF97" s="193">
        <f>IF(N97="snížená",J97,0)</f>
        <v>0</v>
      </c>
      <c r="BG97" s="193">
        <f>IF(N97="zákl. přenesená",J97,0)</f>
        <v>0</v>
      </c>
      <c r="BH97" s="193">
        <f>IF(N97="sníž. přenesená",J97,0)</f>
        <v>0</v>
      </c>
      <c r="BI97" s="193">
        <f>IF(N97="nulová",J97,0)</f>
        <v>0</v>
      </c>
      <c r="BJ97" s="19" t="s">
        <v>79</v>
      </c>
      <c r="BK97" s="193">
        <f>ROUND(I97*H97,2)</f>
        <v>0</v>
      </c>
      <c r="BL97" s="19" t="s">
        <v>281</v>
      </c>
      <c r="BM97" s="192" t="s">
        <v>486</v>
      </c>
    </row>
    <row r="98" spans="1:65" s="2" customFormat="1" ht="6.95" customHeight="1">
      <c r="A98" s="36"/>
      <c r="B98" s="49"/>
      <c r="C98" s="50"/>
      <c r="D98" s="50"/>
      <c r="E98" s="50"/>
      <c r="F98" s="50"/>
      <c r="G98" s="50"/>
      <c r="H98" s="50"/>
      <c r="I98" s="50"/>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TtcWj0V0FQ3Pxq6ra0ApbLNuorYkjJoY0m0S6YoYgR0QO3X8lV38A/e3ON8KXl0pfqMyqk8J/GEs5Z2Oak2+eA==" saltValue="7gagvwFC4UqpkPzX9yWTIRtGrXiMpaXw5f8N0kp/YFYVn5knEJclbnIL9Rgt9c627cStFy5/HUC+nwb997/7Kg==" spinCount="100000" sheet="1" objects="1" scenarios="1" formatColumns="0" formatRows="0" autoFilter="0"/>
  <autoFilter ref="C82:K97" xr:uid="{00000000-0009-0000-0000-00003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6874</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4. 8. 2021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ROUND((SUM(BE81:BE93)),  2)</f>
        <v>0</v>
      </c>
      <c r="G33" s="36"/>
      <c r="H33" s="36"/>
      <c r="I33" s="127">
        <v>0.21</v>
      </c>
      <c r="J33" s="126">
        <f>ROUND(((SUM(BE81:BE93))*I33),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ROUND((SUM(BF81:BF93)),  2)</f>
        <v>0</v>
      </c>
      <c r="G34" s="36"/>
      <c r="H34" s="36"/>
      <c r="I34" s="127">
        <v>0.15</v>
      </c>
      <c r="J34" s="126">
        <f>ROUND(((SUM(BF81:BF93))*I34),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ROUND((SUM(BG81:BG93)),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ROUND((SUM(BH81:BH93)),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ROUND((SUM(BI81:BI93)),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VRN - VEDLEJŠÍ ROZPOČTOVÉ NÁKLADY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4. 8. 2021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6875</v>
      </c>
      <c r="E60" s="146"/>
      <c r="F60" s="146"/>
      <c r="G60" s="146"/>
      <c r="H60" s="146"/>
      <c r="I60" s="146"/>
      <c r="J60" s="147">
        <f>J82</f>
        <v>0</v>
      </c>
      <c r="K60" s="144"/>
      <c r="L60" s="148"/>
    </row>
    <row r="61" spans="1:47" s="10" customFormat="1" ht="19.899999999999999" customHeight="1">
      <c r="B61" s="149"/>
      <c r="C61" s="99"/>
      <c r="D61" s="150" t="s">
        <v>6876</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365</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282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VRN - VEDLEJŠÍ ROZPOČTOVÉ NÁKLADY</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OLOMOUC</v>
      </c>
      <c r="G75" s="38"/>
      <c r="H75" s="38"/>
      <c r="I75" s="31" t="s">
        <v>23</v>
      </c>
      <c r="J75" s="61" t="str">
        <f>IF(J12="","",J12)</f>
        <v>4. 8. 2021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366</v>
      </c>
      <c r="D80" s="157" t="s">
        <v>57</v>
      </c>
      <c r="E80" s="157" t="s">
        <v>53</v>
      </c>
      <c r="F80" s="157" t="s">
        <v>54</v>
      </c>
      <c r="G80" s="157" t="s">
        <v>367</v>
      </c>
      <c r="H80" s="157" t="s">
        <v>368</v>
      </c>
      <c r="I80" s="157" t="s">
        <v>369</v>
      </c>
      <c r="J80" s="157" t="s">
        <v>334</v>
      </c>
      <c r="K80" s="158" t="s">
        <v>370</v>
      </c>
      <c r="L80" s="159"/>
      <c r="M80" s="70" t="s">
        <v>19</v>
      </c>
      <c r="N80" s="71" t="s">
        <v>42</v>
      </c>
      <c r="O80" s="71" t="s">
        <v>371</v>
      </c>
      <c r="P80" s="71" t="s">
        <v>372</v>
      </c>
      <c r="Q80" s="71" t="s">
        <v>373</v>
      </c>
      <c r="R80" s="71" t="s">
        <v>374</v>
      </c>
      <c r="S80" s="71" t="s">
        <v>375</v>
      </c>
      <c r="T80" s="72" t="s">
        <v>376</v>
      </c>
      <c r="U80" s="154"/>
      <c r="V80" s="154"/>
      <c r="W80" s="154"/>
      <c r="X80" s="154"/>
      <c r="Y80" s="154"/>
      <c r="Z80" s="154"/>
      <c r="AA80" s="154"/>
      <c r="AB80" s="154"/>
      <c r="AC80" s="154"/>
      <c r="AD80" s="154"/>
      <c r="AE80" s="154"/>
    </row>
    <row r="81" spans="1:65" s="2" customFormat="1" ht="22.9" customHeight="1">
      <c r="A81" s="36"/>
      <c r="B81" s="37"/>
      <c r="C81" s="77" t="s">
        <v>377</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335</v>
      </c>
      <c r="BK81" s="164">
        <f>BK82</f>
        <v>0</v>
      </c>
    </row>
    <row r="82" spans="1:65" s="12" customFormat="1" ht="25.9" customHeight="1">
      <c r="B82" s="165"/>
      <c r="C82" s="166"/>
      <c r="D82" s="167" t="s">
        <v>71</v>
      </c>
      <c r="E82" s="168" t="s">
        <v>265</v>
      </c>
      <c r="F82" s="168" t="s">
        <v>6877</v>
      </c>
      <c r="G82" s="166"/>
      <c r="H82" s="166"/>
      <c r="I82" s="169"/>
      <c r="J82" s="170">
        <f>BK82</f>
        <v>0</v>
      </c>
      <c r="K82" s="166"/>
      <c r="L82" s="171"/>
      <c r="M82" s="172"/>
      <c r="N82" s="173"/>
      <c r="O82" s="173"/>
      <c r="P82" s="174">
        <f>P83</f>
        <v>0</v>
      </c>
      <c r="Q82" s="173"/>
      <c r="R82" s="174">
        <f>R83</f>
        <v>0</v>
      </c>
      <c r="S82" s="173"/>
      <c r="T82" s="175">
        <f>T83</f>
        <v>0</v>
      </c>
      <c r="AR82" s="176" t="s">
        <v>405</v>
      </c>
      <c r="AT82" s="177" t="s">
        <v>71</v>
      </c>
      <c r="AU82" s="177" t="s">
        <v>72</v>
      </c>
      <c r="AY82" s="176" t="s">
        <v>380</v>
      </c>
      <c r="BK82" s="178">
        <f>BK83</f>
        <v>0</v>
      </c>
    </row>
    <row r="83" spans="1:65" s="12" customFormat="1" ht="22.9" customHeight="1">
      <c r="B83" s="165"/>
      <c r="C83" s="166"/>
      <c r="D83" s="167" t="s">
        <v>71</v>
      </c>
      <c r="E83" s="179" t="s">
        <v>6878</v>
      </c>
      <c r="F83" s="179" t="s">
        <v>6879</v>
      </c>
      <c r="G83" s="166"/>
      <c r="H83" s="166"/>
      <c r="I83" s="169"/>
      <c r="J83" s="180">
        <f>BK83</f>
        <v>0</v>
      </c>
      <c r="K83" s="166"/>
      <c r="L83" s="171"/>
      <c r="M83" s="172"/>
      <c r="N83" s="173"/>
      <c r="O83" s="173"/>
      <c r="P83" s="174">
        <f>SUM(P84:P93)</f>
        <v>0</v>
      </c>
      <c r="Q83" s="173"/>
      <c r="R83" s="174">
        <f>SUM(R84:R93)</f>
        <v>0</v>
      </c>
      <c r="S83" s="173"/>
      <c r="T83" s="175">
        <f>SUM(T84:T93)</f>
        <v>0</v>
      </c>
      <c r="AR83" s="176" t="s">
        <v>405</v>
      </c>
      <c r="AT83" s="177" t="s">
        <v>71</v>
      </c>
      <c r="AU83" s="177" t="s">
        <v>79</v>
      </c>
      <c r="AY83" s="176" t="s">
        <v>380</v>
      </c>
      <c r="BK83" s="178">
        <f>SUM(BK84:BK93)</f>
        <v>0</v>
      </c>
    </row>
    <row r="84" spans="1:65" s="2" customFormat="1" ht="16.5" customHeight="1">
      <c r="A84" s="36"/>
      <c r="B84" s="37"/>
      <c r="C84" s="181" t="s">
        <v>79</v>
      </c>
      <c r="D84" s="181" t="s">
        <v>382</v>
      </c>
      <c r="E84" s="182" t="s">
        <v>6880</v>
      </c>
      <c r="F84" s="183" t="s">
        <v>6881</v>
      </c>
      <c r="G84" s="184" t="s">
        <v>641</v>
      </c>
      <c r="H84" s="185">
        <v>1</v>
      </c>
      <c r="I84" s="186"/>
      <c r="J84" s="187">
        <f t="shared" ref="J84:J92" si="0">ROUND(I84*H84,2)</f>
        <v>0</v>
      </c>
      <c r="K84" s="183" t="s">
        <v>399</v>
      </c>
      <c r="L84" s="41"/>
      <c r="M84" s="188" t="s">
        <v>19</v>
      </c>
      <c r="N84" s="189" t="s">
        <v>43</v>
      </c>
      <c r="O84" s="66"/>
      <c r="P84" s="190">
        <f t="shared" ref="P84:P92" si="1">O84*H84</f>
        <v>0</v>
      </c>
      <c r="Q84" s="190">
        <v>0</v>
      </c>
      <c r="R84" s="190">
        <f t="shared" ref="R84:R92" si="2">Q84*H84</f>
        <v>0</v>
      </c>
      <c r="S84" s="190">
        <v>0</v>
      </c>
      <c r="T84" s="191">
        <f t="shared" ref="T84:T92" si="3">S84*H84</f>
        <v>0</v>
      </c>
      <c r="U84" s="36"/>
      <c r="V84" s="36"/>
      <c r="W84" s="36"/>
      <c r="X84" s="36"/>
      <c r="Y84" s="36"/>
      <c r="Z84" s="36"/>
      <c r="AA84" s="36"/>
      <c r="AB84" s="36"/>
      <c r="AC84" s="36"/>
      <c r="AD84" s="36"/>
      <c r="AE84" s="36"/>
      <c r="AR84" s="192" t="s">
        <v>6882</v>
      </c>
      <c r="AT84" s="192" t="s">
        <v>382</v>
      </c>
      <c r="AU84" s="192" t="s">
        <v>82</v>
      </c>
      <c r="AY84" s="19" t="s">
        <v>380</v>
      </c>
      <c r="BE84" s="193">
        <f t="shared" ref="BE84:BE92" si="4">IF(N84="základní",J84,0)</f>
        <v>0</v>
      </c>
      <c r="BF84" s="193">
        <f t="shared" ref="BF84:BF92" si="5">IF(N84="snížená",J84,0)</f>
        <v>0</v>
      </c>
      <c r="BG84" s="193">
        <f t="shared" ref="BG84:BG92" si="6">IF(N84="zákl. přenesená",J84,0)</f>
        <v>0</v>
      </c>
      <c r="BH84" s="193">
        <f t="shared" ref="BH84:BH92" si="7">IF(N84="sníž. přenesená",J84,0)</f>
        <v>0</v>
      </c>
      <c r="BI84" s="193">
        <f t="shared" ref="BI84:BI92" si="8">IF(N84="nulová",J84,0)</f>
        <v>0</v>
      </c>
      <c r="BJ84" s="19" t="s">
        <v>79</v>
      </c>
      <c r="BK84" s="193">
        <f t="shared" ref="BK84:BK92" si="9">ROUND(I84*H84,2)</f>
        <v>0</v>
      </c>
      <c r="BL84" s="19" t="s">
        <v>6882</v>
      </c>
      <c r="BM84" s="192" t="s">
        <v>6883</v>
      </c>
    </row>
    <row r="85" spans="1:65" s="2" customFormat="1" ht="16.5" customHeight="1">
      <c r="A85" s="36"/>
      <c r="B85" s="37"/>
      <c r="C85" s="181" t="s">
        <v>82</v>
      </c>
      <c r="D85" s="181" t="s">
        <v>382</v>
      </c>
      <c r="E85" s="182" t="s">
        <v>6884</v>
      </c>
      <c r="F85" s="183" t="s">
        <v>6885</v>
      </c>
      <c r="G85" s="184" t="s">
        <v>641</v>
      </c>
      <c r="H85" s="185">
        <v>1</v>
      </c>
      <c r="I85" s="186"/>
      <c r="J85" s="187">
        <f t="shared" si="0"/>
        <v>0</v>
      </c>
      <c r="K85" s="183" t="s">
        <v>19</v>
      </c>
      <c r="L85" s="41"/>
      <c r="M85" s="188" t="s">
        <v>19</v>
      </c>
      <c r="N85" s="189" t="s">
        <v>43</v>
      </c>
      <c r="O85" s="66"/>
      <c r="P85" s="190">
        <f t="shared" si="1"/>
        <v>0</v>
      </c>
      <c r="Q85" s="190">
        <v>0</v>
      </c>
      <c r="R85" s="190">
        <f t="shared" si="2"/>
        <v>0</v>
      </c>
      <c r="S85" s="190">
        <v>0</v>
      </c>
      <c r="T85" s="191">
        <f t="shared" si="3"/>
        <v>0</v>
      </c>
      <c r="U85" s="36"/>
      <c r="V85" s="36"/>
      <c r="W85" s="36"/>
      <c r="X85" s="36"/>
      <c r="Y85" s="36"/>
      <c r="Z85" s="36"/>
      <c r="AA85" s="36"/>
      <c r="AB85" s="36"/>
      <c r="AC85" s="36"/>
      <c r="AD85" s="36"/>
      <c r="AE85" s="36"/>
      <c r="AR85" s="192" t="s">
        <v>6882</v>
      </c>
      <c r="AT85" s="192" t="s">
        <v>382</v>
      </c>
      <c r="AU85" s="192" t="s">
        <v>82</v>
      </c>
      <c r="AY85" s="19" t="s">
        <v>380</v>
      </c>
      <c r="BE85" s="193">
        <f t="shared" si="4"/>
        <v>0</v>
      </c>
      <c r="BF85" s="193">
        <f t="shared" si="5"/>
        <v>0</v>
      </c>
      <c r="BG85" s="193">
        <f t="shared" si="6"/>
        <v>0</v>
      </c>
      <c r="BH85" s="193">
        <f t="shared" si="7"/>
        <v>0</v>
      </c>
      <c r="BI85" s="193">
        <f t="shared" si="8"/>
        <v>0</v>
      </c>
      <c r="BJ85" s="19" t="s">
        <v>79</v>
      </c>
      <c r="BK85" s="193">
        <f t="shared" si="9"/>
        <v>0</v>
      </c>
      <c r="BL85" s="19" t="s">
        <v>6882</v>
      </c>
      <c r="BM85" s="192" t="s">
        <v>6886</v>
      </c>
    </row>
    <row r="86" spans="1:65" s="2" customFormat="1" ht="16.5" customHeight="1">
      <c r="A86" s="36"/>
      <c r="B86" s="37"/>
      <c r="C86" s="181" t="s">
        <v>99</v>
      </c>
      <c r="D86" s="181" t="s">
        <v>382</v>
      </c>
      <c r="E86" s="182" t="s">
        <v>6887</v>
      </c>
      <c r="F86" s="183" t="s">
        <v>6888</v>
      </c>
      <c r="G86" s="184" t="s">
        <v>641</v>
      </c>
      <c r="H86" s="185">
        <v>1</v>
      </c>
      <c r="I86" s="186"/>
      <c r="J86" s="187">
        <f t="shared" si="0"/>
        <v>0</v>
      </c>
      <c r="K86" s="183" t="s">
        <v>399</v>
      </c>
      <c r="L86" s="41"/>
      <c r="M86" s="188" t="s">
        <v>19</v>
      </c>
      <c r="N86" s="189" t="s">
        <v>43</v>
      </c>
      <c r="O86" s="66"/>
      <c r="P86" s="190">
        <f t="shared" si="1"/>
        <v>0</v>
      </c>
      <c r="Q86" s="190">
        <v>0</v>
      </c>
      <c r="R86" s="190">
        <f t="shared" si="2"/>
        <v>0</v>
      </c>
      <c r="S86" s="190">
        <v>0</v>
      </c>
      <c r="T86" s="191">
        <f t="shared" si="3"/>
        <v>0</v>
      </c>
      <c r="U86" s="36"/>
      <c r="V86" s="36"/>
      <c r="W86" s="36"/>
      <c r="X86" s="36"/>
      <c r="Y86" s="36"/>
      <c r="Z86" s="36"/>
      <c r="AA86" s="36"/>
      <c r="AB86" s="36"/>
      <c r="AC86" s="36"/>
      <c r="AD86" s="36"/>
      <c r="AE86" s="36"/>
      <c r="AR86" s="192" t="s">
        <v>6882</v>
      </c>
      <c r="AT86" s="192" t="s">
        <v>382</v>
      </c>
      <c r="AU86" s="192" t="s">
        <v>82</v>
      </c>
      <c r="AY86" s="19" t="s">
        <v>380</v>
      </c>
      <c r="BE86" s="193">
        <f t="shared" si="4"/>
        <v>0</v>
      </c>
      <c r="BF86" s="193">
        <f t="shared" si="5"/>
        <v>0</v>
      </c>
      <c r="BG86" s="193">
        <f t="shared" si="6"/>
        <v>0</v>
      </c>
      <c r="BH86" s="193">
        <f t="shared" si="7"/>
        <v>0</v>
      </c>
      <c r="BI86" s="193">
        <f t="shared" si="8"/>
        <v>0</v>
      </c>
      <c r="BJ86" s="19" t="s">
        <v>79</v>
      </c>
      <c r="BK86" s="193">
        <f t="shared" si="9"/>
        <v>0</v>
      </c>
      <c r="BL86" s="19" t="s">
        <v>6882</v>
      </c>
      <c r="BM86" s="192" t="s">
        <v>6889</v>
      </c>
    </row>
    <row r="87" spans="1:65" s="2" customFormat="1" ht="16.5" customHeight="1">
      <c r="A87" s="36"/>
      <c r="B87" s="37"/>
      <c r="C87" s="181" t="s">
        <v>386</v>
      </c>
      <c r="D87" s="181" t="s">
        <v>382</v>
      </c>
      <c r="E87" s="182" t="s">
        <v>6890</v>
      </c>
      <c r="F87" s="183" t="s">
        <v>6891</v>
      </c>
      <c r="G87" s="184" t="s">
        <v>641</v>
      </c>
      <c r="H87" s="185">
        <v>1</v>
      </c>
      <c r="I87" s="186"/>
      <c r="J87" s="187">
        <f t="shared" si="0"/>
        <v>0</v>
      </c>
      <c r="K87" s="183" t="s">
        <v>399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6882</v>
      </c>
      <c r="AT87" s="192" t="s">
        <v>382</v>
      </c>
      <c r="AU87" s="192" t="s">
        <v>82</v>
      </c>
      <c r="AY87" s="19" t="s">
        <v>380</v>
      </c>
      <c r="BE87" s="193">
        <f t="shared" si="4"/>
        <v>0</v>
      </c>
      <c r="BF87" s="193">
        <f t="shared" si="5"/>
        <v>0</v>
      </c>
      <c r="BG87" s="193">
        <f t="shared" si="6"/>
        <v>0</v>
      </c>
      <c r="BH87" s="193">
        <f t="shared" si="7"/>
        <v>0</v>
      </c>
      <c r="BI87" s="193">
        <f t="shared" si="8"/>
        <v>0</v>
      </c>
      <c r="BJ87" s="19" t="s">
        <v>79</v>
      </c>
      <c r="BK87" s="193">
        <f t="shared" si="9"/>
        <v>0</v>
      </c>
      <c r="BL87" s="19" t="s">
        <v>6882</v>
      </c>
      <c r="BM87" s="192" t="s">
        <v>6892</v>
      </c>
    </row>
    <row r="88" spans="1:65" s="2" customFormat="1" ht="16.5" customHeight="1">
      <c r="A88" s="36"/>
      <c r="B88" s="37"/>
      <c r="C88" s="181" t="s">
        <v>405</v>
      </c>
      <c r="D88" s="181" t="s">
        <v>382</v>
      </c>
      <c r="E88" s="182" t="s">
        <v>6893</v>
      </c>
      <c r="F88" s="183" t="s">
        <v>6894</v>
      </c>
      <c r="G88" s="184" t="s">
        <v>641</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6882</v>
      </c>
      <c r="AT88" s="192" t="s">
        <v>382</v>
      </c>
      <c r="AU88" s="192" t="s">
        <v>82</v>
      </c>
      <c r="AY88" s="19" t="s">
        <v>380</v>
      </c>
      <c r="BE88" s="193">
        <f t="shared" si="4"/>
        <v>0</v>
      </c>
      <c r="BF88" s="193">
        <f t="shared" si="5"/>
        <v>0</v>
      </c>
      <c r="BG88" s="193">
        <f t="shared" si="6"/>
        <v>0</v>
      </c>
      <c r="BH88" s="193">
        <f t="shared" si="7"/>
        <v>0</v>
      </c>
      <c r="BI88" s="193">
        <f t="shared" si="8"/>
        <v>0</v>
      </c>
      <c r="BJ88" s="19" t="s">
        <v>79</v>
      </c>
      <c r="BK88" s="193">
        <f t="shared" si="9"/>
        <v>0</v>
      </c>
      <c r="BL88" s="19" t="s">
        <v>6882</v>
      </c>
      <c r="BM88" s="192" t="s">
        <v>6895</v>
      </c>
    </row>
    <row r="89" spans="1:65" s="2" customFormat="1" ht="16.5" customHeight="1">
      <c r="A89" s="36"/>
      <c r="B89" s="37"/>
      <c r="C89" s="181" t="s">
        <v>411</v>
      </c>
      <c r="D89" s="181" t="s">
        <v>382</v>
      </c>
      <c r="E89" s="182" t="s">
        <v>6896</v>
      </c>
      <c r="F89" s="183" t="s">
        <v>6897</v>
      </c>
      <c r="G89" s="184" t="s">
        <v>641</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6882</v>
      </c>
      <c r="AT89" s="192" t="s">
        <v>382</v>
      </c>
      <c r="AU89" s="192" t="s">
        <v>82</v>
      </c>
      <c r="AY89" s="19" t="s">
        <v>380</v>
      </c>
      <c r="BE89" s="193">
        <f t="shared" si="4"/>
        <v>0</v>
      </c>
      <c r="BF89" s="193">
        <f t="shared" si="5"/>
        <v>0</v>
      </c>
      <c r="BG89" s="193">
        <f t="shared" si="6"/>
        <v>0</v>
      </c>
      <c r="BH89" s="193">
        <f t="shared" si="7"/>
        <v>0</v>
      </c>
      <c r="BI89" s="193">
        <f t="shared" si="8"/>
        <v>0</v>
      </c>
      <c r="BJ89" s="19" t="s">
        <v>79</v>
      </c>
      <c r="BK89" s="193">
        <f t="shared" si="9"/>
        <v>0</v>
      </c>
      <c r="BL89" s="19" t="s">
        <v>6882</v>
      </c>
      <c r="BM89" s="192" t="s">
        <v>6898</v>
      </c>
    </row>
    <row r="90" spans="1:65" s="2" customFormat="1" ht="16.5" customHeight="1">
      <c r="A90" s="36"/>
      <c r="B90" s="37"/>
      <c r="C90" s="181" t="s">
        <v>420</v>
      </c>
      <c r="D90" s="181" t="s">
        <v>382</v>
      </c>
      <c r="E90" s="182" t="s">
        <v>6899</v>
      </c>
      <c r="F90" s="183" t="s">
        <v>6900</v>
      </c>
      <c r="G90" s="184" t="s">
        <v>641</v>
      </c>
      <c r="H90" s="185">
        <v>1</v>
      </c>
      <c r="I90" s="186"/>
      <c r="J90" s="187">
        <f t="shared" si="0"/>
        <v>0</v>
      </c>
      <c r="K90" s="183" t="s">
        <v>399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6882</v>
      </c>
      <c r="AT90" s="192" t="s">
        <v>382</v>
      </c>
      <c r="AU90" s="192" t="s">
        <v>82</v>
      </c>
      <c r="AY90" s="19" t="s">
        <v>380</v>
      </c>
      <c r="BE90" s="193">
        <f t="shared" si="4"/>
        <v>0</v>
      </c>
      <c r="BF90" s="193">
        <f t="shared" si="5"/>
        <v>0</v>
      </c>
      <c r="BG90" s="193">
        <f t="shared" si="6"/>
        <v>0</v>
      </c>
      <c r="BH90" s="193">
        <f t="shared" si="7"/>
        <v>0</v>
      </c>
      <c r="BI90" s="193">
        <f t="shared" si="8"/>
        <v>0</v>
      </c>
      <c r="BJ90" s="19" t="s">
        <v>79</v>
      </c>
      <c r="BK90" s="193">
        <f t="shared" si="9"/>
        <v>0</v>
      </c>
      <c r="BL90" s="19" t="s">
        <v>6882</v>
      </c>
      <c r="BM90" s="192" t="s">
        <v>6901</v>
      </c>
    </row>
    <row r="91" spans="1:65" s="2" customFormat="1" ht="16.5" customHeight="1">
      <c r="A91" s="36"/>
      <c r="B91" s="37"/>
      <c r="C91" s="181" t="s">
        <v>424</v>
      </c>
      <c r="D91" s="181" t="s">
        <v>382</v>
      </c>
      <c r="E91" s="182" t="s">
        <v>6902</v>
      </c>
      <c r="F91" s="183" t="s">
        <v>6903</v>
      </c>
      <c r="G91" s="184" t="s">
        <v>641</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6882</v>
      </c>
      <c r="AT91" s="192" t="s">
        <v>382</v>
      </c>
      <c r="AU91" s="192" t="s">
        <v>82</v>
      </c>
      <c r="AY91" s="19" t="s">
        <v>380</v>
      </c>
      <c r="BE91" s="193">
        <f t="shared" si="4"/>
        <v>0</v>
      </c>
      <c r="BF91" s="193">
        <f t="shared" si="5"/>
        <v>0</v>
      </c>
      <c r="BG91" s="193">
        <f t="shared" si="6"/>
        <v>0</v>
      </c>
      <c r="BH91" s="193">
        <f t="shared" si="7"/>
        <v>0</v>
      </c>
      <c r="BI91" s="193">
        <f t="shared" si="8"/>
        <v>0</v>
      </c>
      <c r="BJ91" s="19" t="s">
        <v>79</v>
      </c>
      <c r="BK91" s="193">
        <f t="shared" si="9"/>
        <v>0</v>
      </c>
      <c r="BL91" s="19" t="s">
        <v>6882</v>
      </c>
      <c r="BM91" s="192" t="s">
        <v>6904</v>
      </c>
    </row>
    <row r="92" spans="1:65" s="2" customFormat="1" ht="24.2" customHeight="1">
      <c r="A92" s="36"/>
      <c r="B92" s="37"/>
      <c r="C92" s="181" t="s">
        <v>430</v>
      </c>
      <c r="D92" s="181" t="s">
        <v>382</v>
      </c>
      <c r="E92" s="182" t="s">
        <v>6905</v>
      </c>
      <c r="F92" s="183" t="s">
        <v>6906</v>
      </c>
      <c r="G92" s="184" t="s">
        <v>641</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6882</v>
      </c>
      <c r="AT92" s="192" t="s">
        <v>382</v>
      </c>
      <c r="AU92" s="192" t="s">
        <v>82</v>
      </c>
      <c r="AY92" s="19" t="s">
        <v>380</v>
      </c>
      <c r="BE92" s="193">
        <f t="shared" si="4"/>
        <v>0</v>
      </c>
      <c r="BF92" s="193">
        <f t="shared" si="5"/>
        <v>0</v>
      </c>
      <c r="BG92" s="193">
        <f t="shared" si="6"/>
        <v>0</v>
      </c>
      <c r="BH92" s="193">
        <f t="shared" si="7"/>
        <v>0</v>
      </c>
      <c r="BI92" s="193">
        <f t="shared" si="8"/>
        <v>0</v>
      </c>
      <c r="BJ92" s="19" t="s">
        <v>79</v>
      </c>
      <c r="BK92" s="193">
        <f t="shared" si="9"/>
        <v>0</v>
      </c>
      <c r="BL92" s="19" t="s">
        <v>6882</v>
      </c>
      <c r="BM92" s="192" t="s">
        <v>6907</v>
      </c>
    </row>
    <row r="93" spans="1:65" s="2" customFormat="1" ht="19.5">
      <c r="A93" s="36"/>
      <c r="B93" s="37"/>
      <c r="C93" s="38"/>
      <c r="D93" s="196" t="s">
        <v>1226</v>
      </c>
      <c r="E93" s="38"/>
      <c r="F93" s="248" t="s">
        <v>6908</v>
      </c>
      <c r="G93" s="38"/>
      <c r="H93" s="38"/>
      <c r="I93" s="249"/>
      <c r="J93" s="38"/>
      <c r="K93" s="38"/>
      <c r="L93" s="41"/>
      <c r="M93" s="266"/>
      <c r="N93" s="267"/>
      <c r="O93" s="254"/>
      <c r="P93" s="254"/>
      <c r="Q93" s="254"/>
      <c r="R93" s="254"/>
      <c r="S93" s="254"/>
      <c r="T93" s="268"/>
      <c r="U93" s="36"/>
      <c r="V93" s="36"/>
      <c r="W93" s="36"/>
      <c r="X93" s="36"/>
      <c r="Y93" s="36"/>
      <c r="Z93" s="36"/>
      <c r="AA93" s="36"/>
      <c r="AB93" s="36"/>
      <c r="AC93" s="36"/>
      <c r="AD93" s="36"/>
      <c r="AE93" s="36"/>
      <c r="AT93" s="19" t="s">
        <v>1226</v>
      </c>
      <c r="AU93" s="19" t="s">
        <v>82</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HAhWVOhKcdbFX7CKfYpY8vLwgWfYxFSS/QkPrT67KPI5zVIzDGuLB6CxiRTfXEhd/AII3BddMIVEzgKLnEj9mw==" saltValue="R3aN1MRciR4Ze1n/8jKrvKgYYpnrVG6ipu8JIqfdy2frURFrmNMDyaKxvbrnojMcq4i5V98Dv2gbrs42ivm/Gw==" spinCount="100000" sheet="1" objects="1" scenarios="1" formatColumns="0" formatRows="0" autoFilter="0"/>
  <autoFilter ref="C80:K93" xr:uid="{00000000-0009-0000-0000-00003B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29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6909</v>
      </c>
      <c r="H4" s="22"/>
    </row>
    <row r="5" spans="1:8" s="1" customFormat="1" ht="12" customHeight="1">
      <c r="B5" s="22"/>
      <c r="C5" s="269" t="s">
        <v>13</v>
      </c>
      <c r="D5" s="415" t="s">
        <v>14</v>
      </c>
      <c r="E5" s="383"/>
      <c r="F5" s="383"/>
      <c r="H5" s="22"/>
    </row>
    <row r="6" spans="1:8" s="1" customFormat="1" ht="36.950000000000003" customHeight="1">
      <c r="B6" s="22"/>
      <c r="C6" s="270" t="s">
        <v>16</v>
      </c>
      <c r="D6" s="421" t="s">
        <v>17</v>
      </c>
      <c r="E6" s="383"/>
      <c r="F6" s="383"/>
      <c r="H6" s="22"/>
    </row>
    <row r="7" spans="1:8" s="1" customFormat="1" ht="16.5" customHeight="1">
      <c r="B7" s="22"/>
      <c r="C7" s="115" t="s">
        <v>23</v>
      </c>
      <c r="D7" s="117" t="str">
        <f>'Rekapitulace stavby'!AN8</f>
        <v>4. 8. 2021</v>
      </c>
      <c r="H7" s="22"/>
    </row>
    <row r="8" spans="1:8" s="2" customFormat="1" ht="10.9" customHeight="1">
      <c r="A8" s="36"/>
      <c r="B8" s="41"/>
      <c r="C8" s="36"/>
      <c r="D8" s="36"/>
      <c r="E8" s="36"/>
      <c r="F8" s="36"/>
      <c r="G8" s="36"/>
      <c r="H8" s="41"/>
    </row>
    <row r="9" spans="1:8" s="11" customFormat="1" ht="29.25" customHeight="1">
      <c r="A9" s="154"/>
      <c r="B9" s="271"/>
      <c r="C9" s="272" t="s">
        <v>53</v>
      </c>
      <c r="D9" s="273" t="s">
        <v>54</v>
      </c>
      <c r="E9" s="273" t="s">
        <v>367</v>
      </c>
      <c r="F9" s="274" t="s">
        <v>6910</v>
      </c>
      <c r="G9" s="154"/>
      <c r="H9" s="271"/>
    </row>
    <row r="10" spans="1:8" s="2" customFormat="1" ht="26.45" customHeight="1">
      <c r="A10" s="36"/>
      <c r="B10" s="41"/>
      <c r="C10" s="275" t="s">
        <v>6911</v>
      </c>
      <c r="D10" s="275" t="s">
        <v>85</v>
      </c>
      <c r="E10" s="36"/>
      <c r="F10" s="36"/>
      <c r="G10" s="36"/>
      <c r="H10" s="41"/>
    </row>
    <row r="11" spans="1:8" s="2" customFormat="1" ht="16.899999999999999" customHeight="1">
      <c r="A11" s="36"/>
      <c r="B11" s="41"/>
      <c r="C11" s="276" t="s">
        <v>268</v>
      </c>
      <c r="D11" s="277" t="s">
        <v>268</v>
      </c>
      <c r="E11" s="278" t="s">
        <v>19</v>
      </c>
      <c r="F11" s="279">
        <v>16.399999999999999</v>
      </c>
      <c r="G11" s="36"/>
      <c r="H11" s="41"/>
    </row>
    <row r="12" spans="1:8" s="2" customFormat="1" ht="16.899999999999999" customHeight="1">
      <c r="A12" s="36"/>
      <c r="B12" s="41"/>
      <c r="C12" s="280" t="s">
        <v>19</v>
      </c>
      <c r="D12" s="280" t="s">
        <v>1058</v>
      </c>
      <c r="E12" s="19" t="s">
        <v>19</v>
      </c>
      <c r="F12" s="281">
        <v>0</v>
      </c>
      <c r="G12" s="36"/>
      <c r="H12" s="41"/>
    </row>
    <row r="13" spans="1:8" s="2" customFormat="1" ht="16.899999999999999" customHeight="1">
      <c r="A13" s="36"/>
      <c r="B13" s="41"/>
      <c r="C13" s="280" t="s">
        <v>19</v>
      </c>
      <c r="D13" s="280" t="s">
        <v>2103</v>
      </c>
      <c r="E13" s="19" t="s">
        <v>19</v>
      </c>
      <c r="F13" s="281">
        <v>0</v>
      </c>
      <c r="G13" s="36"/>
      <c r="H13" s="41"/>
    </row>
    <row r="14" spans="1:8" s="2" customFormat="1" ht="16.899999999999999" customHeight="1">
      <c r="A14" s="36"/>
      <c r="B14" s="41"/>
      <c r="C14" s="280" t="s">
        <v>19</v>
      </c>
      <c r="D14" s="280" t="s">
        <v>269</v>
      </c>
      <c r="E14" s="19" t="s">
        <v>19</v>
      </c>
      <c r="F14" s="281">
        <v>16.399999999999999</v>
      </c>
      <c r="G14" s="36"/>
      <c r="H14" s="41"/>
    </row>
    <row r="15" spans="1:8" s="2" customFormat="1" ht="16.899999999999999" customHeight="1">
      <c r="A15" s="36"/>
      <c r="B15" s="41"/>
      <c r="C15" s="280" t="s">
        <v>268</v>
      </c>
      <c r="D15" s="280" t="s">
        <v>572</v>
      </c>
      <c r="E15" s="19" t="s">
        <v>19</v>
      </c>
      <c r="F15" s="281">
        <v>16.399999999999999</v>
      </c>
      <c r="G15" s="36"/>
      <c r="H15" s="41"/>
    </row>
    <row r="16" spans="1:8" s="2" customFormat="1" ht="16.899999999999999" customHeight="1">
      <c r="A16" s="36"/>
      <c r="B16" s="41"/>
      <c r="C16" s="282" t="s">
        <v>6912</v>
      </c>
      <c r="D16" s="36"/>
      <c r="E16" s="36"/>
      <c r="F16" s="36"/>
      <c r="G16" s="36"/>
      <c r="H16" s="41"/>
    </row>
    <row r="17" spans="1:8" s="2" customFormat="1" ht="16.899999999999999" customHeight="1">
      <c r="A17" s="36"/>
      <c r="B17" s="41"/>
      <c r="C17" s="280" t="s">
        <v>2100</v>
      </c>
      <c r="D17" s="280" t="s">
        <v>19</v>
      </c>
      <c r="E17" s="19" t="s">
        <v>398</v>
      </c>
      <c r="F17" s="281">
        <v>16.399999999999999</v>
      </c>
      <c r="G17" s="36"/>
      <c r="H17" s="41"/>
    </row>
    <row r="18" spans="1:8" s="2" customFormat="1" ht="16.899999999999999" customHeight="1">
      <c r="A18" s="36"/>
      <c r="B18" s="41"/>
      <c r="C18" s="280" t="s">
        <v>1267</v>
      </c>
      <c r="D18" s="280" t="s">
        <v>6913</v>
      </c>
      <c r="E18" s="19" t="s">
        <v>398</v>
      </c>
      <c r="F18" s="281">
        <v>2236.4</v>
      </c>
      <c r="G18" s="36"/>
      <c r="H18" s="41"/>
    </row>
    <row r="19" spans="1:8" s="2" customFormat="1" ht="16.899999999999999" customHeight="1">
      <c r="A19" s="36"/>
      <c r="B19" s="41"/>
      <c r="C19" s="280" t="s">
        <v>1281</v>
      </c>
      <c r="D19" s="280" t="s">
        <v>6914</v>
      </c>
      <c r="E19" s="19" t="s">
        <v>398</v>
      </c>
      <c r="F19" s="281">
        <v>3185.2</v>
      </c>
      <c r="G19" s="36"/>
      <c r="H19" s="41"/>
    </row>
    <row r="20" spans="1:8" s="2" customFormat="1" ht="16.899999999999999" customHeight="1">
      <c r="A20" s="36"/>
      <c r="B20" s="41"/>
      <c r="C20" s="280" t="s">
        <v>1395</v>
      </c>
      <c r="D20" s="280" t="s">
        <v>19</v>
      </c>
      <c r="E20" s="19" t="s">
        <v>398</v>
      </c>
      <c r="F20" s="281">
        <v>137.67500000000001</v>
      </c>
      <c r="G20" s="36"/>
      <c r="H20" s="41"/>
    </row>
    <row r="21" spans="1:8" s="2" customFormat="1" ht="16.899999999999999" customHeight="1">
      <c r="A21" s="36"/>
      <c r="B21" s="41"/>
      <c r="C21" s="280" t="s">
        <v>1526</v>
      </c>
      <c r="D21" s="280" t="s">
        <v>6915</v>
      </c>
      <c r="E21" s="19" t="s">
        <v>398</v>
      </c>
      <c r="F21" s="281">
        <v>4438.3890000000001</v>
      </c>
      <c r="G21" s="36"/>
      <c r="H21" s="41"/>
    </row>
    <row r="22" spans="1:8" s="2" customFormat="1" ht="16.899999999999999" customHeight="1">
      <c r="A22" s="36"/>
      <c r="B22" s="41"/>
      <c r="C22" s="280" t="s">
        <v>1539</v>
      </c>
      <c r="D22" s="280" t="s">
        <v>1540</v>
      </c>
      <c r="E22" s="19" t="s">
        <v>398</v>
      </c>
      <c r="F22" s="281">
        <v>1208.598</v>
      </c>
      <c r="G22" s="36"/>
      <c r="H22" s="41"/>
    </row>
    <row r="23" spans="1:8" s="2" customFormat="1" ht="16.899999999999999" customHeight="1">
      <c r="A23" s="36"/>
      <c r="B23" s="41"/>
      <c r="C23" s="276" t="s">
        <v>270</v>
      </c>
      <c r="D23" s="277" t="s">
        <v>270</v>
      </c>
      <c r="E23" s="278" t="s">
        <v>19</v>
      </c>
      <c r="F23" s="279">
        <v>99</v>
      </c>
      <c r="G23" s="36"/>
      <c r="H23" s="41"/>
    </row>
    <row r="24" spans="1:8" s="2" customFormat="1" ht="16.899999999999999" customHeight="1">
      <c r="A24" s="36"/>
      <c r="B24" s="41"/>
      <c r="C24" s="280" t="s">
        <v>19</v>
      </c>
      <c r="D24" s="280" t="s">
        <v>1058</v>
      </c>
      <c r="E24" s="19" t="s">
        <v>19</v>
      </c>
      <c r="F24" s="281">
        <v>0</v>
      </c>
      <c r="G24" s="36"/>
      <c r="H24" s="41"/>
    </row>
    <row r="25" spans="1:8" s="2" customFormat="1" ht="16.899999999999999" customHeight="1">
      <c r="A25" s="36"/>
      <c r="B25" s="41"/>
      <c r="C25" s="280" t="s">
        <v>19</v>
      </c>
      <c r="D25" s="280" t="s">
        <v>2229</v>
      </c>
      <c r="E25" s="19" t="s">
        <v>19</v>
      </c>
      <c r="F25" s="281">
        <v>0</v>
      </c>
      <c r="G25" s="36"/>
      <c r="H25" s="41"/>
    </row>
    <row r="26" spans="1:8" s="2" customFormat="1" ht="16.899999999999999" customHeight="1">
      <c r="A26" s="36"/>
      <c r="B26" s="41"/>
      <c r="C26" s="280" t="s">
        <v>19</v>
      </c>
      <c r="D26" s="280" t="s">
        <v>2230</v>
      </c>
      <c r="E26" s="19" t="s">
        <v>19</v>
      </c>
      <c r="F26" s="281">
        <v>99</v>
      </c>
      <c r="G26" s="36"/>
      <c r="H26" s="41"/>
    </row>
    <row r="27" spans="1:8" s="2" customFormat="1" ht="16.899999999999999" customHeight="1">
      <c r="A27" s="36"/>
      <c r="B27" s="41"/>
      <c r="C27" s="280" t="s">
        <v>270</v>
      </c>
      <c r="D27" s="280" t="s">
        <v>572</v>
      </c>
      <c r="E27" s="19" t="s">
        <v>19</v>
      </c>
      <c r="F27" s="281">
        <v>99</v>
      </c>
      <c r="G27" s="36"/>
      <c r="H27" s="41"/>
    </row>
    <row r="28" spans="1:8" s="2" customFormat="1" ht="16.899999999999999" customHeight="1">
      <c r="A28" s="36"/>
      <c r="B28" s="41"/>
      <c r="C28" s="282" t="s">
        <v>6912</v>
      </c>
      <c r="D28" s="36"/>
      <c r="E28" s="36"/>
      <c r="F28" s="36"/>
      <c r="G28" s="36"/>
      <c r="H28" s="41"/>
    </row>
    <row r="29" spans="1:8" s="2" customFormat="1" ht="16.899999999999999" customHeight="1">
      <c r="A29" s="36"/>
      <c r="B29" s="41"/>
      <c r="C29" s="280" t="s">
        <v>2226</v>
      </c>
      <c r="D29" s="280" t="s">
        <v>6916</v>
      </c>
      <c r="E29" s="19" t="s">
        <v>398</v>
      </c>
      <c r="F29" s="281">
        <v>2205.0500000000002</v>
      </c>
      <c r="G29" s="36"/>
      <c r="H29" s="41"/>
    </row>
    <row r="30" spans="1:8" s="2" customFormat="1" ht="16.899999999999999" customHeight="1">
      <c r="A30" s="36"/>
      <c r="B30" s="41"/>
      <c r="C30" s="280" t="s">
        <v>1267</v>
      </c>
      <c r="D30" s="280" t="s">
        <v>6913</v>
      </c>
      <c r="E30" s="19" t="s">
        <v>398</v>
      </c>
      <c r="F30" s="281">
        <v>2236.4</v>
      </c>
      <c r="G30" s="36"/>
      <c r="H30" s="41"/>
    </row>
    <row r="31" spans="1:8" s="2" customFormat="1" ht="16.899999999999999" customHeight="1">
      <c r="A31" s="36"/>
      <c r="B31" s="41"/>
      <c r="C31" s="280" t="s">
        <v>1281</v>
      </c>
      <c r="D31" s="280" t="s">
        <v>6914</v>
      </c>
      <c r="E31" s="19" t="s">
        <v>398</v>
      </c>
      <c r="F31" s="281">
        <v>3185.2</v>
      </c>
      <c r="G31" s="36"/>
      <c r="H31" s="41"/>
    </row>
    <row r="32" spans="1:8" s="2" customFormat="1" ht="16.899999999999999" customHeight="1">
      <c r="A32" s="36"/>
      <c r="B32" s="41"/>
      <c r="C32" s="280" t="s">
        <v>1526</v>
      </c>
      <c r="D32" s="280" t="s">
        <v>6915</v>
      </c>
      <c r="E32" s="19" t="s">
        <v>398</v>
      </c>
      <c r="F32" s="281">
        <v>4438.3890000000001</v>
      </c>
      <c r="G32" s="36"/>
      <c r="H32" s="41"/>
    </row>
    <row r="33" spans="1:8" s="2" customFormat="1" ht="16.899999999999999" customHeight="1">
      <c r="A33" s="36"/>
      <c r="B33" s="41"/>
      <c r="C33" s="280" t="s">
        <v>1539</v>
      </c>
      <c r="D33" s="280" t="s">
        <v>1540</v>
      </c>
      <c r="E33" s="19" t="s">
        <v>398</v>
      </c>
      <c r="F33" s="281">
        <v>1208.598</v>
      </c>
      <c r="G33" s="36"/>
      <c r="H33" s="41"/>
    </row>
    <row r="34" spans="1:8" s="2" customFormat="1" ht="16.899999999999999" customHeight="1">
      <c r="A34" s="36"/>
      <c r="B34" s="41"/>
      <c r="C34" s="280" t="s">
        <v>1554</v>
      </c>
      <c r="D34" s="280" t="s">
        <v>6917</v>
      </c>
      <c r="E34" s="19" t="s">
        <v>398</v>
      </c>
      <c r="F34" s="281">
        <v>976.14</v>
      </c>
      <c r="G34" s="36"/>
      <c r="H34" s="41"/>
    </row>
    <row r="35" spans="1:8" s="2" customFormat="1" ht="16.899999999999999" customHeight="1">
      <c r="A35" s="36"/>
      <c r="B35" s="41"/>
      <c r="C35" s="276" t="s">
        <v>2251</v>
      </c>
      <c r="D35" s="277" t="s">
        <v>2251</v>
      </c>
      <c r="E35" s="278" t="s">
        <v>19</v>
      </c>
      <c r="F35" s="279">
        <v>95.1</v>
      </c>
      <c r="G35" s="36"/>
      <c r="H35" s="41"/>
    </row>
    <row r="36" spans="1:8" s="2" customFormat="1" ht="16.899999999999999" customHeight="1">
      <c r="A36" s="36"/>
      <c r="B36" s="41"/>
      <c r="C36" s="280" t="s">
        <v>19</v>
      </c>
      <c r="D36" s="280" t="s">
        <v>1058</v>
      </c>
      <c r="E36" s="19" t="s">
        <v>19</v>
      </c>
      <c r="F36" s="281">
        <v>0</v>
      </c>
      <c r="G36" s="36"/>
      <c r="H36" s="41"/>
    </row>
    <row r="37" spans="1:8" s="2" customFormat="1" ht="16.899999999999999" customHeight="1">
      <c r="A37" s="36"/>
      <c r="B37" s="41"/>
      <c r="C37" s="280" t="s">
        <v>19</v>
      </c>
      <c r="D37" s="280" t="s">
        <v>2249</v>
      </c>
      <c r="E37" s="19" t="s">
        <v>19</v>
      </c>
      <c r="F37" s="281">
        <v>0</v>
      </c>
      <c r="G37" s="36"/>
      <c r="H37" s="41"/>
    </row>
    <row r="38" spans="1:8" s="2" customFormat="1" ht="16.899999999999999" customHeight="1">
      <c r="A38" s="36"/>
      <c r="B38" s="41"/>
      <c r="C38" s="280" t="s">
        <v>19</v>
      </c>
      <c r="D38" s="280" t="s">
        <v>2250</v>
      </c>
      <c r="E38" s="19" t="s">
        <v>19</v>
      </c>
      <c r="F38" s="281">
        <v>95.1</v>
      </c>
      <c r="G38" s="36"/>
      <c r="H38" s="41"/>
    </row>
    <row r="39" spans="1:8" s="2" customFormat="1" ht="16.899999999999999" customHeight="1">
      <c r="A39" s="36"/>
      <c r="B39" s="41"/>
      <c r="C39" s="280" t="s">
        <v>2251</v>
      </c>
      <c r="D39" s="280" t="s">
        <v>572</v>
      </c>
      <c r="E39" s="19" t="s">
        <v>19</v>
      </c>
      <c r="F39" s="281">
        <v>95.1</v>
      </c>
      <c r="G39" s="36"/>
      <c r="H39" s="41"/>
    </row>
    <row r="40" spans="1:8" s="2" customFormat="1" ht="16.899999999999999" customHeight="1">
      <c r="A40" s="36"/>
      <c r="B40" s="41"/>
      <c r="C40" s="276" t="s">
        <v>273</v>
      </c>
      <c r="D40" s="277" t="s">
        <v>274</v>
      </c>
      <c r="E40" s="278" t="s">
        <v>19</v>
      </c>
      <c r="F40" s="279">
        <v>47.1</v>
      </c>
      <c r="G40" s="36"/>
      <c r="H40" s="41"/>
    </row>
    <row r="41" spans="1:8" s="2" customFormat="1" ht="16.899999999999999" customHeight="1">
      <c r="A41" s="36"/>
      <c r="B41" s="41"/>
      <c r="C41" s="280" t="s">
        <v>19</v>
      </c>
      <c r="D41" s="280" t="s">
        <v>19</v>
      </c>
      <c r="E41" s="19" t="s">
        <v>19</v>
      </c>
      <c r="F41" s="281">
        <v>0</v>
      </c>
      <c r="G41" s="36"/>
      <c r="H41" s="41"/>
    </row>
    <row r="42" spans="1:8" s="2" customFormat="1" ht="16.899999999999999" customHeight="1">
      <c r="A42" s="36"/>
      <c r="B42" s="41"/>
      <c r="C42" s="280" t="s">
        <v>19</v>
      </c>
      <c r="D42" s="280" t="s">
        <v>2231</v>
      </c>
      <c r="E42" s="19" t="s">
        <v>19</v>
      </c>
      <c r="F42" s="281">
        <v>0</v>
      </c>
      <c r="G42" s="36"/>
      <c r="H42" s="41"/>
    </row>
    <row r="43" spans="1:8" s="2" customFormat="1" ht="16.899999999999999" customHeight="1">
      <c r="A43" s="36"/>
      <c r="B43" s="41"/>
      <c r="C43" s="280" t="s">
        <v>19</v>
      </c>
      <c r="D43" s="280" t="s">
        <v>275</v>
      </c>
      <c r="E43" s="19" t="s">
        <v>19</v>
      </c>
      <c r="F43" s="281">
        <v>47.1</v>
      </c>
      <c r="G43" s="36"/>
      <c r="H43" s="41"/>
    </row>
    <row r="44" spans="1:8" s="2" customFormat="1" ht="16.899999999999999" customHeight="1">
      <c r="A44" s="36"/>
      <c r="B44" s="41"/>
      <c r="C44" s="280" t="s">
        <v>273</v>
      </c>
      <c r="D44" s="280" t="s">
        <v>572</v>
      </c>
      <c r="E44" s="19" t="s">
        <v>19</v>
      </c>
      <c r="F44" s="281">
        <v>47.1</v>
      </c>
      <c r="G44" s="36"/>
      <c r="H44" s="41"/>
    </row>
    <row r="45" spans="1:8" s="2" customFormat="1" ht="16.899999999999999" customHeight="1">
      <c r="A45" s="36"/>
      <c r="B45" s="41"/>
      <c r="C45" s="282" t="s">
        <v>6912</v>
      </c>
      <c r="D45" s="36"/>
      <c r="E45" s="36"/>
      <c r="F45" s="36"/>
      <c r="G45" s="36"/>
      <c r="H45" s="41"/>
    </row>
    <row r="46" spans="1:8" s="2" customFormat="1" ht="16.899999999999999" customHeight="1">
      <c r="A46" s="36"/>
      <c r="B46" s="41"/>
      <c r="C46" s="280" t="s">
        <v>2226</v>
      </c>
      <c r="D46" s="280" t="s">
        <v>6916</v>
      </c>
      <c r="E46" s="19" t="s">
        <v>398</v>
      </c>
      <c r="F46" s="281">
        <v>2205.0500000000002</v>
      </c>
      <c r="G46" s="36"/>
      <c r="H46" s="41"/>
    </row>
    <row r="47" spans="1:8" s="2" customFormat="1" ht="16.899999999999999" customHeight="1">
      <c r="A47" s="36"/>
      <c r="B47" s="41"/>
      <c r="C47" s="280" t="s">
        <v>1262</v>
      </c>
      <c r="D47" s="280" t="s">
        <v>6913</v>
      </c>
      <c r="E47" s="19" t="s">
        <v>398</v>
      </c>
      <c r="F47" s="281">
        <v>107.7</v>
      </c>
      <c r="G47" s="36"/>
      <c r="H47" s="41"/>
    </row>
    <row r="48" spans="1:8" s="2" customFormat="1" ht="16.899999999999999" customHeight="1">
      <c r="A48" s="36"/>
      <c r="B48" s="41"/>
      <c r="C48" s="280" t="s">
        <v>1281</v>
      </c>
      <c r="D48" s="280" t="s">
        <v>6914</v>
      </c>
      <c r="E48" s="19" t="s">
        <v>398</v>
      </c>
      <c r="F48" s="281">
        <v>3185.2</v>
      </c>
      <c r="G48" s="36"/>
      <c r="H48" s="41"/>
    </row>
    <row r="49" spans="1:8" s="2" customFormat="1" ht="16.899999999999999" customHeight="1">
      <c r="A49" s="36"/>
      <c r="B49" s="41"/>
      <c r="C49" s="280" t="s">
        <v>1526</v>
      </c>
      <c r="D49" s="280" t="s">
        <v>6915</v>
      </c>
      <c r="E49" s="19" t="s">
        <v>398</v>
      </c>
      <c r="F49" s="281">
        <v>4438.3890000000001</v>
      </c>
      <c r="G49" s="36"/>
      <c r="H49" s="41"/>
    </row>
    <row r="50" spans="1:8" s="2" customFormat="1" ht="16.899999999999999" customHeight="1">
      <c r="A50" s="36"/>
      <c r="B50" s="41"/>
      <c r="C50" s="280" t="s">
        <v>1544</v>
      </c>
      <c r="D50" s="280" t="s">
        <v>1545</v>
      </c>
      <c r="E50" s="19" t="s">
        <v>398</v>
      </c>
      <c r="F50" s="281">
        <v>1398.114</v>
      </c>
      <c r="G50" s="36"/>
      <c r="H50" s="41"/>
    </row>
    <row r="51" spans="1:8" s="2" customFormat="1" ht="16.899999999999999" customHeight="1">
      <c r="A51" s="36"/>
      <c r="B51" s="41"/>
      <c r="C51" s="276" t="s">
        <v>276</v>
      </c>
      <c r="D51" s="277" t="s">
        <v>276</v>
      </c>
      <c r="E51" s="278" t="s">
        <v>19</v>
      </c>
      <c r="F51" s="279">
        <v>110.3</v>
      </c>
      <c r="G51" s="36"/>
      <c r="H51" s="41"/>
    </row>
    <row r="52" spans="1:8" s="2" customFormat="1" ht="16.899999999999999" customHeight="1">
      <c r="A52" s="36"/>
      <c r="B52" s="41"/>
      <c r="C52" s="280" t="s">
        <v>19</v>
      </c>
      <c r="D52" s="280" t="s">
        <v>1058</v>
      </c>
      <c r="E52" s="19" t="s">
        <v>19</v>
      </c>
      <c r="F52" s="281">
        <v>0</v>
      </c>
      <c r="G52" s="36"/>
      <c r="H52" s="41"/>
    </row>
    <row r="53" spans="1:8" s="2" customFormat="1" ht="16.899999999999999" customHeight="1">
      <c r="A53" s="36"/>
      <c r="B53" s="41"/>
      <c r="C53" s="280" t="s">
        <v>19</v>
      </c>
      <c r="D53" s="280" t="s">
        <v>2242</v>
      </c>
      <c r="E53" s="19" t="s">
        <v>19</v>
      </c>
      <c r="F53" s="281">
        <v>0</v>
      </c>
      <c r="G53" s="36"/>
      <c r="H53" s="41"/>
    </row>
    <row r="54" spans="1:8" s="2" customFormat="1" ht="16.899999999999999" customHeight="1">
      <c r="A54" s="36"/>
      <c r="B54" s="41"/>
      <c r="C54" s="280" t="s">
        <v>19</v>
      </c>
      <c r="D54" s="280" t="s">
        <v>277</v>
      </c>
      <c r="E54" s="19" t="s">
        <v>19</v>
      </c>
      <c r="F54" s="281">
        <v>110.3</v>
      </c>
      <c r="G54" s="36"/>
      <c r="H54" s="41"/>
    </row>
    <row r="55" spans="1:8" s="2" customFormat="1" ht="16.899999999999999" customHeight="1">
      <c r="A55" s="36"/>
      <c r="B55" s="41"/>
      <c r="C55" s="280" t="s">
        <v>276</v>
      </c>
      <c r="D55" s="280" t="s">
        <v>572</v>
      </c>
      <c r="E55" s="19" t="s">
        <v>19</v>
      </c>
      <c r="F55" s="281">
        <v>110.3</v>
      </c>
      <c r="G55" s="36"/>
      <c r="H55" s="41"/>
    </row>
    <row r="56" spans="1:8" s="2" customFormat="1" ht="16.899999999999999" customHeight="1">
      <c r="A56" s="36"/>
      <c r="B56" s="41"/>
      <c r="C56" s="282" t="s">
        <v>6912</v>
      </c>
      <c r="D56" s="36"/>
      <c r="E56" s="36"/>
      <c r="F56" s="36"/>
      <c r="G56" s="36"/>
      <c r="H56" s="41"/>
    </row>
    <row r="57" spans="1:8" s="2" customFormat="1" ht="16.899999999999999" customHeight="1">
      <c r="A57" s="36"/>
      <c r="B57" s="41"/>
      <c r="C57" s="280" t="s">
        <v>2239</v>
      </c>
      <c r="D57" s="280" t="s">
        <v>6918</v>
      </c>
      <c r="E57" s="19" t="s">
        <v>398</v>
      </c>
      <c r="F57" s="281">
        <v>802.16</v>
      </c>
      <c r="G57" s="36"/>
      <c r="H57" s="41"/>
    </row>
    <row r="58" spans="1:8" s="2" customFormat="1" ht="16.899999999999999" customHeight="1">
      <c r="A58" s="36"/>
      <c r="B58" s="41"/>
      <c r="C58" s="280" t="s">
        <v>1267</v>
      </c>
      <c r="D58" s="280" t="s">
        <v>6913</v>
      </c>
      <c r="E58" s="19" t="s">
        <v>398</v>
      </c>
      <c r="F58" s="281">
        <v>2236.4</v>
      </c>
      <c r="G58" s="36"/>
      <c r="H58" s="41"/>
    </row>
    <row r="59" spans="1:8" s="2" customFormat="1" ht="16.899999999999999" customHeight="1">
      <c r="A59" s="36"/>
      <c r="B59" s="41"/>
      <c r="C59" s="280" t="s">
        <v>1281</v>
      </c>
      <c r="D59" s="280" t="s">
        <v>6914</v>
      </c>
      <c r="E59" s="19" t="s">
        <v>398</v>
      </c>
      <c r="F59" s="281">
        <v>3185.2</v>
      </c>
      <c r="G59" s="36"/>
      <c r="H59" s="41"/>
    </row>
    <row r="60" spans="1:8" s="2" customFormat="1" ht="16.899999999999999" customHeight="1">
      <c r="A60" s="36"/>
      <c r="B60" s="41"/>
      <c r="C60" s="280" t="s">
        <v>1526</v>
      </c>
      <c r="D60" s="280" t="s">
        <v>6915</v>
      </c>
      <c r="E60" s="19" t="s">
        <v>398</v>
      </c>
      <c r="F60" s="281">
        <v>4438.3890000000001</v>
      </c>
      <c r="G60" s="36"/>
      <c r="H60" s="41"/>
    </row>
    <row r="61" spans="1:8" s="2" customFormat="1" ht="16.899999999999999" customHeight="1">
      <c r="A61" s="36"/>
      <c r="B61" s="41"/>
      <c r="C61" s="280" t="s">
        <v>1539</v>
      </c>
      <c r="D61" s="280" t="s">
        <v>1540</v>
      </c>
      <c r="E61" s="19" t="s">
        <v>398</v>
      </c>
      <c r="F61" s="281">
        <v>1208.598</v>
      </c>
      <c r="G61" s="36"/>
      <c r="H61" s="41"/>
    </row>
    <row r="62" spans="1:8" s="2" customFormat="1" ht="16.899999999999999" customHeight="1">
      <c r="A62" s="36"/>
      <c r="B62" s="41"/>
      <c r="C62" s="280" t="s">
        <v>1554</v>
      </c>
      <c r="D62" s="280" t="s">
        <v>6917</v>
      </c>
      <c r="E62" s="19" t="s">
        <v>398</v>
      </c>
      <c r="F62" s="281">
        <v>976.14</v>
      </c>
      <c r="G62" s="36"/>
      <c r="H62" s="41"/>
    </row>
    <row r="63" spans="1:8" s="2" customFormat="1" ht="16.899999999999999" customHeight="1">
      <c r="A63" s="36"/>
      <c r="B63" s="41"/>
      <c r="C63" s="276" t="s">
        <v>278</v>
      </c>
      <c r="D63" s="277" t="s">
        <v>278</v>
      </c>
      <c r="E63" s="278" t="s">
        <v>19</v>
      </c>
      <c r="F63" s="279">
        <v>712.7</v>
      </c>
      <c r="G63" s="36"/>
      <c r="H63" s="41"/>
    </row>
    <row r="64" spans="1:8" s="2" customFormat="1" ht="16.899999999999999" customHeight="1">
      <c r="A64" s="36"/>
      <c r="B64" s="41"/>
      <c r="C64" s="280" t="s">
        <v>19</v>
      </c>
      <c r="D64" s="280" t="s">
        <v>19</v>
      </c>
      <c r="E64" s="19" t="s">
        <v>19</v>
      </c>
      <c r="F64" s="281">
        <v>0</v>
      </c>
      <c r="G64" s="36"/>
      <c r="H64" s="41"/>
    </row>
    <row r="65" spans="1:8" s="2" customFormat="1" ht="16.899999999999999" customHeight="1">
      <c r="A65" s="36"/>
      <c r="B65" s="41"/>
      <c r="C65" s="280" t="s">
        <v>19</v>
      </c>
      <c r="D65" s="280" t="s">
        <v>2232</v>
      </c>
      <c r="E65" s="19" t="s">
        <v>19</v>
      </c>
      <c r="F65" s="281">
        <v>0</v>
      </c>
      <c r="G65" s="36"/>
      <c r="H65" s="41"/>
    </row>
    <row r="66" spans="1:8" s="2" customFormat="1" ht="16.899999999999999" customHeight="1">
      <c r="A66" s="36"/>
      <c r="B66" s="41"/>
      <c r="C66" s="280" t="s">
        <v>19</v>
      </c>
      <c r="D66" s="280" t="s">
        <v>279</v>
      </c>
      <c r="E66" s="19" t="s">
        <v>19</v>
      </c>
      <c r="F66" s="281">
        <v>712.7</v>
      </c>
      <c r="G66" s="36"/>
      <c r="H66" s="41"/>
    </row>
    <row r="67" spans="1:8" s="2" customFormat="1" ht="16.899999999999999" customHeight="1">
      <c r="A67" s="36"/>
      <c r="B67" s="41"/>
      <c r="C67" s="280" t="s">
        <v>278</v>
      </c>
      <c r="D67" s="280" t="s">
        <v>572</v>
      </c>
      <c r="E67" s="19" t="s">
        <v>19</v>
      </c>
      <c r="F67" s="281">
        <v>712.7</v>
      </c>
      <c r="G67" s="36"/>
      <c r="H67" s="41"/>
    </row>
    <row r="68" spans="1:8" s="2" customFormat="1" ht="16.899999999999999" customHeight="1">
      <c r="A68" s="36"/>
      <c r="B68" s="41"/>
      <c r="C68" s="282" t="s">
        <v>6912</v>
      </c>
      <c r="D68" s="36"/>
      <c r="E68" s="36"/>
      <c r="F68" s="36"/>
      <c r="G68" s="36"/>
      <c r="H68" s="41"/>
    </row>
    <row r="69" spans="1:8" s="2" customFormat="1" ht="16.899999999999999" customHeight="1">
      <c r="A69" s="36"/>
      <c r="B69" s="41"/>
      <c r="C69" s="280" t="s">
        <v>2226</v>
      </c>
      <c r="D69" s="280" t="s">
        <v>6916</v>
      </c>
      <c r="E69" s="19" t="s">
        <v>398</v>
      </c>
      <c r="F69" s="281">
        <v>2205.0500000000002</v>
      </c>
      <c r="G69" s="36"/>
      <c r="H69" s="41"/>
    </row>
    <row r="70" spans="1:8" s="2" customFormat="1" ht="16.899999999999999" customHeight="1">
      <c r="A70" s="36"/>
      <c r="B70" s="41"/>
      <c r="C70" s="280" t="s">
        <v>1267</v>
      </c>
      <c r="D70" s="280" t="s">
        <v>6913</v>
      </c>
      <c r="E70" s="19" t="s">
        <v>398</v>
      </c>
      <c r="F70" s="281">
        <v>2236.4</v>
      </c>
      <c r="G70" s="36"/>
      <c r="H70" s="41"/>
    </row>
    <row r="71" spans="1:8" s="2" customFormat="1" ht="16.899999999999999" customHeight="1">
      <c r="A71" s="36"/>
      <c r="B71" s="41"/>
      <c r="C71" s="280" t="s">
        <v>1281</v>
      </c>
      <c r="D71" s="280" t="s">
        <v>6914</v>
      </c>
      <c r="E71" s="19" t="s">
        <v>398</v>
      </c>
      <c r="F71" s="281">
        <v>3185.2</v>
      </c>
      <c r="G71" s="36"/>
      <c r="H71" s="41"/>
    </row>
    <row r="72" spans="1:8" s="2" customFormat="1" ht="16.899999999999999" customHeight="1">
      <c r="A72" s="36"/>
      <c r="B72" s="41"/>
      <c r="C72" s="280" t="s">
        <v>1526</v>
      </c>
      <c r="D72" s="280" t="s">
        <v>6915</v>
      </c>
      <c r="E72" s="19" t="s">
        <v>398</v>
      </c>
      <c r="F72" s="281">
        <v>4438.3890000000001</v>
      </c>
      <c r="G72" s="36"/>
      <c r="H72" s="41"/>
    </row>
    <row r="73" spans="1:8" s="2" customFormat="1" ht="16.899999999999999" customHeight="1">
      <c r="A73" s="36"/>
      <c r="B73" s="41"/>
      <c r="C73" s="280" t="s">
        <v>1539</v>
      </c>
      <c r="D73" s="280" t="s">
        <v>1540</v>
      </c>
      <c r="E73" s="19" t="s">
        <v>398</v>
      </c>
      <c r="F73" s="281">
        <v>1208.598</v>
      </c>
      <c r="G73" s="36"/>
      <c r="H73" s="41"/>
    </row>
    <row r="74" spans="1:8" s="2" customFormat="1" ht="16.899999999999999" customHeight="1">
      <c r="A74" s="36"/>
      <c r="B74" s="41"/>
      <c r="C74" s="280" t="s">
        <v>1554</v>
      </c>
      <c r="D74" s="280" t="s">
        <v>6917</v>
      </c>
      <c r="E74" s="19" t="s">
        <v>398</v>
      </c>
      <c r="F74" s="281">
        <v>976.14</v>
      </c>
      <c r="G74" s="36"/>
      <c r="H74" s="41"/>
    </row>
    <row r="75" spans="1:8" s="2" customFormat="1" ht="16.899999999999999" customHeight="1">
      <c r="A75" s="36"/>
      <c r="B75" s="41"/>
      <c r="C75" s="276" t="s">
        <v>280</v>
      </c>
      <c r="D75" s="277" t="s">
        <v>280</v>
      </c>
      <c r="E75" s="278" t="s">
        <v>19</v>
      </c>
      <c r="F75" s="279">
        <v>16</v>
      </c>
      <c r="G75" s="36"/>
      <c r="H75" s="41"/>
    </row>
    <row r="76" spans="1:8" s="2" customFormat="1" ht="16.899999999999999" customHeight="1">
      <c r="A76" s="36"/>
      <c r="B76" s="41"/>
      <c r="C76" s="280" t="s">
        <v>19</v>
      </c>
      <c r="D76" s="280" t="s">
        <v>1058</v>
      </c>
      <c r="E76" s="19" t="s">
        <v>19</v>
      </c>
      <c r="F76" s="281">
        <v>0</v>
      </c>
      <c r="G76" s="36"/>
      <c r="H76" s="41"/>
    </row>
    <row r="77" spans="1:8" s="2" customFormat="1" ht="16.899999999999999" customHeight="1">
      <c r="A77" s="36"/>
      <c r="B77" s="41"/>
      <c r="C77" s="280" t="s">
        <v>19</v>
      </c>
      <c r="D77" s="280" t="s">
        <v>2206</v>
      </c>
      <c r="E77" s="19" t="s">
        <v>19</v>
      </c>
      <c r="F77" s="281">
        <v>0</v>
      </c>
      <c r="G77" s="36"/>
      <c r="H77" s="41"/>
    </row>
    <row r="78" spans="1:8" s="2" customFormat="1" ht="16.899999999999999" customHeight="1">
      <c r="A78" s="36"/>
      <c r="B78" s="41"/>
      <c r="C78" s="280" t="s">
        <v>19</v>
      </c>
      <c r="D78" s="280" t="s">
        <v>2207</v>
      </c>
      <c r="E78" s="19" t="s">
        <v>19</v>
      </c>
      <c r="F78" s="281">
        <v>16</v>
      </c>
      <c r="G78" s="36"/>
      <c r="H78" s="41"/>
    </row>
    <row r="79" spans="1:8" s="2" customFormat="1" ht="16.899999999999999" customHeight="1">
      <c r="A79" s="36"/>
      <c r="B79" s="41"/>
      <c r="C79" s="280" t="s">
        <v>280</v>
      </c>
      <c r="D79" s="280" t="s">
        <v>572</v>
      </c>
      <c r="E79" s="19" t="s">
        <v>19</v>
      </c>
      <c r="F79" s="281">
        <v>16</v>
      </c>
      <c r="G79" s="36"/>
      <c r="H79" s="41"/>
    </row>
    <row r="80" spans="1:8" s="2" customFormat="1" ht="16.899999999999999" customHeight="1">
      <c r="A80" s="36"/>
      <c r="B80" s="41"/>
      <c r="C80" s="282" t="s">
        <v>6912</v>
      </c>
      <c r="D80" s="36"/>
      <c r="E80" s="36"/>
      <c r="F80" s="36"/>
      <c r="G80" s="36"/>
      <c r="H80" s="41"/>
    </row>
    <row r="81" spans="1:8" s="2" customFormat="1" ht="16.899999999999999" customHeight="1">
      <c r="A81" s="36"/>
      <c r="B81" s="41"/>
      <c r="C81" s="280" t="s">
        <v>2203</v>
      </c>
      <c r="D81" s="280" t="s">
        <v>6919</v>
      </c>
      <c r="E81" s="19" t="s">
        <v>398</v>
      </c>
      <c r="F81" s="281">
        <v>60.6</v>
      </c>
      <c r="G81" s="36"/>
      <c r="H81" s="41"/>
    </row>
    <row r="82" spans="1:8" s="2" customFormat="1" ht="16.899999999999999" customHeight="1">
      <c r="A82" s="36"/>
      <c r="B82" s="41"/>
      <c r="C82" s="280" t="s">
        <v>1262</v>
      </c>
      <c r="D82" s="280" t="s">
        <v>6913</v>
      </c>
      <c r="E82" s="19" t="s">
        <v>398</v>
      </c>
      <c r="F82" s="281">
        <v>107.7</v>
      </c>
      <c r="G82" s="36"/>
      <c r="H82" s="41"/>
    </row>
    <row r="83" spans="1:8" s="2" customFormat="1" ht="16.899999999999999" customHeight="1">
      <c r="A83" s="36"/>
      <c r="B83" s="41"/>
      <c r="C83" s="280" t="s">
        <v>1281</v>
      </c>
      <c r="D83" s="280" t="s">
        <v>6914</v>
      </c>
      <c r="E83" s="19" t="s">
        <v>398</v>
      </c>
      <c r="F83" s="281">
        <v>3185.2</v>
      </c>
      <c r="G83" s="36"/>
      <c r="H83" s="41"/>
    </row>
    <row r="84" spans="1:8" s="2" customFormat="1" ht="16.899999999999999" customHeight="1">
      <c r="A84" s="36"/>
      <c r="B84" s="41"/>
      <c r="C84" s="280" t="s">
        <v>1395</v>
      </c>
      <c r="D84" s="280" t="s">
        <v>19</v>
      </c>
      <c r="E84" s="19" t="s">
        <v>398</v>
      </c>
      <c r="F84" s="281">
        <v>137.67500000000001</v>
      </c>
      <c r="G84" s="36"/>
      <c r="H84" s="41"/>
    </row>
    <row r="85" spans="1:8" s="2" customFormat="1" ht="16.899999999999999" customHeight="1">
      <c r="A85" s="36"/>
      <c r="B85" s="41"/>
      <c r="C85" s="280" t="s">
        <v>1526</v>
      </c>
      <c r="D85" s="280" t="s">
        <v>6915</v>
      </c>
      <c r="E85" s="19" t="s">
        <v>398</v>
      </c>
      <c r="F85" s="281">
        <v>4438.3890000000001</v>
      </c>
      <c r="G85" s="36"/>
      <c r="H85" s="41"/>
    </row>
    <row r="86" spans="1:8" s="2" customFormat="1" ht="16.899999999999999" customHeight="1">
      <c r="A86" s="36"/>
      <c r="B86" s="41"/>
      <c r="C86" s="280" t="s">
        <v>2210</v>
      </c>
      <c r="D86" s="280" t="s">
        <v>6920</v>
      </c>
      <c r="E86" s="19" t="s">
        <v>398</v>
      </c>
      <c r="F86" s="281">
        <v>60.6</v>
      </c>
      <c r="G86" s="36"/>
      <c r="H86" s="41"/>
    </row>
    <row r="87" spans="1:8" s="2" customFormat="1" ht="16.899999999999999" customHeight="1">
      <c r="A87" s="36"/>
      <c r="B87" s="41"/>
      <c r="C87" s="280" t="s">
        <v>1539</v>
      </c>
      <c r="D87" s="280" t="s">
        <v>1540</v>
      </c>
      <c r="E87" s="19" t="s">
        <v>398</v>
      </c>
      <c r="F87" s="281">
        <v>1208.598</v>
      </c>
      <c r="G87" s="36"/>
      <c r="H87" s="41"/>
    </row>
    <row r="88" spans="1:8" s="2" customFormat="1" ht="16.899999999999999" customHeight="1">
      <c r="A88" s="36"/>
      <c r="B88" s="41"/>
      <c r="C88" s="280" t="s">
        <v>1554</v>
      </c>
      <c r="D88" s="280" t="s">
        <v>6917</v>
      </c>
      <c r="E88" s="19" t="s">
        <v>398</v>
      </c>
      <c r="F88" s="281">
        <v>976.14</v>
      </c>
      <c r="G88" s="36"/>
      <c r="H88" s="41"/>
    </row>
    <row r="89" spans="1:8" s="2" customFormat="1" ht="16.899999999999999" customHeight="1">
      <c r="A89" s="36"/>
      <c r="B89" s="41"/>
      <c r="C89" s="280" t="s">
        <v>2215</v>
      </c>
      <c r="D89" s="280" t="s">
        <v>6921</v>
      </c>
      <c r="E89" s="19" t="s">
        <v>398</v>
      </c>
      <c r="F89" s="281">
        <v>69.69</v>
      </c>
      <c r="G89" s="36"/>
      <c r="H89" s="41"/>
    </row>
    <row r="90" spans="1:8" s="2" customFormat="1" ht="16.899999999999999" customHeight="1">
      <c r="A90" s="36"/>
      <c r="B90" s="41"/>
      <c r="C90" s="276" t="s">
        <v>283</v>
      </c>
      <c r="D90" s="277" t="s">
        <v>283</v>
      </c>
      <c r="E90" s="278" t="s">
        <v>19</v>
      </c>
      <c r="F90" s="279">
        <v>19</v>
      </c>
      <c r="G90" s="36"/>
      <c r="H90" s="41"/>
    </row>
    <row r="91" spans="1:8" s="2" customFormat="1" ht="16.899999999999999" customHeight="1">
      <c r="A91" s="36"/>
      <c r="B91" s="41"/>
      <c r="C91" s="280" t="s">
        <v>19</v>
      </c>
      <c r="D91" s="280" t="s">
        <v>19</v>
      </c>
      <c r="E91" s="19" t="s">
        <v>19</v>
      </c>
      <c r="F91" s="281">
        <v>0</v>
      </c>
      <c r="G91" s="36"/>
      <c r="H91" s="41"/>
    </row>
    <row r="92" spans="1:8" s="2" customFormat="1" ht="16.899999999999999" customHeight="1">
      <c r="A92" s="36"/>
      <c r="B92" s="41"/>
      <c r="C92" s="280" t="s">
        <v>19</v>
      </c>
      <c r="D92" s="280" t="s">
        <v>2252</v>
      </c>
      <c r="E92" s="19" t="s">
        <v>19</v>
      </c>
      <c r="F92" s="281">
        <v>0</v>
      </c>
      <c r="G92" s="36"/>
      <c r="H92" s="41"/>
    </row>
    <row r="93" spans="1:8" s="2" customFormat="1" ht="16.899999999999999" customHeight="1">
      <c r="A93" s="36"/>
      <c r="B93" s="41"/>
      <c r="C93" s="280" t="s">
        <v>19</v>
      </c>
      <c r="D93" s="280" t="s">
        <v>2253</v>
      </c>
      <c r="E93" s="19" t="s">
        <v>19</v>
      </c>
      <c r="F93" s="281">
        <v>19</v>
      </c>
      <c r="G93" s="36"/>
      <c r="H93" s="41"/>
    </row>
    <row r="94" spans="1:8" s="2" customFormat="1" ht="16.899999999999999" customHeight="1">
      <c r="A94" s="36"/>
      <c r="B94" s="41"/>
      <c r="C94" s="280" t="s">
        <v>283</v>
      </c>
      <c r="D94" s="280" t="s">
        <v>572</v>
      </c>
      <c r="E94" s="19" t="s">
        <v>19</v>
      </c>
      <c r="F94" s="281">
        <v>19</v>
      </c>
      <c r="G94" s="36"/>
      <c r="H94" s="41"/>
    </row>
    <row r="95" spans="1:8" s="2" customFormat="1" ht="16.899999999999999" customHeight="1">
      <c r="A95" s="36"/>
      <c r="B95" s="41"/>
      <c r="C95" s="282" t="s">
        <v>6912</v>
      </c>
      <c r="D95" s="36"/>
      <c r="E95" s="36"/>
      <c r="F95" s="36"/>
      <c r="G95" s="36"/>
      <c r="H95" s="41"/>
    </row>
    <row r="96" spans="1:8" s="2" customFormat="1" ht="16.899999999999999" customHeight="1">
      <c r="A96" s="36"/>
      <c r="B96" s="41"/>
      <c r="C96" s="280" t="s">
        <v>2246</v>
      </c>
      <c r="D96" s="280" t="s">
        <v>6922</v>
      </c>
      <c r="E96" s="19" t="s">
        <v>398</v>
      </c>
      <c r="F96" s="281">
        <v>340.95</v>
      </c>
      <c r="G96" s="36"/>
      <c r="H96" s="41"/>
    </row>
    <row r="97" spans="1:8" s="2" customFormat="1" ht="16.899999999999999" customHeight="1">
      <c r="A97" s="36"/>
      <c r="B97" s="41"/>
      <c r="C97" s="280" t="s">
        <v>1267</v>
      </c>
      <c r="D97" s="280" t="s">
        <v>6913</v>
      </c>
      <c r="E97" s="19" t="s">
        <v>398</v>
      </c>
      <c r="F97" s="281">
        <v>2236.4</v>
      </c>
      <c r="G97" s="36"/>
      <c r="H97" s="41"/>
    </row>
    <row r="98" spans="1:8" s="2" customFormat="1" ht="16.899999999999999" customHeight="1">
      <c r="A98" s="36"/>
      <c r="B98" s="41"/>
      <c r="C98" s="280" t="s">
        <v>1281</v>
      </c>
      <c r="D98" s="280" t="s">
        <v>6914</v>
      </c>
      <c r="E98" s="19" t="s">
        <v>398</v>
      </c>
      <c r="F98" s="281">
        <v>3185.2</v>
      </c>
      <c r="G98" s="36"/>
      <c r="H98" s="41"/>
    </row>
    <row r="99" spans="1:8" s="2" customFormat="1" ht="16.899999999999999" customHeight="1">
      <c r="A99" s="36"/>
      <c r="B99" s="41"/>
      <c r="C99" s="280" t="s">
        <v>1526</v>
      </c>
      <c r="D99" s="280" t="s">
        <v>6915</v>
      </c>
      <c r="E99" s="19" t="s">
        <v>398</v>
      </c>
      <c r="F99" s="281">
        <v>4438.3890000000001</v>
      </c>
      <c r="G99" s="36"/>
      <c r="H99" s="41"/>
    </row>
    <row r="100" spans="1:8" s="2" customFormat="1" ht="16.899999999999999" customHeight="1">
      <c r="A100" s="36"/>
      <c r="B100" s="41"/>
      <c r="C100" s="280" t="s">
        <v>1539</v>
      </c>
      <c r="D100" s="280" t="s">
        <v>1540</v>
      </c>
      <c r="E100" s="19" t="s">
        <v>398</v>
      </c>
      <c r="F100" s="281">
        <v>1208.598</v>
      </c>
      <c r="G100" s="36"/>
      <c r="H100" s="41"/>
    </row>
    <row r="101" spans="1:8" s="2" customFormat="1" ht="16.899999999999999" customHeight="1">
      <c r="A101" s="36"/>
      <c r="B101" s="41"/>
      <c r="C101" s="280" t="s">
        <v>1554</v>
      </c>
      <c r="D101" s="280" t="s">
        <v>6917</v>
      </c>
      <c r="E101" s="19" t="s">
        <v>398</v>
      </c>
      <c r="F101" s="281">
        <v>976.14</v>
      </c>
      <c r="G101" s="36"/>
      <c r="H101" s="41"/>
    </row>
    <row r="102" spans="1:8" s="2" customFormat="1" ht="16.899999999999999" customHeight="1">
      <c r="A102" s="36"/>
      <c r="B102" s="41"/>
      <c r="C102" s="276" t="s">
        <v>286</v>
      </c>
      <c r="D102" s="277" t="s">
        <v>286</v>
      </c>
      <c r="E102" s="278" t="s">
        <v>19</v>
      </c>
      <c r="F102" s="279">
        <v>182.1</v>
      </c>
      <c r="G102" s="36"/>
      <c r="H102" s="41"/>
    </row>
    <row r="103" spans="1:8" s="2" customFormat="1" ht="16.899999999999999" customHeight="1">
      <c r="A103" s="36"/>
      <c r="B103" s="41"/>
      <c r="C103" s="280" t="s">
        <v>19</v>
      </c>
      <c r="D103" s="280" t="s">
        <v>19</v>
      </c>
      <c r="E103" s="19" t="s">
        <v>19</v>
      </c>
      <c r="F103" s="281">
        <v>0</v>
      </c>
      <c r="G103" s="36"/>
      <c r="H103" s="41"/>
    </row>
    <row r="104" spans="1:8" s="2" customFormat="1" ht="16.899999999999999" customHeight="1">
      <c r="A104" s="36"/>
      <c r="B104" s="41"/>
      <c r="C104" s="280" t="s">
        <v>19</v>
      </c>
      <c r="D104" s="280" t="s">
        <v>2233</v>
      </c>
      <c r="E104" s="19" t="s">
        <v>19</v>
      </c>
      <c r="F104" s="281">
        <v>0</v>
      </c>
      <c r="G104" s="36"/>
      <c r="H104" s="41"/>
    </row>
    <row r="105" spans="1:8" s="2" customFormat="1" ht="16.899999999999999" customHeight="1">
      <c r="A105" s="36"/>
      <c r="B105" s="41"/>
      <c r="C105" s="280" t="s">
        <v>19</v>
      </c>
      <c r="D105" s="280" t="s">
        <v>287</v>
      </c>
      <c r="E105" s="19" t="s">
        <v>19</v>
      </c>
      <c r="F105" s="281">
        <v>182.1</v>
      </c>
      <c r="G105" s="36"/>
      <c r="H105" s="41"/>
    </row>
    <row r="106" spans="1:8" s="2" customFormat="1" ht="16.899999999999999" customHeight="1">
      <c r="A106" s="36"/>
      <c r="B106" s="41"/>
      <c r="C106" s="280" t="s">
        <v>286</v>
      </c>
      <c r="D106" s="280" t="s">
        <v>572</v>
      </c>
      <c r="E106" s="19" t="s">
        <v>19</v>
      </c>
      <c r="F106" s="281">
        <v>182.1</v>
      </c>
      <c r="G106" s="36"/>
      <c r="H106" s="41"/>
    </row>
    <row r="107" spans="1:8" s="2" customFormat="1" ht="16.899999999999999" customHeight="1">
      <c r="A107" s="36"/>
      <c r="B107" s="41"/>
      <c r="C107" s="282" t="s">
        <v>6912</v>
      </c>
      <c r="D107" s="36"/>
      <c r="E107" s="36"/>
      <c r="F107" s="36"/>
      <c r="G107" s="36"/>
      <c r="H107" s="41"/>
    </row>
    <row r="108" spans="1:8" s="2" customFormat="1" ht="16.899999999999999" customHeight="1">
      <c r="A108" s="36"/>
      <c r="B108" s="41"/>
      <c r="C108" s="280" t="s">
        <v>2226</v>
      </c>
      <c r="D108" s="280" t="s">
        <v>6916</v>
      </c>
      <c r="E108" s="19" t="s">
        <v>398</v>
      </c>
      <c r="F108" s="281">
        <v>2205.0500000000002</v>
      </c>
      <c r="G108" s="36"/>
      <c r="H108" s="41"/>
    </row>
    <row r="109" spans="1:8" s="2" customFormat="1" ht="16.899999999999999" customHeight="1">
      <c r="A109" s="36"/>
      <c r="B109" s="41"/>
      <c r="C109" s="280" t="s">
        <v>1257</v>
      </c>
      <c r="D109" s="280" t="s">
        <v>6923</v>
      </c>
      <c r="E109" s="19" t="s">
        <v>385</v>
      </c>
      <c r="F109" s="281">
        <v>1128.5</v>
      </c>
      <c r="G109" s="36"/>
      <c r="H109" s="41"/>
    </row>
    <row r="110" spans="1:8" s="2" customFormat="1" ht="16.899999999999999" customHeight="1">
      <c r="A110" s="36"/>
      <c r="B110" s="41"/>
      <c r="C110" s="280" t="s">
        <v>1267</v>
      </c>
      <c r="D110" s="280" t="s">
        <v>6913</v>
      </c>
      <c r="E110" s="19" t="s">
        <v>398</v>
      </c>
      <c r="F110" s="281">
        <v>2236.4</v>
      </c>
      <c r="G110" s="36"/>
      <c r="H110" s="41"/>
    </row>
    <row r="111" spans="1:8" s="2" customFormat="1" ht="16.899999999999999" customHeight="1">
      <c r="A111" s="36"/>
      <c r="B111" s="41"/>
      <c r="C111" s="280" t="s">
        <v>1281</v>
      </c>
      <c r="D111" s="280" t="s">
        <v>6914</v>
      </c>
      <c r="E111" s="19" t="s">
        <v>398</v>
      </c>
      <c r="F111" s="281">
        <v>3185.2</v>
      </c>
      <c r="G111" s="36"/>
      <c r="H111" s="41"/>
    </row>
    <row r="112" spans="1:8" s="2" customFormat="1" ht="16.899999999999999" customHeight="1">
      <c r="A112" s="36"/>
      <c r="B112" s="41"/>
      <c r="C112" s="280" t="s">
        <v>1526</v>
      </c>
      <c r="D112" s="280" t="s">
        <v>6915</v>
      </c>
      <c r="E112" s="19" t="s">
        <v>398</v>
      </c>
      <c r="F112" s="281">
        <v>4438.3890000000001</v>
      </c>
      <c r="G112" s="36"/>
      <c r="H112" s="41"/>
    </row>
    <row r="113" spans="1:8" s="2" customFormat="1" ht="16.899999999999999" customHeight="1">
      <c r="A113" s="36"/>
      <c r="B113" s="41"/>
      <c r="C113" s="280" t="s">
        <v>1544</v>
      </c>
      <c r="D113" s="280" t="s">
        <v>1545</v>
      </c>
      <c r="E113" s="19" t="s">
        <v>398</v>
      </c>
      <c r="F113" s="281">
        <v>1398.114</v>
      </c>
      <c r="G113" s="36"/>
      <c r="H113" s="41"/>
    </row>
    <row r="114" spans="1:8" s="2" customFormat="1" ht="16.899999999999999" customHeight="1">
      <c r="A114" s="36"/>
      <c r="B114" s="41"/>
      <c r="C114" s="276" t="s">
        <v>289</v>
      </c>
      <c r="D114" s="277" t="s">
        <v>289</v>
      </c>
      <c r="E114" s="278" t="s">
        <v>19</v>
      </c>
      <c r="F114" s="279">
        <v>661.6</v>
      </c>
      <c r="G114" s="36"/>
      <c r="H114" s="41"/>
    </row>
    <row r="115" spans="1:8" s="2" customFormat="1" ht="16.899999999999999" customHeight="1">
      <c r="A115" s="36"/>
      <c r="B115" s="41"/>
      <c r="C115" s="280" t="s">
        <v>19</v>
      </c>
      <c r="D115" s="280" t="s">
        <v>19</v>
      </c>
      <c r="E115" s="19" t="s">
        <v>19</v>
      </c>
      <c r="F115" s="281">
        <v>0</v>
      </c>
      <c r="G115" s="36"/>
      <c r="H115" s="41"/>
    </row>
    <row r="116" spans="1:8" s="2" customFormat="1" ht="16.899999999999999" customHeight="1">
      <c r="A116" s="36"/>
      <c r="B116" s="41"/>
      <c r="C116" s="280" t="s">
        <v>19</v>
      </c>
      <c r="D116" s="280" t="s">
        <v>2243</v>
      </c>
      <c r="E116" s="19" t="s">
        <v>19</v>
      </c>
      <c r="F116" s="281">
        <v>0</v>
      </c>
      <c r="G116" s="36"/>
      <c r="H116" s="41"/>
    </row>
    <row r="117" spans="1:8" s="2" customFormat="1" ht="16.899999999999999" customHeight="1">
      <c r="A117" s="36"/>
      <c r="B117" s="41"/>
      <c r="C117" s="280" t="s">
        <v>19</v>
      </c>
      <c r="D117" s="280" t="s">
        <v>290</v>
      </c>
      <c r="E117" s="19" t="s">
        <v>19</v>
      </c>
      <c r="F117" s="281">
        <v>661.6</v>
      </c>
      <c r="G117" s="36"/>
      <c r="H117" s="41"/>
    </row>
    <row r="118" spans="1:8" s="2" customFormat="1" ht="16.899999999999999" customHeight="1">
      <c r="A118" s="36"/>
      <c r="B118" s="41"/>
      <c r="C118" s="280" t="s">
        <v>289</v>
      </c>
      <c r="D118" s="280" t="s">
        <v>572</v>
      </c>
      <c r="E118" s="19" t="s">
        <v>19</v>
      </c>
      <c r="F118" s="281">
        <v>661.6</v>
      </c>
      <c r="G118" s="36"/>
      <c r="H118" s="41"/>
    </row>
    <row r="119" spans="1:8" s="2" customFormat="1" ht="16.899999999999999" customHeight="1">
      <c r="A119" s="36"/>
      <c r="B119" s="41"/>
      <c r="C119" s="282" t="s">
        <v>6912</v>
      </c>
      <c r="D119" s="36"/>
      <c r="E119" s="36"/>
      <c r="F119" s="36"/>
      <c r="G119" s="36"/>
      <c r="H119" s="41"/>
    </row>
    <row r="120" spans="1:8" s="2" customFormat="1" ht="16.899999999999999" customHeight="1">
      <c r="A120" s="36"/>
      <c r="B120" s="41"/>
      <c r="C120" s="280" t="s">
        <v>2239</v>
      </c>
      <c r="D120" s="280" t="s">
        <v>6918</v>
      </c>
      <c r="E120" s="19" t="s">
        <v>398</v>
      </c>
      <c r="F120" s="281">
        <v>802.16</v>
      </c>
      <c r="G120" s="36"/>
      <c r="H120" s="41"/>
    </row>
    <row r="121" spans="1:8" s="2" customFormat="1" ht="16.899999999999999" customHeight="1">
      <c r="A121" s="36"/>
      <c r="B121" s="41"/>
      <c r="C121" s="280" t="s">
        <v>1257</v>
      </c>
      <c r="D121" s="280" t="s">
        <v>6923</v>
      </c>
      <c r="E121" s="19" t="s">
        <v>385</v>
      </c>
      <c r="F121" s="281">
        <v>1128.5</v>
      </c>
      <c r="G121" s="36"/>
      <c r="H121" s="41"/>
    </row>
    <row r="122" spans="1:8" s="2" customFormat="1" ht="16.899999999999999" customHeight="1">
      <c r="A122" s="36"/>
      <c r="B122" s="41"/>
      <c r="C122" s="280" t="s">
        <v>1267</v>
      </c>
      <c r="D122" s="280" t="s">
        <v>6913</v>
      </c>
      <c r="E122" s="19" t="s">
        <v>398</v>
      </c>
      <c r="F122" s="281">
        <v>2236.4</v>
      </c>
      <c r="G122" s="36"/>
      <c r="H122" s="41"/>
    </row>
    <row r="123" spans="1:8" s="2" customFormat="1" ht="16.899999999999999" customHeight="1">
      <c r="A123" s="36"/>
      <c r="B123" s="41"/>
      <c r="C123" s="280" t="s">
        <v>1281</v>
      </c>
      <c r="D123" s="280" t="s">
        <v>6914</v>
      </c>
      <c r="E123" s="19" t="s">
        <v>398</v>
      </c>
      <c r="F123" s="281">
        <v>3185.2</v>
      </c>
      <c r="G123" s="36"/>
      <c r="H123" s="41"/>
    </row>
    <row r="124" spans="1:8" s="2" customFormat="1" ht="16.899999999999999" customHeight="1">
      <c r="A124" s="36"/>
      <c r="B124" s="41"/>
      <c r="C124" s="280" t="s">
        <v>1526</v>
      </c>
      <c r="D124" s="280" t="s">
        <v>6915</v>
      </c>
      <c r="E124" s="19" t="s">
        <v>398</v>
      </c>
      <c r="F124" s="281">
        <v>4438.3890000000001</v>
      </c>
      <c r="G124" s="36"/>
      <c r="H124" s="41"/>
    </row>
    <row r="125" spans="1:8" s="2" customFormat="1" ht="16.899999999999999" customHeight="1">
      <c r="A125" s="36"/>
      <c r="B125" s="41"/>
      <c r="C125" s="280" t="s">
        <v>1544</v>
      </c>
      <c r="D125" s="280" t="s">
        <v>1545</v>
      </c>
      <c r="E125" s="19" t="s">
        <v>398</v>
      </c>
      <c r="F125" s="281">
        <v>1398.114</v>
      </c>
      <c r="G125" s="36"/>
      <c r="H125" s="41"/>
    </row>
    <row r="126" spans="1:8" s="2" customFormat="1" ht="16.899999999999999" customHeight="1">
      <c r="A126" s="36"/>
      <c r="B126" s="41"/>
      <c r="C126" s="276" t="s">
        <v>292</v>
      </c>
      <c r="D126" s="277" t="s">
        <v>292</v>
      </c>
      <c r="E126" s="278" t="s">
        <v>19</v>
      </c>
      <c r="F126" s="279">
        <v>841.1</v>
      </c>
      <c r="G126" s="36"/>
      <c r="H126" s="41"/>
    </row>
    <row r="127" spans="1:8" s="2" customFormat="1" ht="16.899999999999999" customHeight="1">
      <c r="A127" s="36"/>
      <c r="B127" s="41"/>
      <c r="C127" s="280" t="s">
        <v>19</v>
      </c>
      <c r="D127" s="280" t="s">
        <v>19</v>
      </c>
      <c r="E127" s="19" t="s">
        <v>19</v>
      </c>
      <c r="F127" s="281">
        <v>0</v>
      </c>
      <c r="G127" s="36"/>
      <c r="H127" s="41"/>
    </row>
    <row r="128" spans="1:8" s="2" customFormat="1" ht="16.899999999999999" customHeight="1">
      <c r="A128" s="36"/>
      <c r="B128" s="41"/>
      <c r="C128" s="280" t="s">
        <v>19</v>
      </c>
      <c r="D128" s="280" t="s">
        <v>2234</v>
      </c>
      <c r="E128" s="19" t="s">
        <v>19</v>
      </c>
      <c r="F128" s="281">
        <v>0</v>
      </c>
      <c r="G128" s="36"/>
      <c r="H128" s="41"/>
    </row>
    <row r="129" spans="1:8" s="2" customFormat="1" ht="16.899999999999999" customHeight="1">
      <c r="A129" s="36"/>
      <c r="B129" s="41"/>
      <c r="C129" s="280" t="s">
        <v>19</v>
      </c>
      <c r="D129" s="280" t="s">
        <v>293</v>
      </c>
      <c r="E129" s="19" t="s">
        <v>19</v>
      </c>
      <c r="F129" s="281">
        <v>841.1</v>
      </c>
      <c r="G129" s="36"/>
      <c r="H129" s="41"/>
    </row>
    <row r="130" spans="1:8" s="2" customFormat="1" ht="16.899999999999999" customHeight="1">
      <c r="A130" s="36"/>
      <c r="B130" s="41"/>
      <c r="C130" s="280" t="s">
        <v>292</v>
      </c>
      <c r="D130" s="280" t="s">
        <v>572</v>
      </c>
      <c r="E130" s="19" t="s">
        <v>19</v>
      </c>
      <c r="F130" s="281">
        <v>841.1</v>
      </c>
      <c r="G130" s="36"/>
      <c r="H130" s="41"/>
    </row>
    <row r="131" spans="1:8" s="2" customFormat="1" ht="16.899999999999999" customHeight="1">
      <c r="A131" s="36"/>
      <c r="B131" s="41"/>
      <c r="C131" s="282" t="s">
        <v>6912</v>
      </c>
      <c r="D131" s="36"/>
      <c r="E131" s="36"/>
      <c r="F131" s="36"/>
      <c r="G131" s="36"/>
      <c r="H131" s="41"/>
    </row>
    <row r="132" spans="1:8" s="2" customFormat="1" ht="16.899999999999999" customHeight="1">
      <c r="A132" s="36"/>
      <c r="B132" s="41"/>
      <c r="C132" s="280" t="s">
        <v>2226</v>
      </c>
      <c r="D132" s="280" t="s">
        <v>6916</v>
      </c>
      <c r="E132" s="19" t="s">
        <v>398</v>
      </c>
      <c r="F132" s="281">
        <v>2205.0500000000002</v>
      </c>
      <c r="G132" s="36"/>
      <c r="H132" s="41"/>
    </row>
    <row r="133" spans="1:8" s="2" customFormat="1" ht="16.899999999999999" customHeight="1">
      <c r="A133" s="36"/>
      <c r="B133" s="41"/>
      <c r="C133" s="280" t="s">
        <v>1272</v>
      </c>
      <c r="D133" s="280" t="s">
        <v>6913</v>
      </c>
      <c r="E133" s="19" t="s">
        <v>398</v>
      </c>
      <c r="F133" s="281">
        <v>841.1</v>
      </c>
      <c r="G133" s="36"/>
      <c r="H133" s="41"/>
    </row>
    <row r="134" spans="1:8" s="2" customFormat="1" ht="16.899999999999999" customHeight="1">
      <c r="A134" s="36"/>
      <c r="B134" s="41"/>
      <c r="C134" s="280" t="s">
        <v>1281</v>
      </c>
      <c r="D134" s="280" t="s">
        <v>6914</v>
      </c>
      <c r="E134" s="19" t="s">
        <v>398</v>
      </c>
      <c r="F134" s="281">
        <v>3185.2</v>
      </c>
      <c r="G134" s="36"/>
      <c r="H134" s="41"/>
    </row>
    <row r="135" spans="1:8" s="2" customFormat="1" ht="16.899999999999999" customHeight="1">
      <c r="A135" s="36"/>
      <c r="B135" s="41"/>
      <c r="C135" s="280" t="s">
        <v>1526</v>
      </c>
      <c r="D135" s="280" t="s">
        <v>6915</v>
      </c>
      <c r="E135" s="19" t="s">
        <v>398</v>
      </c>
      <c r="F135" s="281">
        <v>4438.3890000000001</v>
      </c>
      <c r="G135" s="36"/>
      <c r="H135" s="41"/>
    </row>
    <row r="136" spans="1:8" s="2" customFormat="1" ht="16.899999999999999" customHeight="1">
      <c r="A136" s="36"/>
      <c r="B136" s="41"/>
      <c r="C136" s="280" t="s">
        <v>1549</v>
      </c>
      <c r="D136" s="280" t="s">
        <v>1550</v>
      </c>
      <c r="E136" s="19" t="s">
        <v>398</v>
      </c>
      <c r="F136" s="281">
        <v>857.92200000000003</v>
      </c>
      <c r="G136" s="36"/>
      <c r="H136" s="41"/>
    </row>
    <row r="137" spans="1:8" s="2" customFormat="1" ht="16.899999999999999" customHeight="1">
      <c r="A137" s="36"/>
      <c r="B137" s="41"/>
      <c r="C137" s="276" t="s">
        <v>294</v>
      </c>
      <c r="D137" s="277" t="s">
        <v>294</v>
      </c>
      <c r="E137" s="278" t="s">
        <v>19</v>
      </c>
      <c r="F137" s="279">
        <v>44.6</v>
      </c>
      <c r="G137" s="36"/>
      <c r="H137" s="41"/>
    </row>
    <row r="138" spans="1:8" s="2" customFormat="1" ht="16.899999999999999" customHeight="1">
      <c r="A138" s="36"/>
      <c r="B138" s="41"/>
      <c r="C138" s="280" t="s">
        <v>19</v>
      </c>
      <c r="D138" s="280" t="s">
        <v>19</v>
      </c>
      <c r="E138" s="19" t="s">
        <v>19</v>
      </c>
      <c r="F138" s="281">
        <v>0</v>
      </c>
      <c r="G138" s="36"/>
      <c r="H138" s="41"/>
    </row>
    <row r="139" spans="1:8" s="2" customFormat="1" ht="16.899999999999999" customHeight="1">
      <c r="A139" s="36"/>
      <c r="B139" s="41"/>
      <c r="C139" s="280" t="s">
        <v>19</v>
      </c>
      <c r="D139" s="280" t="s">
        <v>2208</v>
      </c>
      <c r="E139" s="19" t="s">
        <v>19</v>
      </c>
      <c r="F139" s="281">
        <v>0</v>
      </c>
      <c r="G139" s="36"/>
      <c r="H139" s="41"/>
    </row>
    <row r="140" spans="1:8" s="2" customFormat="1" ht="16.899999999999999" customHeight="1">
      <c r="A140" s="36"/>
      <c r="B140" s="41"/>
      <c r="C140" s="280" t="s">
        <v>19</v>
      </c>
      <c r="D140" s="280" t="s">
        <v>295</v>
      </c>
      <c r="E140" s="19" t="s">
        <v>19</v>
      </c>
      <c r="F140" s="281">
        <v>44.6</v>
      </c>
      <c r="G140" s="36"/>
      <c r="H140" s="41"/>
    </row>
    <row r="141" spans="1:8" s="2" customFormat="1" ht="16.899999999999999" customHeight="1">
      <c r="A141" s="36"/>
      <c r="B141" s="41"/>
      <c r="C141" s="280" t="s">
        <v>294</v>
      </c>
      <c r="D141" s="280" t="s">
        <v>572</v>
      </c>
      <c r="E141" s="19" t="s">
        <v>19</v>
      </c>
      <c r="F141" s="281">
        <v>44.6</v>
      </c>
      <c r="G141" s="36"/>
      <c r="H141" s="41"/>
    </row>
    <row r="142" spans="1:8" s="2" customFormat="1" ht="16.899999999999999" customHeight="1">
      <c r="A142" s="36"/>
      <c r="B142" s="41"/>
      <c r="C142" s="282" t="s">
        <v>6912</v>
      </c>
      <c r="D142" s="36"/>
      <c r="E142" s="36"/>
      <c r="F142" s="36"/>
      <c r="G142" s="36"/>
      <c r="H142" s="41"/>
    </row>
    <row r="143" spans="1:8" s="2" customFormat="1" ht="16.899999999999999" customHeight="1">
      <c r="A143" s="36"/>
      <c r="B143" s="41"/>
      <c r="C143" s="280" t="s">
        <v>2203</v>
      </c>
      <c r="D143" s="280" t="s">
        <v>6919</v>
      </c>
      <c r="E143" s="19" t="s">
        <v>398</v>
      </c>
      <c r="F143" s="281">
        <v>60.6</v>
      </c>
      <c r="G143" s="36"/>
      <c r="H143" s="41"/>
    </row>
    <row r="144" spans="1:8" s="2" customFormat="1" ht="16.899999999999999" customHeight="1">
      <c r="A144" s="36"/>
      <c r="B144" s="41"/>
      <c r="C144" s="280" t="s">
        <v>1257</v>
      </c>
      <c r="D144" s="280" t="s">
        <v>6923</v>
      </c>
      <c r="E144" s="19" t="s">
        <v>385</v>
      </c>
      <c r="F144" s="281">
        <v>1128.5</v>
      </c>
      <c r="G144" s="36"/>
      <c r="H144" s="41"/>
    </row>
    <row r="145" spans="1:8" s="2" customFormat="1" ht="16.899999999999999" customHeight="1">
      <c r="A145" s="36"/>
      <c r="B145" s="41"/>
      <c r="C145" s="280" t="s">
        <v>1262</v>
      </c>
      <c r="D145" s="280" t="s">
        <v>6913</v>
      </c>
      <c r="E145" s="19" t="s">
        <v>398</v>
      </c>
      <c r="F145" s="281">
        <v>107.7</v>
      </c>
      <c r="G145" s="36"/>
      <c r="H145" s="41"/>
    </row>
    <row r="146" spans="1:8" s="2" customFormat="1" ht="16.899999999999999" customHeight="1">
      <c r="A146" s="36"/>
      <c r="B146" s="41"/>
      <c r="C146" s="280" t="s">
        <v>1281</v>
      </c>
      <c r="D146" s="280" t="s">
        <v>6914</v>
      </c>
      <c r="E146" s="19" t="s">
        <v>398</v>
      </c>
      <c r="F146" s="281">
        <v>3185.2</v>
      </c>
      <c r="G146" s="36"/>
      <c r="H146" s="41"/>
    </row>
    <row r="147" spans="1:8" s="2" customFormat="1" ht="16.899999999999999" customHeight="1">
      <c r="A147" s="36"/>
      <c r="B147" s="41"/>
      <c r="C147" s="280" t="s">
        <v>1395</v>
      </c>
      <c r="D147" s="280" t="s">
        <v>19</v>
      </c>
      <c r="E147" s="19" t="s">
        <v>398</v>
      </c>
      <c r="F147" s="281">
        <v>137.67500000000001</v>
      </c>
      <c r="G147" s="36"/>
      <c r="H147" s="41"/>
    </row>
    <row r="148" spans="1:8" s="2" customFormat="1" ht="16.899999999999999" customHeight="1">
      <c r="A148" s="36"/>
      <c r="B148" s="41"/>
      <c r="C148" s="280" t="s">
        <v>1526</v>
      </c>
      <c r="D148" s="280" t="s">
        <v>6915</v>
      </c>
      <c r="E148" s="19" t="s">
        <v>398</v>
      </c>
      <c r="F148" s="281">
        <v>4438.3890000000001</v>
      </c>
      <c r="G148" s="36"/>
      <c r="H148" s="41"/>
    </row>
    <row r="149" spans="1:8" s="2" customFormat="1" ht="16.899999999999999" customHeight="1">
      <c r="A149" s="36"/>
      <c r="B149" s="41"/>
      <c r="C149" s="280" t="s">
        <v>2210</v>
      </c>
      <c r="D149" s="280" t="s">
        <v>6920</v>
      </c>
      <c r="E149" s="19" t="s">
        <v>398</v>
      </c>
      <c r="F149" s="281">
        <v>60.6</v>
      </c>
      <c r="G149" s="36"/>
      <c r="H149" s="41"/>
    </row>
    <row r="150" spans="1:8" s="2" customFormat="1" ht="16.899999999999999" customHeight="1">
      <c r="A150" s="36"/>
      <c r="B150" s="41"/>
      <c r="C150" s="280" t="s">
        <v>1544</v>
      </c>
      <c r="D150" s="280" t="s">
        <v>1545</v>
      </c>
      <c r="E150" s="19" t="s">
        <v>398</v>
      </c>
      <c r="F150" s="281">
        <v>1398.114</v>
      </c>
      <c r="G150" s="36"/>
      <c r="H150" s="41"/>
    </row>
    <row r="151" spans="1:8" s="2" customFormat="1" ht="16.899999999999999" customHeight="1">
      <c r="A151" s="36"/>
      <c r="B151" s="41"/>
      <c r="C151" s="280" t="s">
        <v>2215</v>
      </c>
      <c r="D151" s="280" t="s">
        <v>6921</v>
      </c>
      <c r="E151" s="19" t="s">
        <v>398</v>
      </c>
      <c r="F151" s="281">
        <v>69.69</v>
      </c>
      <c r="G151" s="36"/>
      <c r="H151" s="41"/>
    </row>
    <row r="152" spans="1:8" s="2" customFormat="1" ht="16.899999999999999" customHeight="1">
      <c r="A152" s="36"/>
      <c r="B152" s="41"/>
      <c r="C152" s="276" t="s">
        <v>296</v>
      </c>
      <c r="D152" s="277" t="s">
        <v>296</v>
      </c>
      <c r="E152" s="278" t="s">
        <v>19</v>
      </c>
      <c r="F152" s="279">
        <v>11.3</v>
      </c>
      <c r="G152" s="36"/>
      <c r="H152" s="41"/>
    </row>
    <row r="153" spans="1:8" s="2" customFormat="1" ht="16.899999999999999" customHeight="1">
      <c r="A153" s="36"/>
      <c r="B153" s="41"/>
      <c r="C153" s="280" t="s">
        <v>19</v>
      </c>
      <c r="D153" s="280" t="s">
        <v>19</v>
      </c>
      <c r="E153" s="19" t="s">
        <v>19</v>
      </c>
      <c r="F153" s="281">
        <v>0</v>
      </c>
      <c r="G153" s="36"/>
      <c r="H153" s="41"/>
    </row>
    <row r="154" spans="1:8" s="2" customFormat="1" ht="16.899999999999999" customHeight="1">
      <c r="A154" s="36"/>
      <c r="B154" s="41"/>
      <c r="C154" s="280" t="s">
        <v>19</v>
      </c>
      <c r="D154" s="280" t="s">
        <v>2254</v>
      </c>
      <c r="E154" s="19" t="s">
        <v>19</v>
      </c>
      <c r="F154" s="281">
        <v>0</v>
      </c>
      <c r="G154" s="36"/>
      <c r="H154" s="41"/>
    </row>
    <row r="155" spans="1:8" s="2" customFormat="1" ht="16.899999999999999" customHeight="1">
      <c r="A155" s="36"/>
      <c r="B155" s="41"/>
      <c r="C155" s="280" t="s">
        <v>19</v>
      </c>
      <c r="D155" s="280" t="s">
        <v>297</v>
      </c>
      <c r="E155" s="19" t="s">
        <v>19</v>
      </c>
      <c r="F155" s="281">
        <v>11.3</v>
      </c>
      <c r="G155" s="36"/>
      <c r="H155" s="41"/>
    </row>
    <row r="156" spans="1:8" s="2" customFormat="1" ht="16.899999999999999" customHeight="1">
      <c r="A156" s="36"/>
      <c r="B156" s="41"/>
      <c r="C156" s="280" t="s">
        <v>296</v>
      </c>
      <c r="D156" s="280" t="s">
        <v>572</v>
      </c>
      <c r="E156" s="19" t="s">
        <v>19</v>
      </c>
      <c r="F156" s="281">
        <v>11.3</v>
      </c>
      <c r="G156" s="36"/>
      <c r="H156" s="41"/>
    </row>
    <row r="157" spans="1:8" s="2" customFormat="1" ht="16.899999999999999" customHeight="1">
      <c r="A157" s="36"/>
      <c r="B157" s="41"/>
      <c r="C157" s="282" t="s">
        <v>6912</v>
      </c>
      <c r="D157" s="36"/>
      <c r="E157" s="36"/>
      <c r="F157" s="36"/>
      <c r="G157" s="36"/>
      <c r="H157" s="41"/>
    </row>
    <row r="158" spans="1:8" s="2" customFormat="1" ht="16.899999999999999" customHeight="1">
      <c r="A158" s="36"/>
      <c r="B158" s="41"/>
      <c r="C158" s="280" t="s">
        <v>2246</v>
      </c>
      <c r="D158" s="280" t="s">
        <v>6922</v>
      </c>
      <c r="E158" s="19" t="s">
        <v>398</v>
      </c>
      <c r="F158" s="281">
        <v>340.95</v>
      </c>
      <c r="G158" s="36"/>
      <c r="H158" s="41"/>
    </row>
    <row r="159" spans="1:8" s="2" customFormat="1" ht="16.899999999999999" customHeight="1">
      <c r="A159" s="36"/>
      <c r="B159" s="41"/>
      <c r="C159" s="280" t="s">
        <v>1257</v>
      </c>
      <c r="D159" s="280" t="s">
        <v>6923</v>
      </c>
      <c r="E159" s="19" t="s">
        <v>385</v>
      </c>
      <c r="F159" s="281">
        <v>1128.5</v>
      </c>
      <c r="G159" s="36"/>
      <c r="H159" s="41"/>
    </row>
    <row r="160" spans="1:8" s="2" customFormat="1" ht="16.899999999999999" customHeight="1">
      <c r="A160" s="36"/>
      <c r="B160" s="41"/>
      <c r="C160" s="280" t="s">
        <v>1267</v>
      </c>
      <c r="D160" s="280" t="s">
        <v>6913</v>
      </c>
      <c r="E160" s="19" t="s">
        <v>398</v>
      </c>
      <c r="F160" s="281">
        <v>2236.4</v>
      </c>
      <c r="G160" s="36"/>
      <c r="H160" s="41"/>
    </row>
    <row r="161" spans="1:8" s="2" customFormat="1" ht="16.899999999999999" customHeight="1">
      <c r="A161" s="36"/>
      <c r="B161" s="41"/>
      <c r="C161" s="280" t="s">
        <v>1281</v>
      </c>
      <c r="D161" s="280" t="s">
        <v>6914</v>
      </c>
      <c r="E161" s="19" t="s">
        <v>398</v>
      </c>
      <c r="F161" s="281">
        <v>3185.2</v>
      </c>
      <c r="G161" s="36"/>
      <c r="H161" s="41"/>
    </row>
    <row r="162" spans="1:8" s="2" customFormat="1" ht="16.899999999999999" customHeight="1">
      <c r="A162" s="36"/>
      <c r="B162" s="41"/>
      <c r="C162" s="280" t="s">
        <v>1526</v>
      </c>
      <c r="D162" s="280" t="s">
        <v>6915</v>
      </c>
      <c r="E162" s="19" t="s">
        <v>398</v>
      </c>
      <c r="F162" s="281">
        <v>4438.3890000000001</v>
      </c>
      <c r="G162" s="36"/>
      <c r="H162" s="41"/>
    </row>
    <row r="163" spans="1:8" s="2" customFormat="1" ht="16.899999999999999" customHeight="1">
      <c r="A163" s="36"/>
      <c r="B163" s="41"/>
      <c r="C163" s="280" t="s">
        <v>1544</v>
      </c>
      <c r="D163" s="280" t="s">
        <v>1545</v>
      </c>
      <c r="E163" s="19" t="s">
        <v>398</v>
      </c>
      <c r="F163" s="281">
        <v>1398.114</v>
      </c>
      <c r="G163" s="36"/>
      <c r="H163" s="41"/>
    </row>
    <row r="164" spans="1:8" s="2" customFormat="1" ht="16.899999999999999" customHeight="1">
      <c r="A164" s="36"/>
      <c r="B164" s="41"/>
      <c r="C164" s="276" t="s">
        <v>298</v>
      </c>
      <c r="D164" s="277" t="s">
        <v>298</v>
      </c>
      <c r="E164" s="278" t="s">
        <v>19</v>
      </c>
      <c r="F164" s="279">
        <v>228.9</v>
      </c>
      <c r="G164" s="36"/>
      <c r="H164" s="41"/>
    </row>
    <row r="165" spans="1:8" s="2" customFormat="1" ht="16.899999999999999" customHeight="1">
      <c r="A165" s="36"/>
      <c r="B165" s="41"/>
      <c r="C165" s="280" t="s">
        <v>19</v>
      </c>
      <c r="D165" s="280" t="s">
        <v>19</v>
      </c>
      <c r="E165" s="19" t="s">
        <v>19</v>
      </c>
      <c r="F165" s="281">
        <v>0</v>
      </c>
      <c r="G165" s="36"/>
      <c r="H165" s="41"/>
    </row>
    <row r="166" spans="1:8" s="2" customFormat="1" ht="16.899999999999999" customHeight="1">
      <c r="A166" s="36"/>
      <c r="B166" s="41"/>
      <c r="C166" s="280" t="s">
        <v>19</v>
      </c>
      <c r="D166" s="280" t="s">
        <v>2235</v>
      </c>
      <c r="E166" s="19" t="s">
        <v>19</v>
      </c>
      <c r="F166" s="281">
        <v>0</v>
      </c>
      <c r="G166" s="36"/>
      <c r="H166" s="41"/>
    </row>
    <row r="167" spans="1:8" s="2" customFormat="1" ht="16.899999999999999" customHeight="1">
      <c r="A167" s="36"/>
      <c r="B167" s="41"/>
      <c r="C167" s="280" t="s">
        <v>19</v>
      </c>
      <c r="D167" s="280" t="s">
        <v>299</v>
      </c>
      <c r="E167" s="19" t="s">
        <v>19</v>
      </c>
      <c r="F167" s="281">
        <v>228.9</v>
      </c>
      <c r="G167" s="36"/>
      <c r="H167" s="41"/>
    </row>
    <row r="168" spans="1:8" s="2" customFormat="1" ht="16.899999999999999" customHeight="1">
      <c r="A168" s="36"/>
      <c r="B168" s="41"/>
      <c r="C168" s="280" t="s">
        <v>298</v>
      </c>
      <c r="D168" s="280" t="s">
        <v>572</v>
      </c>
      <c r="E168" s="19" t="s">
        <v>19</v>
      </c>
      <c r="F168" s="281">
        <v>228.9</v>
      </c>
      <c r="G168" s="36"/>
      <c r="H168" s="41"/>
    </row>
    <row r="169" spans="1:8" s="2" customFormat="1" ht="16.899999999999999" customHeight="1">
      <c r="A169" s="36"/>
      <c r="B169" s="41"/>
      <c r="C169" s="282" t="s">
        <v>6912</v>
      </c>
      <c r="D169" s="36"/>
      <c r="E169" s="36"/>
      <c r="F169" s="36"/>
      <c r="G169" s="36"/>
      <c r="H169" s="41"/>
    </row>
    <row r="170" spans="1:8" s="2" customFormat="1" ht="16.899999999999999" customHeight="1">
      <c r="A170" s="36"/>
      <c r="B170" s="41"/>
      <c r="C170" s="280" t="s">
        <v>2226</v>
      </c>
      <c r="D170" s="280" t="s">
        <v>6916</v>
      </c>
      <c r="E170" s="19" t="s">
        <v>398</v>
      </c>
      <c r="F170" s="281">
        <v>2205.0500000000002</v>
      </c>
      <c r="G170" s="36"/>
      <c r="H170" s="41"/>
    </row>
    <row r="171" spans="1:8" s="2" customFormat="1" ht="16.899999999999999" customHeight="1">
      <c r="A171" s="36"/>
      <c r="B171" s="41"/>
      <c r="C171" s="280" t="s">
        <v>1257</v>
      </c>
      <c r="D171" s="280" t="s">
        <v>6923</v>
      </c>
      <c r="E171" s="19" t="s">
        <v>385</v>
      </c>
      <c r="F171" s="281">
        <v>1128.5</v>
      </c>
      <c r="G171" s="36"/>
      <c r="H171" s="41"/>
    </row>
    <row r="172" spans="1:8" s="2" customFormat="1" ht="16.899999999999999" customHeight="1">
      <c r="A172" s="36"/>
      <c r="B172" s="41"/>
      <c r="C172" s="280" t="s">
        <v>1267</v>
      </c>
      <c r="D172" s="280" t="s">
        <v>6913</v>
      </c>
      <c r="E172" s="19" t="s">
        <v>398</v>
      </c>
      <c r="F172" s="281">
        <v>2236.4</v>
      </c>
      <c r="G172" s="36"/>
      <c r="H172" s="41"/>
    </row>
    <row r="173" spans="1:8" s="2" customFormat="1" ht="16.899999999999999" customHeight="1">
      <c r="A173" s="36"/>
      <c r="B173" s="41"/>
      <c r="C173" s="280" t="s">
        <v>1281</v>
      </c>
      <c r="D173" s="280" t="s">
        <v>6914</v>
      </c>
      <c r="E173" s="19" t="s">
        <v>398</v>
      </c>
      <c r="F173" s="281">
        <v>3185.2</v>
      </c>
      <c r="G173" s="36"/>
      <c r="H173" s="41"/>
    </row>
    <row r="174" spans="1:8" s="2" customFormat="1" ht="16.899999999999999" customHeight="1">
      <c r="A174" s="36"/>
      <c r="B174" s="41"/>
      <c r="C174" s="280" t="s">
        <v>1526</v>
      </c>
      <c r="D174" s="280" t="s">
        <v>6915</v>
      </c>
      <c r="E174" s="19" t="s">
        <v>398</v>
      </c>
      <c r="F174" s="281">
        <v>4438.3890000000001</v>
      </c>
      <c r="G174" s="36"/>
      <c r="H174" s="41"/>
    </row>
    <row r="175" spans="1:8" s="2" customFormat="1" ht="16.899999999999999" customHeight="1">
      <c r="A175" s="36"/>
      <c r="B175" s="41"/>
      <c r="C175" s="280" t="s">
        <v>1544</v>
      </c>
      <c r="D175" s="280" t="s">
        <v>1545</v>
      </c>
      <c r="E175" s="19" t="s">
        <v>398</v>
      </c>
      <c r="F175" s="281">
        <v>1398.114</v>
      </c>
      <c r="G175" s="36"/>
      <c r="H175" s="41"/>
    </row>
    <row r="176" spans="1:8" s="2" customFormat="1" ht="16.899999999999999" customHeight="1">
      <c r="A176" s="36"/>
      <c r="B176" s="41"/>
      <c r="C176" s="276" t="s">
        <v>300</v>
      </c>
      <c r="D176" s="277" t="s">
        <v>300</v>
      </c>
      <c r="E176" s="278" t="s">
        <v>19</v>
      </c>
      <c r="F176" s="279">
        <v>195.1</v>
      </c>
      <c r="G176" s="36"/>
      <c r="H176" s="41"/>
    </row>
    <row r="177" spans="1:8" s="2" customFormat="1" ht="16.899999999999999" customHeight="1">
      <c r="A177" s="36"/>
      <c r="B177" s="41"/>
      <c r="C177" s="280" t="s">
        <v>19</v>
      </c>
      <c r="D177" s="280" t="s">
        <v>19</v>
      </c>
      <c r="E177" s="19" t="s">
        <v>19</v>
      </c>
      <c r="F177" s="281">
        <v>0</v>
      </c>
      <c r="G177" s="36"/>
      <c r="H177" s="41"/>
    </row>
    <row r="178" spans="1:8" s="2" customFormat="1" ht="16.899999999999999" customHeight="1">
      <c r="A178" s="36"/>
      <c r="B178" s="41"/>
      <c r="C178" s="280" t="s">
        <v>19</v>
      </c>
      <c r="D178" s="280" t="s">
        <v>2255</v>
      </c>
      <c r="E178" s="19" t="s">
        <v>19</v>
      </c>
      <c r="F178" s="281">
        <v>0</v>
      </c>
      <c r="G178" s="36"/>
      <c r="H178" s="41"/>
    </row>
    <row r="179" spans="1:8" s="2" customFormat="1" ht="16.899999999999999" customHeight="1">
      <c r="A179" s="36"/>
      <c r="B179" s="41"/>
      <c r="C179" s="280" t="s">
        <v>19</v>
      </c>
      <c r="D179" s="280" t="s">
        <v>301</v>
      </c>
      <c r="E179" s="19" t="s">
        <v>19</v>
      </c>
      <c r="F179" s="281">
        <v>195.1</v>
      </c>
      <c r="G179" s="36"/>
      <c r="H179" s="41"/>
    </row>
    <row r="180" spans="1:8" s="2" customFormat="1" ht="16.899999999999999" customHeight="1">
      <c r="A180" s="36"/>
      <c r="B180" s="41"/>
      <c r="C180" s="280" t="s">
        <v>300</v>
      </c>
      <c r="D180" s="280" t="s">
        <v>572</v>
      </c>
      <c r="E180" s="19" t="s">
        <v>19</v>
      </c>
      <c r="F180" s="281">
        <v>195.1</v>
      </c>
      <c r="G180" s="36"/>
      <c r="H180" s="41"/>
    </row>
    <row r="181" spans="1:8" s="2" customFormat="1" ht="16.899999999999999" customHeight="1">
      <c r="A181" s="36"/>
      <c r="B181" s="41"/>
      <c r="C181" s="282" t="s">
        <v>6912</v>
      </c>
      <c r="D181" s="36"/>
      <c r="E181" s="36"/>
      <c r="F181" s="36"/>
      <c r="G181" s="36"/>
      <c r="H181" s="41"/>
    </row>
    <row r="182" spans="1:8" s="2" customFormat="1" ht="16.899999999999999" customHeight="1">
      <c r="A182" s="36"/>
      <c r="B182" s="41"/>
      <c r="C182" s="280" t="s">
        <v>2246</v>
      </c>
      <c r="D182" s="280" t="s">
        <v>6922</v>
      </c>
      <c r="E182" s="19" t="s">
        <v>398</v>
      </c>
      <c r="F182" s="281">
        <v>340.95</v>
      </c>
      <c r="G182" s="36"/>
      <c r="H182" s="41"/>
    </row>
    <row r="183" spans="1:8" s="2" customFormat="1" ht="16.899999999999999" customHeight="1">
      <c r="A183" s="36"/>
      <c r="B183" s="41"/>
      <c r="C183" s="280" t="s">
        <v>1267</v>
      </c>
      <c r="D183" s="280" t="s">
        <v>6913</v>
      </c>
      <c r="E183" s="19" t="s">
        <v>398</v>
      </c>
      <c r="F183" s="281">
        <v>2236.4</v>
      </c>
      <c r="G183" s="36"/>
      <c r="H183" s="41"/>
    </row>
    <row r="184" spans="1:8" s="2" customFormat="1" ht="16.899999999999999" customHeight="1">
      <c r="A184" s="36"/>
      <c r="B184" s="41"/>
      <c r="C184" s="280" t="s">
        <v>1281</v>
      </c>
      <c r="D184" s="280" t="s">
        <v>6914</v>
      </c>
      <c r="E184" s="19" t="s">
        <v>398</v>
      </c>
      <c r="F184" s="281">
        <v>3185.2</v>
      </c>
      <c r="G184" s="36"/>
      <c r="H184" s="41"/>
    </row>
    <row r="185" spans="1:8" s="2" customFormat="1" ht="16.899999999999999" customHeight="1">
      <c r="A185" s="36"/>
      <c r="B185" s="41"/>
      <c r="C185" s="280" t="s">
        <v>1526</v>
      </c>
      <c r="D185" s="280" t="s">
        <v>6915</v>
      </c>
      <c r="E185" s="19" t="s">
        <v>398</v>
      </c>
      <c r="F185" s="281">
        <v>4438.3890000000001</v>
      </c>
      <c r="G185" s="36"/>
      <c r="H185" s="41"/>
    </row>
    <row r="186" spans="1:8" s="2" customFormat="1" ht="16.899999999999999" customHeight="1">
      <c r="A186" s="36"/>
      <c r="B186" s="41"/>
      <c r="C186" s="280" t="s">
        <v>1544</v>
      </c>
      <c r="D186" s="280" t="s">
        <v>1545</v>
      </c>
      <c r="E186" s="19" t="s">
        <v>398</v>
      </c>
      <c r="F186" s="281">
        <v>1398.114</v>
      </c>
      <c r="G186" s="36"/>
      <c r="H186" s="41"/>
    </row>
    <row r="187" spans="1:8" s="2" customFormat="1" ht="16.899999999999999" customHeight="1">
      <c r="A187" s="36"/>
      <c r="B187" s="41"/>
      <c r="C187" s="280" t="s">
        <v>1539</v>
      </c>
      <c r="D187" s="280" t="s">
        <v>1540</v>
      </c>
      <c r="E187" s="19" t="s">
        <v>398</v>
      </c>
      <c r="F187" s="281">
        <v>1208.598</v>
      </c>
      <c r="G187" s="36"/>
      <c r="H187" s="41"/>
    </row>
    <row r="188" spans="1:8" s="2" customFormat="1" ht="16.899999999999999" customHeight="1">
      <c r="A188" s="36"/>
      <c r="B188" s="41"/>
      <c r="C188" s="276" t="s">
        <v>302</v>
      </c>
      <c r="D188" s="277" t="s">
        <v>303</v>
      </c>
      <c r="E188" s="278" t="s">
        <v>19</v>
      </c>
      <c r="F188" s="279">
        <v>2650.3</v>
      </c>
      <c r="G188" s="36"/>
      <c r="H188" s="41"/>
    </row>
    <row r="189" spans="1:8" s="2" customFormat="1" ht="16.899999999999999" customHeight="1">
      <c r="A189" s="36"/>
      <c r="B189" s="41"/>
      <c r="C189" s="280" t="s">
        <v>19</v>
      </c>
      <c r="D189" s="280" t="s">
        <v>1092</v>
      </c>
      <c r="E189" s="19" t="s">
        <v>19</v>
      </c>
      <c r="F189" s="281">
        <v>0</v>
      </c>
      <c r="G189" s="36"/>
      <c r="H189" s="41"/>
    </row>
    <row r="190" spans="1:8" s="2" customFormat="1" ht="16.899999999999999" customHeight="1">
      <c r="A190" s="36"/>
      <c r="B190" s="41"/>
      <c r="C190" s="280" t="s">
        <v>19</v>
      </c>
      <c r="D190" s="280" t="s">
        <v>1093</v>
      </c>
      <c r="E190" s="19" t="s">
        <v>19</v>
      </c>
      <c r="F190" s="281">
        <v>0</v>
      </c>
      <c r="G190" s="36"/>
      <c r="H190" s="41"/>
    </row>
    <row r="191" spans="1:8" s="2" customFormat="1" ht="16.899999999999999" customHeight="1">
      <c r="A191" s="36"/>
      <c r="B191" s="41"/>
      <c r="C191" s="280" t="s">
        <v>19</v>
      </c>
      <c r="D191" s="280" t="s">
        <v>304</v>
      </c>
      <c r="E191" s="19" t="s">
        <v>19</v>
      </c>
      <c r="F191" s="281">
        <v>2650.3</v>
      </c>
      <c r="G191" s="36"/>
      <c r="H191" s="41"/>
    </row>
    <row r="192" spans="1:8" s="2" customFormat="1" ht="16.899999999999999" customHeight="1">
      <c r="A192" s="36"/>
      <c r="B192" s="41"/>
      <c r="C192" s="280" t="s">
        <v>302</v>
      </c>
      <c r="D192" s="280" t="s">
        <v>572</v>
      </c>
      <c r="E192" s="19" t="s">
        <v>19</v>
      </c>
      <c r="F192" s="281">
        <v>2650.3</v>
      </c>
      <c r="G192" s="36"/>
      <c r="H192" s="41"/>
    </row>
    <row r="193" spans="1:8" s="2" customFormat="1" ht="16.899999999999999" customHeight="1">
      <c r="A193" s="36"/>
      <c r="B193" s="41"/>
      <c r="C193" s="282" t="s">
        <v>6912</v>
      </c>
      <c r="D193" s="36"/>
      <c r="E193" s="36"/>
      <c r="F193" s="36"/>
      <c r="G193" s="36"/>
      <c r="H193" s="41"/>
    </row>
    <row r="194" spans="1:8" s="2" customFormat="1" ht="16.899999999999999" customHeight="1">
      <c r="A194" s="36"/>
      <c r="B194" s="41"/>
      <c r="C194" s="280" t="s">
        <v>1089</v>
      </c>
      <c r="D194" s="280" t="s">
        <v>6924</v>
      </c>
      <c r="E194" s="19" t="s">
        <v>398</v>
      </c>
      <c r="F194" s="281">
        <v>3136</v>
      </c>
      <c r="G194" s="36"/>
      <c r="H194" s="41"/>
    </row>
    <row r="195" spans="1:8" s="2" customFormat="1" ht="16.899999999999999" customHeight="1">
      <c r="A195" s="36"/>
      <c r="B195" s="41"/>
      <c r="C195" s="280" t="s">
        <v>1132</v>
      </c>
      <c r="D195" s="280" t="s">
        <v>6925</v>
      </c>
      <c r="E195" s="19" t="s">
        <v>398</v>
      </c>
      <c r="F195" s="281">
        <v>2650.3</v>
      </c>
      <c r="G195" s="36"/>
      <c r="H195" s="41"/>
    </row>
    <row r="196" spans="1:8" s="2" customFormat="1" ht="16.899999999999999" customHeight="1">
      <c r="A196" s="36"/>
      <c r="B196" s="41"/>
      <c r="C196" s="280" t="s">
        <v>1137</v>
      </c>
      <c r="D196" s="280" t="s">
        <v>6926</v>
      </c>
      <c r="E196" s="19" t="s">
        <v>398</v>
      </c>
      <c r="F196" s="281">
        <v>2650.3</v>
      </c>
      <c r="G196" s="36"/>
      <c r="H196" s="41"/>
    </row>
    <row r="197" spans="1:8" s="2" customFormat="1" ht="16.899999999999999" customHeight="1">
      <c r="A197" s="36"/>
      <c r="B197" s="41"/>
      <c r="C197" s="280" t="s">
        <v>2304</v>
      </c>
      <c r="D197" s="280" t="s">
        <v>6927</v>
      </c>
      <c r="E197" s="19" t="s">
        <v>398</v>
      </c>
      <c r="F197" s="281">
        <v>4744.7</v>
      </c>
      <c r="G197" s="36"/>
      <c r="H197" s="41"/>
    </row>
    <row r="198" spans="1:8" s="2" customFormat="1" ht="16.899999999999999" customHeight="1">
      <c r="A198" s="36"/>
      <c r="B198" s="41"/>
      <c r="C198" s="280" t="s">
        <v>2315</v>
      </c>
      <c r="D198" s="280" t="s">
        <v>6928</v>
      </c>
      <c r="E198" s="19" t="s">
        <v>398</v>
      </c>
      <c r="F198" s="281">
        <v>4744.7</v>
      </c>
      <c r="G198" s="36"/>
      <c r="H198" s="41"/>
    </row>
    <row r="199" spans="1:8" s="2" customFormat="1" ht="16.899999999999999" customHeight="1">
      <c r="A199" s="36"/>
      <c r="B199" s="41"/>
      <c r="C199" s="276" t="s">
        <v>305</v>
      </c>
      <c r="D199" s="277" t="s">
        <v>306</v>
      </c>
      <c r="E199" s="278" t="s">
        <v>19</v>
      </c>
      <c r="F199" s="279">
        <v>282.5</v>
      </c>
      <c r="G199" s="36"/>
      <c r="H199" s="41"/>
    </row>
    <row r="200" spans="1:8" s="2" customFormat="1" ht="16.899999999999999" customHeight="1">
      <c r="A200" s="36"/>
      <c r="B200" s="41"/>
      <c r="C200" s="280" t="s">
        <v>19</v>
      </c>
      <c r="D200" s="280" t="s">
        <v>1058</v>
      </c>
      <c r="E200" s="19" t="s">
        <v>19</v>
      </c>
      <c r="F200" s="281">
        <v>0</v>
      </c>
      <c r="G200" s="36"/>
      <c r="H200" s="41"/>
    </row>
    <row r="201" spans="1:8" s="2" customFormat="1" ht="16.899999999999999" customHeight="1">
      <c r="A201" s="36"/>
      <c r="B201" s="41"/>
      <c r="C201" s="280" t="s">
        <v>19</v>
      </c>
      <c r="D201" s="280" t="s">
        <v>307</v>
      </c>
      <c r="E201" s="19" t="s">
        <v>19</v>
      </c>
      <c r="F201" s="281">
        <v>282.5</v>
      </c>
      <c r="G201" s="36"/>
      <c r="H201" s="41"/>
    </row>
    <row r="202" spans="1:8" s="2" customFormat="1" ht="16.899999999999999" customHeight="1">
      <c r="A202" s="36"/>
      <c r="B202" s="41"/>
      <c r="C202" s="280" t="s">
        <v>305</v>
      </c>
      <c r="D202" s="280" t="s">
        <v>572</v>
      </c>
      <c r="E202" s="19" t="s">
        <v>19</v>
      </c>
      <c r="F202" s="281">
        <v>282.5</v>
      </c>
      <c r="G202" s="36"/>
      <c r="H202" s="41"/>
    </row>
    <row r="203" spans="1:8" s="2" customFormat="1" ht="16.899999999999999" customHeight="1">
      <c r="A203" s="36"/>
      <c r="B203" s="41"/>
      <c r="C203" s="282" t="s">
        <v>6912</v>
      </c>
      <c r="D203" s="36"/>
      <c r="E203" s="36"/>
      <c r="F203" s="36"/>
      <c r="G203" s="36"/>
      <c r="H203" s="41"/>
    </row>
    <row r="204" spans="1:8" s="2" customFormat="1" ht="16.899999999999999" customHeight="1">
      <c r="A204" s="36"/>
      <c r="B204" s="41"/>
      <c r="C204" s="280" t="s">
        <v>1065</v>
      </c>
      <c r="D204" s="280" t="s">
        <v>6929</v>
      </c>
      <c r="E204" s="19" t="s">
        <v>398</v>
      </c>
      <c r="F204" s="281">
        <v>282.5</v>
      </c>
      <c r="G204" s="36"/>
      <c r="H204" s="41"/>
    </row>
    <row r="205" spans="1:8" s="2" customFormat="1" ht="16.899999999999999" customHeight="1">
      <c r="A205" s="36"/>
      <c r="B205" s="41"/>
      <c r="C205" s="280" t="s">
        <v>1050</v>
      </c>
      <c r="D205" s="280" t="s">
        <v>6930</v>
      </c>
      <c r="E205" s="19" t="s">
        <v>398</v>
      </c>
      <c r="F205" s="281">
        <v>297.2</v>
      </c>
      <c r="G205" s="36"/>
      <c r="H205" s="41"/>
    </row>
    <row r="206" spans="1:8" s="2" customFormat="1" ht="16.899999999999999" customHeight="1">
      <c r="A206" s="36"/>
      <c r="B206" s="41"/>
      <c r="C206" s="280" t="s">
        <v>1069</v>
      </c>
      <c r="D206" s="280" t="s">
        <v>6931</v>
      </c>
      <c r="E206" s="19" t="s">
        <v>398</v>
      </c>
      <c r="F206" s="281">
        <v>282.5</v>
      </c>
      <c r="G206" s="36"/>
      <c r="H206" s="41"/>
    </row>
    <row r="207" spans="1:8" s="2" customFormat="1" ht="16.899999999999999" customHeight="1">
      <c r="A207" s="36"/>
      <c r="B207" s="41"/>
      <c r="C207" s="280" t="s">
        <v>2304</v>
      </c>
      <c r="D207" s="280" t="s">
        <v>6927</v>
      </c>
      <c r="E207" s="19" t="s">
        <v>398</v>
      </c>
      <c r="F207" s="281">
        <v>4744.7</v>
      </c>
      <c r="G207" s="36"/>
      <c r="H207" s="41"/>
    </row>
    <row r="208" spans="1:8" s="2" customFormat="1" ht="16.899999999999999" customHeight="1">
      <c r="A208" s="36"/>
      <c r="B208" s="41"/>
      <c r="C208" s="280" t="s">
        <v>2315</v>
      </c>
      <c r="D208" s="280" t="s">
        <v>6928</v>
      </c>
      <c r="E208" s="19" t="s">
        <v>398</v>
      </c>
      <c r="F208" s="281">
        <v>4744.7</v>
      </c>
      <c r="G208" s="36"/>
      <c r="H208" s="41"/>
    </row>
    <row r="209" spans="1:8" s="2" customFormat="1" ht="16.899999999999999" customHeight="1">
      <c r="A209" s="36"/>
      <c r="B209" s="41"/>
      <c r="C209" s="276" t="s">
        <v>308</v>
      </c>
      <c r="D209" s="277" t="s">
        <v>309</v>
      </c>
      <c r="E209" s="278" t="s">
        <v>19</v>
      </c>
      <c r="F209" s="279">
        <v>321.60000000000002</v>
      </c>
      <c r="G209" s="36"/>
      <c r="H209" s="41"/>
    </row>
    <row r="210" spans="1:8" s="2" customFormat="1" ht="16.899999999999999" customHeight="1">
      <c r="A210" s="36"/>
      <c r="B210" s="41"/>
      <c r="C210" s="280" t="s">
        <v>19</v>
      </c>
      <c r="D210" s="280" t="s">
        <v>19</v>
      </c>
      <c r="E210" s="19" t="s">
        <v>19</v>
      </c>
      <c r="F210" s="281">
        <v>0</v>
      </c>
      <c r="G210" s="36"/>
      <c r="H210" s="41"/>
    </row>
    <row r="211" spans="1:8" s="2" customFormat="1" ht="16.899999999999999" customHeight="1">
      <c r="A211" s="36"/>
      <c r="B211" s="41"/>
      <c r="C211" s="280" t="s">
        <v>19</v>
      </c>
      <c r="D211" s="280" t="s">
        <v>2318</v>
      </c>
      <c r="E211" s="19" t="s">
        <v>19</v>
      </c>
      <c r="F211" s="281">
        <v>0</v>
      </c>
      <c r="G211" s="36"/>
      <c r="H211" s="41"/>
    </row>
    <row r="212" spans="1:8" s="2" customFormat="1" ht="16.899999999999999" customHeight="1">
      <c r="A212" s="36"/>
      <c r="B212" s="41"/>
      <c r="C212" s="280" t="s">
        <v>19</v>
      </c>
      <c r="D212" s="280" t="s">
        <v>310</v>
      </c>
      <c r="E212" s="19" t="s">
        <v>19</v>
      </c>
      <c r="F212" s="281">
        <v>321.60000000000002</v>
      </c>
      <c r="G212" s="36"/>
      <c r="H212" s="41"/>
    </row>
    <row r="213" spans="1:8" s="2" customFormat="1" ht="16.899999999999999" customHeight="1">
      <c r="A213" s="36"/>
      <c r="B213" s="41"/>
      <c r="C213" s="280" t="s">
        <v>308</v>
      </c>
      <c r="D213" s="280" t="s">
        <v>572</v>
      </c>
      <c r="E213" s="19" t="s">
        <v>19</v>
      </c>
      <c r="F213" s="281">
        <v>321.60000000000002</v>
      </c>
      <c r="G213" s="36"/>
      <c r="H213" s="41"/>
    </row>
    <row r="214" spans="1:8" s="2" customFormat="1" ht="16.899999999999999" customHeight="1">
      <c r="A214" s="36"/>
      <c r="B214" s="41"/>
      <c r="C214" s="282" t="s">
        <v>6912</v>
      </c>
      <c r="D214" s="36"/>
      <c r="E214" s="36"/>
      <c r="F214" s="36"/>
      <c r="G214" s="36"/>
      <c r="H214" s="41"/>
    </row>
    <row r="215" spans="1:8" s="2" customFormat="1" ht="16.899999999999999" customHeight="1">
      <c r="A215" s="36"/>
      <c r="B215" s="41"/>
      <c r="C215" s="280" t="s">
        <v>2320</v>
      </c>
      <c r="D215" s="280" t="s">
        <v>19</v>
      </c>
      <c r="E215" s="19" t="s">
        <v>398</v>
      </c>
      <c r="F215" s="281">
        <v>551.6</v>
      </c>
      <c r="G215" s="36"/>
      <c r="H215" s="41"/>
    </row>
    <row r="216" spans="1:8" s="2" customFormat="1" ht="16.899999999999999" customHeight="1">
      <c r="A216" s="36"/>
      <c r="B216" s="41"/>
      <c r="C216" s="280" t="s">
        <v>2299</v>
      </c>
      <c r="D216" s="280" t="s">
        <v>6932</v>
      </c>
      <c r="E216" s="19" t="s">
        <v>398</v>
      </c>
      <c r="F216" s="281">
        <v>551.6</v>
      </c>
      <c r="G216" s="36"/>
      <c r="H216" s="41"/>
    </row>
    <row r="217" spans="1:8" s="2" customFormat="1" ht="16.899999999999999" customHeight="1">
      <c r="A217" s="36"/>
      <c r="B217" s="41"/>
      <c r="C217" s="276" t="s">
        <v>311</v>
      </c>
      <c r="D217" s="277" t="s">
        <v>312</v>
      </c>
      <c r="E217" s="278" t="s">
        <v>19</v>
      </c>
      <c r="F217" s="279">
        <v>218.4</v>
      </c>
      <c r="G217" s="36"/>
      <c r="H217" s="41"/>
    </row>
    <row r="218" spans="1:8" s="2" customFormat="1" ht="16.899999999999999" customHeight="1">
      <c r="A218" s="36"/>
      <c r="B218" s="41"/>
      <c r="C218" s="280" t="s">
        <v>19</v>
      </c>
      <c r="D218" s="280" t="s">
        <v>2295</v>
      </c>
      <c r="E218" s="19" t="s">
        <v>19</v>
      </c>
      <c r="F218" s="281">
        <v>0</v>
      </c>
      <c r="G218" s="36"/>
      <c r="H218" s="41"/>
    </row>
    <row r="219" spans="1:8" s="2" customFormat="1" ht="16.899999999999999" customHeight="1">
      <c r="A219" s="36"/>
      <c r="B219" s="41"/>
      <c r="C219" s="280" t="s">
        <v>19</v>
      </c>
      <c r="D219" s="280" t="s">
        <v>313</v>
      </c>
      <c r="E219" s="19" t="s">
        <v>19</v>
      </c>
      <c r="F219" s="281">
        <v>218.4</v>
      </c>
      <c r="G219" s="36"/>
      <c r="H219" s="41"/>
    </row>
    <row r="220" spans="1:8" s="2" customFormat="1" ht="16.899999999999999" customHeight="1">
      <c r="A220" s="36"/>
      <c r="B220" s="41"/>
      <c r="C220" s="280" t="s">
        <v>311</v>
      </c>
      <c r="D220" s="280" t="s">
        <v>572</v>
      </c>
      <c r="E220" s="19" t="s">
        <v>19</v>
      </c>
      <c r="F220" s="281">
        <v>218.4</v>
      </c>
      <c r="G220" s="36"/>
      <c r="H220" s="41"/>
    </row>
    <row r="221" spans="1:8" s="2" customFormat="1" ht="16.899999999999999" customHeight="1">
      <c r="A221" s="36"/>
      <c r="B221" s="41"/>
      <c r="C221" s="282" t="s">
        <v>6912</v>
      </c>
      <c r="D221" s="36"/>
      <c r="E221" s="36"/>
      <c r="F221" s="36"/>
      <c r="G221" s="36"/>
      <c r="H221" s="41"/>
    </row>
    <row r="222" spans="1:8" s="2" customFormat="1" ht="16.899999999999999" customHeight="1">
      <c r="A222" s="36"/>
      <c r="B222" s="41"/>
      <c r="C222" s="280" t="s">
        <v>2320</v>
      </c>
      <c r="D222" s="280" t="s">
        <v>19</v>
      </c>
      <c r="E222" s="19" t="s">
        <v>398</v>
      </c>
      <c r="F222" s="281">
        <v>551.6</v>
      </c>
      <c r="G222" s="36"/>
      <c r="H222" s="41"/>
    </row>
    <row r="223" spans="1:8" s="2" customFormat="1" ht="16.899999999999999" customHeight="1">
      <c r="A223" s="36"/>
      <c r="B223" s="41"/>
      <c r="C223" s="280" t="s">
        <v>2299</v>
      </c>
      <c r="D223" s="280" t="s">
        <v>6932</v>
      </c>
      <c r="E223" s="19" t="s">
        <v>398</v>
      </c>
      <c r="F223" s="281">
        <v>551.6</v>
      </c>
      <c r="G223" s="36"/>
      <c r="H223" s="41"/>
    </row>
    <row r="224" spans="1:8" s="2" customFormat="1" ht="16.899999999999999" customHeight="1">
      <c r="A224" s="36"/>
      <c r="B224" s="41"/>
      <c r="C224" s="276" t="s">
        <v>314</v>
      </c>
      <c r="D224" s="277" t="s">
        <v>315</v>
      </c>
      <c r="E224" s="278" t="s">
        <v>19</v>
      </c>
      <c r="F224" s="279">
        <v>11.6</v>
      </c>
      <c r="G224" s="36"/>
      <c r="H224" s="41"/>
    </row>
    <row r="225" spans="1:8" s="2" customFormat="1" ht="16.899999999999999" customHeight="1">
      <c r="A225" s="36"/>
      <c r="B225" s="41"/>
      <c r="C225" s="280" t="s">
        <v>19</v>
      </c>
      <c r="D225" s="280" t="s">
        <v>19</v>
      </c>
      <c r="E225" s="19" t="s">
        <v>19</v>
      </c>
      <c r="F225" s="281">
        <v>0</v>
      </c>
      <c r="G225" s="36"/>
      <c r="H225" s="41"/>
    </row>
    <row r="226" spans="1:8" s="2" customFormat="1" ht="16.899999999999999" customHeight="1">
      <c r="A226" s="36"/>
      <c r="B226" s="41"/>
      <c r="C226" s="280" t="s">
        <v>19</v>
      </c>
      <c r="D226" s="280" t="s">
        <v>2323</v>
      </c>
      <c r="E226" s="19" t="s">
        <v>19</v>
      </c>
      <c r="F226" s="281">
        <v>0</v>
      </c>
      <c r="G226" s="36"/>
      <c r="H226" s="41"/>
    </row>
    <row r="227" spans="1:8" s="2" customFormat="1" ht="16.899999999999999" customHeight="1">
      <c r="A227" s="36"/>
      <c r="B227" s="41"/>
      <c r="C227" s="280" t="s">
        <v>19</v>
      </c>
      <c r="D227" s="280" t="s">
        <v>316</v>
      </c>
      <c r="E227" s="19" t="s">
        <v>19</v>
      </c>
      <c r="F227" s="281">
        <v>11.6</v>
      </c>
      <c r="G227" s="36"/>
      <c r="H227" s="41"/>
    </row>
    <row r="228" spans="1:8" s="2" customFormat="1" ht="16.899999999999999" customHeight="1">
      <c r="A228" s="36"/>
      <c r="B228" s="41"/>
      <c r="C228" s="280" t="s">
        <v>314</v>
      </c>
      <c r="D228" s="280" t="s">
        <v>572</v>
      </c>
      <c r="E228" s="19" t="s">
        <v>19</v>
      </c>
      <c r="F228" s="281">
        <v>11.6</v>
      </c>
      <c r="G228" s="36"/>
      <c r="H228" s="41"/>
    </row>
    <row r="229" spans="1:8" s="2" customFormat="1" ht="16.899999999999999" customHeight="1">
      <c r="A229" s="36"/>
      <c r="B229" s="41"/>
      <c r="C229" s="282" t="s">
        <v>6912</v>
      </c>
      <c r="D229" s="36"/>
      <c r="E229" s="36"/>
      <c r="F229" s="36"/>
      <c r="G229" s="36"/>
      <c r="H229" s="41"/>
    </row>
    <row r="230" spans="1:8" s="2" customFormat="1" ht="16.899999999999999" customHeight="1">
      <c r="A230" s="36"/>
      <c r="B230" s="41"/>
      <c r="C230" s="280" t="s">
        <v>2320</v>
      </c>
      <c r="D230" s="280" t="s">
        <v>19</v>
      </c>
      <c r="E230" s="19" t="s">
        <v>398</v>
      </c>
      <c r="F230" s="281">
        <v>551.6</v>
      </c>
      <c r="G230" s="36"/>
      <c r="H230" s="41"/>
    </row>
    <row r="231" spans="1:8" s="2" customFormat="1" ht="16.899999999999999" customHeight="1">
      <c r="A231" s="36"/>
      <c r="B231" s="41"/>
      <c r="C231" s="280" t="s">
        <v>2299</v>
      </c>
      <c r="D231" s="280" t="s">
        <v>6932</v>
      </c>
      <c r="E231" s="19" t="s">
        <v>398</v>
      </c>
      <c r="F231" s="281">
        <v>551.6</v>
      </c>
      <c r="G231" s="36"/>
      <c r="H231" s="41"/>
    </row>
    <row r="232" spans="1:8" s="2" customFormat="1" ht="16.899999999999999" customHeight="1">
      <c r="A232" s="36"/>
      <c r="B232" s="41"/>
      <c r="C232" s="276" t="s">
        <v>317</v>
      </c>
      <c r="D232" s="277" t="s">
        <v>317</v>
      </c>
      <c r="E232" s="278" t="s">
        <v>19</v>
      </c>
      <c r="F232" s="279">
        <v>139.80000000000001</v>
      </c>
      <c r="G232" s="36"/>
      <c r="H232" s="41"/>
    </row>
    <row r="233" spans="1:8" s="2" customFormat="1" ht="16.899999999999999" customHeight="1">
      <c r="A233" s="36"/>
      <c r="B233" s="41"/>
      <c r="C233" s="280" t="s">
        <v>19</v>
      </c>
      <c r="D233" s="280" t="s">
        <v>1092</v>
      </c>
      <c r="E233" s="19" t="s">
        <v>19</v>
      </c>
      <c r="F233" s="281">
        <v>0</v>
      </c>
      <c r="G233" s="36"/>
      <c r="H233" s="41"/>
    </row>
    <row r="234" spans="1:8" s="2" customFormat="1" ht="16.899999999999999" customHeight="1">
      <c r="A234" s="36"/>
      <c r="B234" s="41"/>
      <c r="C234" s="280" t="s">
        <v>19</v>
      </c>
      <c r="D234" s="280" t="s">
        <v>1130</v>
      </c>
      <c r="E234" s="19" t="s">
        <v>19</v>
      </c>
      <c r="F234" s="281">
        <v>0</v>
      </c>
      <c r="G234" s="36"/>
      <c r="H234" s="41"/>
    </row>
    <row r="235" spans="1:8" s="2" customFormat="1" ht="16.899999999999999" customHeight="1">
      <c r="A235" s="36"/>
      <c r="B235" s="41"/>
      <c r="C235" s="280" t="s">
        <v>19</v>
      </c>
      <c r="D235" s="280" t="s">
        <v>318</v>
      </c>
      <c r="E235" s="19" t="s">
        <v>19</v>
      </c>
      <c r="F235" s="281">
        <v>139.80000000000001</v>
      </c>
      <c r="G235" s="36"/>
      <c r="H235" s="41"/>
    </row>
    <row r="236" spans="1:8" s="2" customFormat="1" ht="16.899999999999999" customHeight="1">
      <c r="A236" s="36"/>
      <c r="B236" s="41"/>
      <c r="C236" s="280" t="s">
        <v>317</v>
      </c>
      <c r="D236" s="280" t="s">
        <v>572</v>
      </c>
      <c r="E236" s="19" t="s">
        <v>19</v>
      </c>
      <c r="F236" s="281">
        <v>139.80000000000001</v>
      </c>
      <c r="G236" s="36"/>
      <c r="H236" s="41"/>
    </row>
    <row r="237" spans="1:8" s="2" customFormat="1" ht="16.899999999999999" customHeight="1">
      <c r="A237" s="36"/>
      <c r="B237" s="41"/>
      <c r="C237" s="282" t="s">
        <v>6912</v>
      </c>
      <c r="D237" s="36"/>
      <c r="E237" s="36"/>
      <c r="F237" s="36"/>
      <c r="G237" s="36"/>
      <c r="H237" s="41"/>
    </row>
    <row r="238" spans="1:8" s="2" customFormat="1" ht="16.899999999999999" customHeight="1">
      <c r="A238" s="36"/>
      <c r="B238" s="41"/>
      <c r="C238" s="280" t="s">
        <v>1127</v>
      </c>
      <c r="D238" s="280" t="s">
        <v>6933</v>
      </c>
      <c r="E238" s="19" t="s">
        <v>398</v>
      </c>
      <c r="F238" s="281">
        <v>139.80000000000001</v>
      </c>
      <c r="G238" s="36"/>
      <c r="H238" s="41"/>
    </row>
    <row r="239" spans="1:8" s="2" customFormat="1" ht="16.899999999999999" customHeight="1">
      <c r="A239" s="36"/>
      <c r="B239" s="41"/>
      <c r="C239" s="280" t="s">
        <v>1073</v>
      </c>
      <c r="D239" s="280" t="s">
        <v>6934</v>
      </c>
      <c r="E239" s="19" t="s">
        <v>398</v>
      </c>
      <c r="F239" s="281">
        <v>364.96</v>
      </c>
      <c r="G239" s="36"/>
      <c r="H239" s="41"/>
    </row>
    <row r="240" spans="1:8" s="2" customFormat="1" ht="16.899999999999999" customHeight="1">
      <c r="A240" s="36"/>
      <c r="B240" s="41"/>
      <c r="C240" s="280" t="s">
        <v>2264</v>
      </c>
      <c r="D240" s="280" t="s">
        <v>6935</v>
      </c>
      <c r="E240" s="19" t="s">
        <v>398</v>
      </c>
      <c r="F240" s="281">
        <v>139.80000000000001</v>
      </c>
      <c r="G240" s="36"/>
      <c r="H240" s="41"/>
    </row>
    <row r="241" spans="1:8" s="2" customFormat="1" ht="16.899999999999999" customHeight="1">
      <c r="A241" s="36"/>
      <c r="B241" s="41"/>
      <c r="C241" s="280" t="s">
        <v>2269</v>
      </c>
      <c r="D241" s="280" t="s">
        <v>6936</v>
      </c>
      <c r="E241" s="19" t="s">
        <v>398</v>
      </c>
      <c r="F241" s="281">
        <v>139.80000000000001</v>
      </c>
      <c r="G241" s="36"/>
      <c r="H241" s="41"/>
    </row>
    <row r="242" spans="1:8" s="2" customFormat="1" ht="16.899999999999999" customHeight="1">
      <c r="A242" s="36"/>
      <c r="B242" s="41"/>
      <c r="C242" s="280" t="s">
        <v>2273</v>
      </c>
      <c r="D242" s="280" t="s">
        <v>6937</v>
      </c>
      <c r="E242" s="19" t="s">
        <v>398</v>
      </c>
      <c r="F242" s="281">
        <v>160.77000000000001</v>
      </c>
      <c r="G242" s="36"/>
      <c r="H242" s="41"/>
    </row>
    <row r="243" spans="1:8" s="2" customFormat="1" ht="16.899999999999999" customHeight="1">
      <c r="A243" s="36"/>
      <c r="B243" s="41"/>
      <c r="C243" s="276" t="s">
        <v>319</v>
      </c>
      <c r="D243" s="277" t="s">
        <v>320</v>
      </c>
      <c r="E243" s="278" t="s">
        <v>19</v>
      </c>
      <c r="F243" s="279">
        <v>485.7</v>
      </c>
      <c r="G243" s="36"/>
      <c r="H243" s="41"/>
    </row>
    <row r="244" spans="1:8" s="2" customFormat="1" ht="16.899999999999999" customHeight="1">
      <c r="A244" s="36"/>
      <c r="B244" s="41"/>
      <c r="C244" s="280" t="s">
        <v>19</v>
      </c>
      <c r="D244" s="280" t="s">
        <v>19</v>
      </c>
      <c r="E244" s="19" t="s">
        <v>19</v>
      </c>
      <c r="F244" s="281">
        <v>0</v>
      </c>
      <c r="G244" s="36"/>
      <c r="H244" s="41"/>
    </row>
    <row r="245" spans="1:8" s="2" customFormat="1" ht="16.899999999999999" customHeight="1">
      <c r="A245" s="36"/>
      <c r="B245" s="41"/>
      <c r="C245" s="280" t="s">
        <v>19</v>
      </c>
      <c r="D245" s="280" t="s">
        <v>1094</v>
      </c>
      <c r="E245" s="19" t="s">
        <v>19</v>
      </c>
      <c r="F245" s="281">
        <v>0</v>
      </c>
      <c r="G245" s="36"/>
      <c r="H245" s="41"/>
    </row>
    <row r="246" spans="1:8" s="2" customFormat="1" ht="16.899999999999999" customHeight="1">
      <c r="A246" s="36"/>
      <c r="B246" s="41"/>
      <c r="C246" s="280" t="s">
        <v>19</v>
      </c>
      <c r="D246" s="280" t="s">
        <v>321</v>
      </c>
      <c r="E246" s="19" t="s">
        <v>19</v>
      </c>
      <c r="F246" s="281">
        <v>485.7</v>
      </c>
      <c r="G246" s="36"/>
      <c r="H246" s="41"/>
    </row>
    <row r="247" spans="1:8" s="2" customFormat="1" ht="16.899999999999999" customHeight="1">
      <c r="A247" s="36"/>
      <c r="B247" s="41"/>
      <c r="C247" s="280" t="s">
        <v>319</v>
      </c>
      <c r="D247" s="280" t="s">
        <v>572</v>
      </c>
      <c r="E247" s="19" t="s">
        <v>19</v>
      </c>
      <c r="F247" s="281">
        <v>485.7</v>
      </c>
      <c r="G247" s="36"/>
      <c r="H247" s="41"/>
    </row>
    <row r="248" spans="1:8" s="2" customFormat="1" ht="16.899999999999999" customHeight="1">
      <c r="A248" s="36"/>
      <c r="B248" s="41"/>
      <c r="C248" s="282" t="s">
        <v>6912</v>
      </c>
      <c r="D248" s="36"/>
      <c r="E248" s="36"/>
      <c r="F248" s="36"/>
      <c r="G248" s="36"/>
      <c r="H248" s="41"/>
    </row>
    <row r="249" spans="1:8" s="2" customFormat="1" ht="16.899999999999999" customHeight="1">
      <c r="A249" s="36"/>
      <c r="B249" s="41"/>
      <c r="C249" s="280" t="s">
        <v>1089</v>
      </c>
      <c r="D249" s="280" t="s">
        <v>6924</v>
      </c>
      <c r="E249" s="19" t="s">
        <v>398</v>
      </c>
      <c r="F249" s="281">
        <v>3136</v>
      </c>
      <c r="G249" s="36"/>
      <c r="H249" s="41"/>
    </row>
    <row r="250" spans="1:8" s="2" customFormat="1" ht="16.899999999999999" customHeight="1">
      <c r="A250" s="36"/>
      <c r="B250" s="41"/>
      <c r="C250" s="280" t="s">
        <v>1108</v>
      </c>
      <c r="D250" s="280" t="s">
        <v>6938</v>
      </c>
      <c r="E250" s="19" t="s">
        <v>398</v>
      </c>
      <c r="F250" s="281">
        <v>485.7</v>
      </c>
      <c r="G250" s="36"/>
      <c r="H250" s="41"/>
    </row>
    <row r="251" spans="1:8" s="2" customFormat="1" ht="16.899999999999999" customHeight="1">
      <c r="A251" s="36"/>
      <c r="B251" s="41"/>
      <c r="C251" s="280" t="s">
        <v>1113</v>
      </c>
      <c r="D251" s="280" t="s">
        <v>6939</v>
      </c>
      <c r="E251" s="19" t="s">
        <v>398</v>
      </c>
      <c r="F251" s="281">
        <v>971.4</v>
      </c>
      <c r="G251" s="36"/>
      <c r="H251" s="41"/>
    </row>
    <row r="252" spans="1:8" s="2" customFormat="1" ht="16.899999999999999" customHeight="1">
      <c r="A252" s="36"/>
      <c r="B252" s="41"/>
      <c r="C252" s="280" t="s">
        <v>2304</v>
      </c>
      <c r="D252" s="280" t="s">
        <v>6927</v>
      </c>
      <c r="E252" s="19" t="s">
        <v>398</v>
      </c>
      <c r="F252" s="281">
        <v>4744.7</v>
      </c>
      <c r="G252" s="36"/>
      <c r="H252" s="41"/>
    </row>
    <row r="253" spans="1:8" s="2" customFormat="1" ht="16.899999999999999" customHeight="1">
      <c r="A253" s="36"/>
      <c r="B253" s="41"/>
      <c r="C253" s="280" t="s">
        <v>2315</v>
      </c>
      <c r="D253" s="280" t="s">
        <v>6928</v>
      </c>
      <c r="E253" s="19" t="s">
        <v>398</v>
      </c>
      <c r="F253" s="281">
        <v>4744.7</v>
      </c>
      <c r="G253" s="36"/>
      <c r="H253" s="41"/>
    </row>
    <row r="254" spans="1:8" s="2" customFormat="1" ht="16.899999999999999" customHeight="1">
      <c r="A254" s="36"/>
      <c r="B254" s="41"/>
      <c r="C254" s="276" t="s">
        <v>322</v>
      </c>
      <c r="D254" s="277" t="s">
        <v>323</v>
      </c>
      <c r="E254" s="278" t="s">
        <v>19</v>
      </c>
      <c r="F254" s="279">
        <v>14.7</v>
      </c>
      <c r="G254" s="36"/>
      <c r="H254" s="41"/>
    </row>
    <row r="255" spans="1:8" s="2" customFormat="1" ht="16.899999999999999" customHeight="1">
      <c r="A255" s="36"/>
      <c r="B255" s="41"/>
      <c r="C255" s="280" t="s">
        <v>19</v>
      </c>
      <c r="D255" s="280" t="s">
        <v>1058</v>
      </c>
      <c r="E255" s="19" t="s">
        <v>19</v>
      </c>
      <c r="F255" s="281">
        <v>0</v>
      </c>
      <c r="G255" s="36"/>
      <c r="H255" s="41"/>
    </row>
    <row r="256" spans="1:8" s="2" customFormat="1" ht="16.899999999999999" customHeight="1">
      <c r="A256" s="36"/>
      <c r="B256" s="41"/>
      <c r="C256" s="280" t="s">
        <v>19</v>
      </c>
      <c r="D256" s="280" t="s">
        <v>324</v>
      </c>
      <c r="E256" s="19" t="s">
        <v>19</v>
      </c>
      <c r="F256" s="281">
        <v>14.7</v>
      </c>
      <c r="G256" s="36"/>
      <c r="H256" s="41"/>
    </row>
    <row r="257" spans="1:8" s="2" customFormat="1" ht="16.899999999999999" customHeight="1">
      <c r="A257" s="36"/>
      <c r="B257" s="41"/>
      <c r="C257" s="280" t="s">
        <v>322</v>
      </c>
      <c r="D257" s="280" t="s">
        <v>572</v>
      </c>
      <c r="E257" s="19" t="s">
        <v>19</v>
      </c>
      <c r="F257" s="281">
        <v>14.7</v>
      </c>
      <c r="G257" s="36"/>
      <c r="H257" s="41"/>
    </row>
    <row r="258" spans="1:8" s="2" customFormat="1" ht="16.899999999999999" customHeight="1">
      <c r="A258" s="36"/>
      <c r="B258" s="41"/>
      <c r="C258" s="282" t="s">
        <v>6912</v>
      </c>
      <c r="D258" s="36"/>
      <c r="E258" s="36"/>
      <c r="F258" s="36"/>
      <c r="G258" s="36"/>
      <c r="H258" s="41"/>
    </row>
    <row r="259" spans="1:8" s="2" customFormat="1" ht="16.899999999999999" customHeight="1">
      <c r="A259" s="36"/>
      <c r="B259" s="41"/>
      <c r="C259" s="280" t="s">
        <v>1055</v>
      </c>
      <c r="D259" s="280" t="s">
        <v>6940</v>
      </c>
      <c r="E259" s="19" t="s">
        <v>398</v>
      </c>
      <c r="F259" s="281">
        <v>14.7</v>
      </c>
      <c r="G259" s="36"/>
      <c r="H259" s="41"/>
    </row>
    <row r="260" spans="1:8" s="2" customFormat="1" ht="16.899999999999999" customHeight="1">
      <c r="A260" s="36"/>
      <c r="B260" s="41"/>
      <c r="C260" s="280" t="s">
        <v>1050</v>
      </c>
      <c r="D260" s="280" t="s">
        <v>6930</v>
      </c>
      <c r="E260" s="19" t="s">
        <v>398</v>
      </c>
      <c r="F260" s="281">
        <v>297.2</v>
      </c>
      <c r="G260" s="36"/>
      <c r="H260" s="41"/>
    </row>
    <row r="261" spans="1:8" s="2" customFormat="1" ht="16.899999999999999" customHeight="1">
      <c r="A261" s="36"/>
      <c r="B261" s="41"/>
      <c r="C261" s="280" t="s">
        <v>1060</v>
      </c>
      <c r="D261" s="280" t="s">
        <v>6941</v>
      </c>
      <c r="E261" s="19" t="s">
        <v>398</v>
      </c>
      <c r="F261" s="281">
        <v>29.4</v>
      </c>
      <c r="G261" s="36"/>
      <c r="H261" s="41"/>
    </row>
    <row r="262" spans="1:8" s="2" customFormat="1" ht="16.899999999999999" customHeight="1">
      <c r="A262" s="36"/>
      <c r="B262" s="41"/>
      <c r="C262" s="280" t="s">
        <v>2304</v>
      </c>
      <c r="D262" s="280" t="s">
        <v>6927</v>
      </c>
      <c r="E262" s="19" t="s">
        <v>398</v>
      </c>
      <c r="F262" s="281">
        <v>4744.7</v>
      </c>
      <c r="G262" s="36"/>
      <c r="H262" s="41"/>
    </row>
    <row r="263" spans="1:8" s="2" customFormat="1" ht="16.899999999999999" customHeight="1">
      <c r="A263" s="36"/>
      <c r="B263" s="41"/>
      <c r="C263" s="280" t="s">
        <v>2315</v>
      </c>
      <c r="D263" s="280" t="s">
        <v>6928</v>
      </c>
      <c r="E263" s="19" t="s">
        <v>398</v>
      </c>
      <c r="F263" s="281">
        <v>4744.7</v>
      </c>
      <c r="G263" s="36"/>
      <c r="H263" s="41"/>
    </row>
    <row r="264" spans="1:8" s="2" customFormat="1" ht="16.899999999999999" customHeight="1">
      <c r="A264" s="36"/>
      <c r="B264" s="41"/>
      <c r="C264" s="276" t="s">
        <v>325</v>
      </c>
      <c r="D264" s="277" t="s">
        <v>326</v>
      </c>
      <c r="E264" s="278" t="s">
        <v>19</v>
      </c>
      <c r="F264" s="279">
        <v>240.5</v>
      </c>
      <c r="G264" s="36"/>
      <c r="H264" s="41"/>
    </row>
    <row r="265" spans="1:8" s="2" customFormat="1" ht="16.899999999999999" customHeight="1">
      <c r="A265" s="36"/>
      <c r="B265" s="41"/>
      <c r="C265" s="280" t="s">
        <v>19</v>
      </c>
      <c r="D265" s="280" t="s">
        <v>1092</v>
      </c>
      <c r="E265" s="19" t="s">
        <v>19</v>
      </c>
      <c r="F265" s="281">
        <v>0</v>
      </c>
      <c r="G265" s="36"/>
      <c r="H265" s="41"/>
    </row>
    <row r="266" spans="1:8" s="2" customFormat="1" ht="16.899999999999999" customHeight="1">
      <c r="A266" s="36"/>
      <c r="B266" s="41"/>
      <c r="C266" s="280" t="s">
        <v>19</v>
      </c>
      <c r="D266" s="280" t="s">
        <v>1121</v>
      </c>
      <c r="E266" s="19" t="s">
        <v>19</v>
      </c>
      <c r="F266" s="281">
        <v>0</v>
      </c>
      <c r="G266" s="36"/>
      <c r="H266" s="41"/>
    </row>
    <row r="267" spans="1:8" s="2" customFormat="1" ht="16.899999999999999" customHeight="1">
      <c r="A267" s="36"/>
      <c r="B267" s="41"/>
      <c r="C267" s="280" t="s">
        <v>19</v>
      </c>
      <c r="D267" s="280" t="s">
        <v>327</v>
      </c>
      <c r="E267" s="19" t="s">
        <v>19</v>
      </c>
      <c r="F267" s="281">
        <v>240.5</v>
      </c>
      <c r="G267" s="36"/>
      <c r="H267" s="41"/>
    </row>
    <row r="268" spans="1:8" s="2" customFormat="1" ht="16.899999999999999" customHeight="1">
      <c r="A268" s="36"/>
      <c r="B268" s="41"/>
      <c r="C268" s="280" t="s">
        <v>325</v>
      </c>
      <c r="D268" s="280" t="s">
        <v>572</v>
      </c>
      <c r="E268" s="19" t="s">
        <v>19</v>
      </c>
      <c r="F268" s="281">
        <v>240.5</v>
      </c>
      <c r="G268" s="36"/>
      <c r="H268" s="41"/>
    </row>
    <row r="269" spans="1:8" s="2" customFormat="1" ht="16.899999999999999" customHeight="1">
      <c r="A269" s="36"/>
      <c r="B269" s="41"/>
      <c r="C269" s="282" t="s">
        <v>6912</v>
      </c>
      <c r="D269" s="36"/>
      <c r="E269" s="36"/>
      <c r="F269" s="36"/>
      <c r="G269" s="36"/>
      <c r="H269" s="41"/>
    </row>
    <row r="270" spans="1:8" s="2" customFormat="1" ht="16.899999999999999" customHeight="1">
      <c r="A270" s="36"/>
      <c r="B270" s="41"/>
      <c r="C270" s="280" t="s">
        <v>1118</v>
      </c>
      <c r="D270" s="280" t="s">
        <v>6942</v>
      </c>
      <c r="E270" s="19" t="s">
        <v>398</v>
      </c>
      <c r="F270" s="281">
        <v>240.5</v>
      </c>
      <c r="G270" s="36"/>
      <c r="H270" s="41"/>
    </row>
    <row r="271" spans="1:8" s="2" customFormat="1" ht="16.899999999999999" customHeight="1">
      <c r="A271" s="36"/>
      <c r="B271" s="41"/>
      <c r="C271" s="280" t="s">
        <v>1073</v>
      </c>
      <c r="D271" s="280" t="s">
        <v>6934</v>
      </c>
      <c r="E271" s="19" t="s">
        <v>398</v>
      </c>
      <c r="F271" s="281">
        <v>364.96</v>
      </c>
      <c r="G271" s="36"/>
      <c r="H271" s="41"/>
    </row>
    <row r="272" spans="1:8" s="2" customFormat="1" ht="16.899999999999999" customHeight="1">
      <c r="A272" s="36"/>
      <c r="B272" s="41"/>
      <c r="C272" s="280" t="s">
        <v>1123</v>
      </c>
      <c r="D272" s="280" t="s">
        <v>6943</v>
      </c>
      <c r="E272" s="19" t="s">
        <v>398</v>
      </c>
      <c r="F272" s="281">
        <v>240.5</v>
      </c>
      <c r="G272" s="36"/>
      <c r="H272" s="41"/>
    </row>
    <row r="273" spans="1:8" s="2" customFormat="1" ht="16.899999999999999" customHeight="1">
      <c r="A273" s="36"/>
      <c r="B273" s="41"/>
      <c r="C273" s="280" t="s">
        <v>2304</v>
      </c>
      <c r="D273" s="280" t="s">
        <v>6927</v>
      </c>
      <c r="E273" s="19" t="s">
        <v>398</v>
      </c>
      <c r="F273" s="281">
        <v>4744.7</v>
      </c>
      <c r="G273" s="36"/>
      <c r="H273" s="41"/>
    </row>
    <row r="274" spans="1:8" s="2" customFormat="1" ht="16.899999999999999" customHeight="1">
      <c r="A274" s="36"/>
      <c r="B274" s="41"/>
      <c r="C274" s="280" t="s">
        <v>2315</v>
      </c>
      <c r="D274" s="280" t="s">
        <v>6928</v>
      </c>
      <c r="E274" s="19" t="s">
        <v>398</v>
      </c>
      <c r="F274" s="281">
        <v>4744.7</v>
      </c>
      <c r="G274" s="36"/>
      <c r="H274" s="41"/>
    </row>
    <row r="275" spans="1:8" s="2" customFormat="1" ht="16.899999999999999" customHeight="1">
      <c r="A275" s="36"/>
      <c r="B275" s="41"/>
      <c r="C275" s="276" t="s">
        <v>328</v>
      </c>
      <c r="D275" s="277" t="s">
        <v>328</v>
      </c>
      <c r="E275" s="278" t="s">
        <v>19</v>
      </c>
      <c r="F275" s="279">
        <v>460</v>
      </c>
      <c r="G275" s="36"/>
      <c r="H275" s="41"/>
    </row>
    <row r="276" spans="1:8" s="2" customFormat="1" ht="16.899999999999999" customHeight="1">
      <c r="A276" s="36"/>
      <c r="B276" s="41"/>
      <c r="C276" s="280" t="s">
        <v>19</v>
      </c>
      <c r="D276" s="280" t="s">
        <v>1058</v>
      </c>
      <c r="E276" s="19" t="s">
        <v>19</v>
      </c>
      <c r="F276" s="281">
        <v>0</v>
      </c>
      <c r="G276" s="36"/>
      <c r="H276" s="41"/>
    </row>
    <row r="277" spans="1:8" s="2" customFormat="1" ht="16.899999999999999" customHeight="1">
      <c r="A277" s="36"/>
      <c r="B277" s="41"/>
      <c r="C277" s="280" t="s">
        <v>19</v>
      </c>
      <c r="D277" s="280" t="s">
        <v>1797</v>
      </c>
      <c r="E277" s="19" t="s">
        <v>19</v>
      </c>
      <c r="F277" s="281">
        <v>460</v>
      </c>
      <c r="G277" s="36"/>
      <c r="H277" s="41"/>
    </row>
    <row r="278" spans="1:8" s="2" customFormat="1" ht="16.899999999999999" customHeight="1">
      <c r="A278" s="36"/>
      <c r="B278" s="41"/>
      <c r="C278" s="280" t="s">
        <v>328</v>
      </c>
      <c r="D278" s="280" t="s">
        <v>572</v>
      </c>
      <c r="E278" s="19" t="s">
        <v>19</v>
      </c>
      <c r="F278" s="281">
        <v>460</v>
      </c>
      <c r="G278" s="36"/>
      <c r="H278" s="41"/>
    </row>
    <row r="279" spans="1:8" s="2" customFormat="1" ht="16.899999999999999" customHeight="1">
      <c r="A279" s="36"/>
      <c r="B279" s="41"/>
      <c r="C279" s="282" t="s">
        <v>6912</v>
      </c>
      <c r="D279" s="36"/>
      <c r="E279" s="36"/>
      <c r="F279" s="36"/>
      <c r="G279" s="36"/>
      <c r="H279" s="41"/>
    </row>
    <row r="280" spans="1:8" s="2" customFormat="1" ht="16.899999999999999" customHeight="1">
      <c r="A280" s="36"/>
      <c r="B280" s="41"/>
      <c r="C280" s="280" t="s">
        <v>1794</v>
      </c>
      <c r="D280" s="280" t="s">
        <v>6944</v>
      </c>
      <c r="E280" s="19" t="s">
        <v>398</v>
      </c>
      <c r="F280" s="281">
        <v>428.8</v>
      </c>
      <c r="G280" s="36"/>
      <c r="H280" s="41"/>
    </row>
    <row r="281" spans="1:8" s="2" customFormat="1" ht="16.899999999999999" customHeight="1">
      <c r="A281" s="36"/>
      <c r="B281" s="41"/>
      <c r="C281" s="280" t="s">
        <v>2304</v>
      </c>
      <c r="D281" s="280" t="s">
        <v>6927</v>
      </c>
      <c r="E281" s="19" t="s">
        <v>398</v>
      </c>
      <c r="F281" s="281">
        <v>4744.7</v>
      </c>
      <c r="G281" s="36"/>
      <c r="H281" s="41"/>
    </row>
    <row r="282" spans="1:8" s="2" customFormat="1" ht="16.899999999999999" customHeight="1">
      <c r="A282" s="36"/>
      <c r="B282" s="41"/>
      <c r="C282" s="280" t="s">
        <v>2315</v>
      </c>
      <c r="D282" s="280" t="s">
        <v>6928</v>
      </c>
      <c r="E282" s="19" t="s">
        <v>398</v>
      </c>
      <c r="F282" s="281">
        <v>4744.7</v>
      </c>
      <c r="G282" s="36"/>
      <c r="H282" s="41"/>
    </row>
    <row r="283" spans="1:8" s="2" customFormat="1" ht="16.899999999999999" customHeight="1">
      <c r="A283" s="36"/>
      <c r="B283" s="41"/>
      <c r="C283" s="276" t="s">
        <v>330</v>
      </c>
      <c r="D283" s="277" t="s">
        <v>330</v>
      </c>
      <c r="E283" s="278" t="s">
        <v>19</v>
      </c>
      <c r="F283" s="279">
        <v>913.9</v>
      </c>
      <c r="G283" s="36"/>
      <c r="H283" s="41"/>
    </row>
    <row r="284" spans="1:8" s="2" customFormat="1" ht="16.899999999999999" customHeight="1">
      <c r="A284" s="36"/>
      <c r="B284" s="41"/>
      <c r="C284" s="280" t="s">
        <v>19</v>
      </c>
      <c r="D284" s="280" t="s">
        <v>1058</v>
      </c>
      <c r="E284" s="19" t="s">
        <v>19</v>
      </c>
      <c r="F284" s="281">
        <v>0</v>
      </c>
      <c r="G284" s="36"/>
      <c r="H284" s="41"/>
    </row>
    <row r="285" spans="1:8" s="2" customFormat="1" ht="16.899999999999999" customHeight="1">
      <c r="A285" s="36"/>
      <c r="B285" s="41"/>
      <c r="C285" s="280" t="s">
        <v>19</v>
      </c>
      <c r="D285" s="280" t="s">
        <v>331</v>
      </c>
      <c r="E285" s="19" t="s">
        <v>19</v>
      </c>
      <c r="F285" s="281">
        <v>913.9</v>
      </c>
      <c r="G285" s="36"/>
      <c r="H285" s="41"/>
    </row>
    <row r="286" spans="1:8" s="2" customFormat="1" ht="16.899999999999999" customHeight="1">
      <c r="A286" s="36"/>
      <c r="B286" s="41"/>
      <c r="C286" s="280" t="s">
        <v>330</v>
      </c>
      <c r="D286" s="280" t="s">
        <v>572</v>
      </c>
      <c r="E286" s="19" t="s">
        <v>19</v>
      </c>
      <c r="F286" s="281">
        <v>913.9</v>
      </c>
      <c r="G286" s="36"/>
      <c r="H286" s="41"/>
    </row>
    <row r="287" spans="1:8" s="2" customFormat="1" ht="16.899999999999999" customHeight="1">
      <c r="A287" s="36"/>
      <c r="B287" s="41"/>
      <c r="C287" s="282" t="s">
        <v>6912</v>
      </c>
      <c r="D287" s="36"/>
      <c r="E287" s="36"/>
      <c r="F287" s="36"/>
      <c r="G287" s="36"/>
      <c r="H287" s="41"/>
    </row>
    <row r="288" spans="1:8" s="2" customFormat="1" ht="16.899999999999999" customHeight="1">
      <c r="A288" s="36"/>
      <c r="B288" s="41"/>
      <c r="C288" s="280" t="s">
        <v>1801</v>
      </c>
      <c r="D288" s="280" t="s">
        <v>6945</v>
      </c>
      <c r="E288" s="19" t="s">
        <v>398</v>
      </c>
      <c r="F288" s="281">
        <v>913.9</v>
      </c>
      <c r="G288" s="36"/>
      <c r="H288" s="41"/>
    </row>
    <row r="289" spans="1:8" s="2" customFormat="1" ht="16.899999999999999" customHeight="1">
      <c r="A289" s="36"/>
      <c r="B289" s="41"/>
      <c r="C289" s="280" t="s">
        <v>1805</v>
      </c>
      <c r="D289" s="280" t="s">
        <v>6946</v>
      </c>
      <c r="E289" s="19" t="s">
        <v>398</v>
      </c>
      <c r="F289" s="281">
        <v>959.59500000000003</v>
      </c>
      <c r="G289" s="36"/>
      <c r="H289" s="41"/>
    </row>
    <row r="290" spans="1:8" s="2" customFormat="1" ht="7.35" customHeight="1">
      <c r="A290" s="36"/>
      <c r="B290" s="135"/>
      <c r="C290" s="136"/>
      <c r="D290" s="136"/>
      <c r="E290" s="136"/>
      <c r="F290" s="136"/>
      <c r="G290" s="136"/>
      <c r="H290" s="41"/>
    </row>
    <row r="291" spans="1:8" s="2" customFormat="1" ht="11.25">
      <c r="A291" s="36"/>
      <c r="B291" s="36"/>
      <c r="C291" s="36"/>
      <c r="D291" s="36"/>
      <c r="E291" s="36"/>
      <c r="F291" s="36"/>
      <c r="G291" s="36"/>
      <c r="H291" s="36"/>
    </row>
  </sheetData>
  <sheetProtection algorithmName="SHA-512" hashValue="pJJfx6/ivUPwfNApq+KrI2nP1GZkdAgRxER534usfOIeK5xKgKZcjKjmmUvviv4lK2S8xB7UqAY5fJV8RZtMxA==" saltValue="hqV39NCW4a+KcpJVSmSAvE+jkLTcr1Zwe505Oi0qOOMShhFf1Bg9iF4/A8HeqV7M7SVucKosAnx/ovdRqvoYY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K218"/>
  <sheetViews>
    <sheetView showGridLines="0" zoomScale="110" zoomScaleNormal="110" workbookViewId="0"/>
  </sheetViews>
  <sheetFormatPr defaultRowHeight="1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s="1" customFormat="1" ht="37.5" customHeight="1"/>
    <row r="2" spans="2:11" s="1" customFormat="1" ht="7.5" customHeight="1">
      <c r="B2" s="284"/>
      <c r="C2" s="285"/>
      <c r="D2" s="285"/>
      <c r="E2" s="285"/>
      <c r="F2" s="285"/>
      <c r="G2" s="285"/>
      <c r="H2" s="285"/>
      <c r="I2" s="285"/>
      <c r="J2" s="285"/>
      <c r="K2" s="286"/>
    </row>
    <row r="3" spans="2:11" s="17" customFormat="1" ht="45" customHeight="1">
      <c r="B3" s="287"/>
      <c r="C3" s="423" t="s">
        <v>6947</v>
      </c>
      <c r="D3" s="423"/>
      <c r="E3" s="423"/>
      <c r="F3" s="423"/>
      <c r="G3" s="423"/>
      <c r="H3" s="423"/>
      <c r="I3" s="423"/>
      <c r="J3" s="423"/>
      <c r="K3" s="288"/>
    </row>
    <row r="4" spans="2:11" s="1" customFormat="1" ht="25.5" customHeight="1">
      <c r="B4" s="289"/>
      <c r="C4" s="428" t="s">
        <v>6948</v>
      </c>
      <c r="D4" s="428"/>
      <c r="E4" s="428"/>
      <c r="F4" s="428"/>
      <c r="G4" s="428"/>
      <c r="H4" s="428"/>
      <c r="I4" s="428"/>
      <c r="J4" s="428"/>
      <c r="K4" s="290"/>
    </row>
    <row r="5" spans="2:11" s="1" customFormat="1" ht="5.25" customHeight="1">
      <c r="B5" s="289"/>
      <c r="C5" s="291"/>
      <c r="D5" s="291"/>
      <c r="E5" s="291"/>
      <c r="F5" s="291"/>
      <c r="G5" s="291"/>
      <c r="H5" s="291"/>
      <c r="I5" s="291"/>
      <c r="J5" s="291"/>
      <c r="K5" s="290"/>
    </row>
    <row r="6" spans="2:11" s="1" customFormat="1" ht="15" customHeight="1">
      <c r="B6" s="289"/>
      <c r="C6" s="427" t="s">
        <v>6949</v>
      </c>
      <c r="D6" s="427"/>
      <c r="E6" s="427"/>
      <c r="F6" s="427"/>
      <c r="G6" s="427"/>
      <c r="H6" s="427"/>
      <c r="I6" s="427"/>
      <c r="J6" s="427"/>
      <c r="K6" s="290"/>
    </row>
    <row r="7" spans="2:11" s="1" customFormat="1" ht="15" customHeight="1">
      <c r="B7" s="293"/>
      <c r="C7" s="427" t="s">
        <v>6950</v>
      </c>
      <c r="D7" s="427"/>
      <c r="E7" s="427"/>
      <c r="F7" s="427"/>
      <c r="G7" s="427"/>
      <c r="H7" s="427"/>
      <c r="I7" s="427"/>
      <c r="J7" s="427"/>
      <c r="K7" s="290"/>
    </row>
    <row r="8" spans="2:11" s="1" customFormat="1" ht="12.75" customHeight="1">
      <c r="B8" s="293"/>
      <c r="C8" s="292"/>
      <c r="D8" s="292"/>
      <c r="E8" s="292"/>
      <c r="F8" s="292"/>
      <c r="G8" s="292"/>
      <c r="H8" s="292"/>
      <c r="I8" s="292"/>
      <c r="J8" s="292"/>
      <c r="K8" s="290"/>
    </row>
    <row r="9" spans="2:11" s="1" customFormat="1" ht="15" customHeight="1">
      <c r="B9" s="293"/>
      <c r="C9" s="427" t="s">
        <v>6951</v>
      </c>
      <c r="D9" s="427"/>
      <c r="E9" s="427"/>
      <c r="F9" s="427"/>
      <c r="G9" s="427"/>
      <c r="H9" s="427"/>
      <c r="I9" s="427"/>
      <c r="J9" s="427"/>
      <c r="K9" s="290"/>
    </row>
    <row r="10" spans="2:11" s="1" customFormat="1" ht="15" customHeight="1">
      <c r="B10" s="293"/>
      <c r="C10" s="292"/>
      <c r="D10" s="427" t="s">
        <v>6952</v>
      </c>
      <c r="E10" s="427"/>
      <c r="F10" s="427"/>
      <c r="G10" s="427"/>
      <c r="H10" s="427"/>
      <c r="I10" s="427"/>
      <c r="J10" s="427"/>
      <c r="K10" s="290"/>
    </row>
    <row r="11" spans="2:11" s="1" customFormat="1" ht="15" customHeight="1">
      <c r="B11" s="293"/>
      <c r="C11" s="294"/>
      <c r="D11" s="427" t="s">
        <v>6953</v>
      </c>
      <c r="E11" s="427"/>
      <c r="F11" s="427"/>
      <c r="G11" s="427"/>
      <c r="H11" s="427"/>
      <c r="I11" s="427"/>
      <c r="J11" s="427"/>
      <c r="K11" s="290"/>
    </row>
    <row r="12" spans="2:11" s="1" customFormat="1" ht="15" customHeight="1">
      <c r="B12" s="293"/>
      <c r="C12" s="294"/>
      <c r="D12" s="292"/>
      <c r="E12" s="292"/>
      <c r="F12" s="292"/>
      <c r="G12" s="292"/>
      <c r="H12" s="292"/>
      <c r="I12" s="292"/>
      <c r="J12" s="292"/>
      <c r="K12" s="290"/>
    </row>
    <row r="13" spans="2:11" s="1" customFormat="1" ht="15" customHeight="1">
      <c r="B13" s="293"/>
      <c r="C13" s="294"/>
      <c r="D13" s="295" t="s">
        <v>6954</v>
      </c>
      <c r="E13" s="292"/>
      <c r="F13" s="292"/>
      <c r="G13" s="292"/>
      <c r="H13" s="292"/>
      <c r="I13" s="292"/>
      <c r="J13" s="292"/>
      <c r="K13" s="290"/>
    </row>
    <row r="14" spans="2:11" s="1" customFormat="1" ht="12.75" customHeight="1">
      <c r="B14" s="293"/>
      <c r="C14" s="294"/>
      <c r="D14" s="294"/>
      <c r="E14" s="294"/>
      <c r="F14" s="294"/>
      <c r="G14" s="294"/>
      <c r="H14" s="294"/>
      <c r="I14" s="294"/>
      <c r="J14" s="294"/>
      <c r="K14" s="290"/>
    </row>
    <row r="15" spans="2:11" s="1" customFormat="1" ht="15" customHeight="1">
      <c r="B15" s="293"/>
      <c r="C15" s="294"/>
      <c r="D15" s="427" t="s">
        <v>6955</v>
      </c>
      <c r="E15" s="427"/>
      <c r="F15" s="427"/>
      <c r="G15" s="427"/>
      <c r="H15" s="427"/>
      <c r="I15" s="427"/>
      <c r="J15" s="427"/>
      <c r="K15" s="290"/>
    </row>
    <row r="16" spans="2:11" s="1" customFormat="1" ht="15" customHeight="1">
      <c r="B16" s="293"/>
      <c r="C16" s="294"/>
      <c r="D16" s="427" t="s">
        <v>6956</v>
      </c>
      <c r="E16" s="427"/>
      <c r="F16" s="427"/>
      <c r="G16" s="427"/>
      <c r="H16" s="427"/>
      <c r="I16" s="427"/>
      <c r="J16" s="427"/>
      <c r="K16" s="290"/>
    </row>
    <row r="17" spans="2:11" s="1" customFormat="1" ht="15" customHeight="1">
      <c r="B17" s="293"/>
      <c r="C17" s="294"/>
      <c r="D17" s="427" t="s">
        <v>6957</v>
      </c>
      <c r="E17" s="427"/>
      <c r="F17" s="427"/>
      <c r="G17" s="427"/>
      <c r="H17" s="427"/>
      <c r="I17" s="427"/>
      <c r="J17" s="427"/>
      <c r="K17" s="290"/>
    </row>
    <row r="18" spans="2:11" s="1" customFormat="1" ht="15" customHeight="1">
      <c r="B18" s="293"/>
      <c r="C18" s="294"/>
      <c r="D18" s="294"/>
      <c r="E18" s="296" t="s">
        <v>78</v>
      </c>
      <c r="F18" s="427" t="s">
        <v>6958</v>
      </c>
      <c r="G18" s="427"/>
      <c r="H18" s="427"/>
      <c r="I18" s="427"/>
      <c r="J18" s="427"/>
      <c r="K18" s="290"/>
    </row>
    <row r="19" spans="2:11" s="1" customFormat="1" ht="15" customHeight="1">
      <c r="B19" s="293"/>
      <c r="C19" s="294"/>
      <c r="D19" s="294"/>
      <c r="E19" s="296" t="s">
        <v>6959</v>
      </c>
      <c r="F19" s="427" t="s">
        <v>6960</v>
      </c>
      <c r="G19" s="427"/>
      <c r="H19" s="427"/>
      <c r="I19" s="427"/>
      <c r="J19" s="427"/>
      <c r="K19" s="290"/>
    </row>
    <row r="20" spans="2:11" s="1" customFormat="1" ht="15" customHeight="1">
      <c r="B20" s="293"/>
      <c r="C20" s="294"/>
      <c r="D20" s="294"/>
      <c r="E20" s="296" t="s">
        <v>6961</v>
      </c>
      <c r="F20" s="427" t="s">
        <v>6962</v>
      </c>
      <c r="G20" s="427"/>
      <c r="H20" s="427"/>
      <c r="I20" s="427"/>
      <c r="J20" s="427"/>
      <c r="K20" s="290"/>
    </row>
    <row r="21" spans="2:11" s="1" customFormat="1" ht="15" customHeight="1">
      <c r="B21" s="293"/>
      <c r="C21" s="294"/>
      <c r="D21" s="294"/>
      <c r="E21" s="296" t="s">
        <v>6963</v>
      </c>
      <c r="F21" s="427" t="s">
        <v>6964</v>
      </c>
      <c r="G21" s="427"/>
      <c r="H21" s="427"/>
      <c r="I21" s="427"/>
      <c r="J21" s="427"/>
      <c r="K21" s="290"/>
    </row>
    <row r="22" spans="2:11" s="1" customFormat="1" ht="15" customHeight="1">
      <c r="B22" s="293"/>
      <c r="C22" s="294"/>
      <c r="D22" s="294"/>
      <c r="E22" s="296" t="s">
        <v>6965</v>
      </c>
      <c r="F22" s="427" t="s">
        <v>6966</v>
      </c>
      <c r="G22" s="427"/>
      <c r="H22" s="427"/>
      <c r="I22" s="427"/>
      <c r="J22" s="427"/>
      <c r="K22" s="290"/>
    </row>
    <row r="23" spans="2:11" s="1" customFormat="1" ht="15" customHeight="1">
      <c r="B23" s="293"/>
      <c r="C23" s="294"/>
      <c r="D23" s="294"/>
      <c r="E23" s="296" t="s">
        <v>86</v>
      </c>
      <c r="F23" s="427" t="s">
        <v>6967</v>
      </c>
      <c r="G23" s="427"/>
      <c r="H23" s="427"/>
      <c r="I23" s="427"/>
      <c r="J23" s="427"/>
      <c r="K23" s="290"/>
    </row>
    <row r="24" spans="2:11" s="1" customFormat="1" ht="12.75" customHeight="1">
      <c r="B24" s="293"/>
      <c r="C24" s="294"/>
      <c r="D24" s="294"/>
      <c r="E24" s="294"/>
      <c r="F24" s="294"/>
      <c r="G24" s="294"/>
      <c r="H24" s="294"/>
      <c r="I24" s="294"/>
      <c r="J24" s="294"/>
      <c r="K24" s="290"/>
    </row>
    <row r="25" spans="2:11" s="1" customFormat="1" ht="15" customHeight="1">
      <c r="B25" s="293"/>
      <c r="C25" s="427" t="s">
        <v>6968</v>
      </c>
      <c r="D25" s="427"/>
      <c r="E25" s="427"/>
      <c r="F25" s="427"/>
      <c r="G25" s="427"/>
      <c r="H25" s="427"/>
      <c r="I25" s="427"/>
      <c r="J25" s="427"/>
      <c r="K25" s="290"/>
    </row>
    <row r="26" spans="2:11" s="1" customFormat="1" ht="15" customHeight="1">
      <c r="B26" s="293"/>
      <c r="C26" s="427" t="s">
        <v>6969</v>
      </c>
      <c r="D26" s="427"/>
      <c r="E26" s="427"/>
      <c r="F26" s="427"/>
      <c r="G26" s="427"/>
      <c r="H26" s="427"/>
      <c r="I26" s="427"/>
      <c r="J26" s="427"/>
      <c r="K26" s="290"/>
    </row>
    <row r="27" spans="2:11" s="1" customFormat="1" ht="15" customHeight="1">
      <c r="B27" s="293"/>
      <c r="C27" s="292"/>
      <c r="D27" s="427" t="s">
        <v>6970</v>
      </c>
      <c r="E27" s="427"/>
      <c r="F27" s="427"/>
      <c r="G27" s="427"/>
      <c r="H27" s="427"/>
      <c r="I27" s="427"/>
      <c r="J27" s="427"/>
      <c r="K27" s="290"/>
    </row>
    <row r="28" spans="2:11" s="1" customFormat="1" ht="15" customHeight="1">
      <c r="B28" s="293"/>
      <c r="C28" s="294"/>
      <c r="D28" s="427" t="s">
        <v>6971</v>
      </c>
      <c r="E28" s="427"/>
      <c r="F28" s="427"/>
      <c r="G28" s="427"/>
      <c r="H28" s="427"/>
      <c r="I28" s="427"/>
      <c r="J28" s="427"/>
      <c r="K28" s="290"/>
    </row>
    <row r="29" spans="2:11" s="1" customFormat="1" ht="12.75" customHeight="1">
      <c r="B29" s="293"/>
      <c r="C29" s="294"/>
      <c r="D29" s="294"/>
      <c r="E29" s="294"/>
      <c r="F29" s="294"/>
      <c r="G29" s="294"/>
      <c r="H29" s="294"/>
      <c r="I29" s="294"/>
      <c r="J29" s="294"/>
      <c r="K29" s="290"/>
    </row>
    <row r="30" spans="2:11" s="1" customFormat="1" ht="15" customHeight="1">
      <c r="B30" s="293"/>
      <c r="C30" s="294"/>
      <c r="D30" s="427" t="s">
        <v>6972</v>
      </c>
      <c r="E30" s="427"/>
      <c r="F30" s="427"/>
      <c r="G30" s="427"/>
      <c r="H30" s="427"/>
      <c r="I30" s="427"/>
      <c r="J30" s="427"/>
      <c r="K30" s="290"/>
    </row>
    <row r="31" spans="2:11" s="1" customFormat="1" ht="15" customHeight="1">
      <c r="B31" s="293"/>
      <c r="C31" s="294"/>
      <c r="D31" s="427" t="s">
        <v>6973</v>
      </c>
      <c r="E31" s="427"/>
      <c r="F31" s="427"/>
      <c r="G31" s="427"/>
      <c r="H31" s="427"/>
      <c r="I31" s="427"/>
      <c r="J31" s="427"/>
      <c r="K31" s="290"/>
    </row>
    <row r="32" spans="2:11" s="1" customFormat="1" ht="12.75" customHeight="1">
      <c r="B32" s="293"/>
      <c r="C32" s="294"/>
      <c r="D32" s="294"/>
      <c r="E32" s="294"/>
      <c r="F32" s="294"/>
      <c r="G32" s="294"/>
      <c r="H32" s="294"/>
      <c r="I32" s="294"/>
      <c r="J32" s="294"/>
      <c r="K32" s="290"/>
    </row>
    <row r="33" spans="2:11" s="1" customFormat="1" ht="15" customHeight="1">
      <c r="B33" s="293"/>
      <c r="C33" s="294"/>
      <c r="D33" s="427" t="s">
        <v>6974</v>
      </c>
      <c r="E33" s="427"/>
      <c r="F33" s="427"/>
      <c r="G33" s="427"/>
      <c r="H33" s="427"/>
      <c r="I33" s="427"/>
      <c r="J33" s="427"/>
      <c r="K33" s="290"/>
    </row>
    <row r="34" spans="2:11" s="1" customFormat="1" ht="15" customHeight="1">
      <c r="B34" s="293"/>
      <c r="C34" s="294"/>
      <c r="D34" s="427" t="s">
        <v>6975</v>
      </c>
      <c r="E34" s="427"/>
      <c r="F34" s="427"/>
      <c r="G34" s="427"/>
      <c r="H34" s="427"/>
      <c r="I34" s="427"/>
      <c r="J34" s="427"/>
      <c r="K34" s="290"/>
    </row>
    <row r="35" spans="2:11" s="1" customFormat="1" ht="15" customHeight="1">
      <c r="B35" s="293"/>
      <c r="C35" s="294"/>
      <c r="D35" s="427" t="s">
        <v>6976</v>
      </c>
      <c r="E35" s="427"/>
      <c r="F35" s="427"/>
      <c r="G35" s="427"/>
      <c r="H35" s="427"/>
      <c r="I35" s="427"/>
      <c r="J35" s="427"/>
      <c r="K35" s="290"/>
    </row>
    <row r="36" spans="2:11" s="1" customFormat="1" ht="15" customHeight="1">
      <c r="B36" s="293"/>
      <c r="C36" s="294"/>
      <c r="D36" s="292"/>
      <c r="E36" s="295" t="s">
        <v>366</v>
      </c>
      <c r="F36" s="292"/>
      <c r="G36" s="427" t="s">
        <v>6977</v>
      </c>
      <c r="H36" s="427"/>
      <c r="I36" s="427"/>
      <c r="J36" s="427"/>
      <c r="K36" s="290"/>
    </row>
    <row r="37" spans="2:11" s="1" customFormat="1" ht="30.75" customHeight="1">
      <c r="B37" s="293"/>
      <c r="C37" s="294"/>
      <c r="D37" s="292"/>
      <c r="E37" s="295" t="s">
        <v>6978</v>
      </c>
      <c r="F37" s="292"/>
      <c r="G37" s="427" t="s">
        <v>6979</v>
      </c>
      <c r="H37" s="427"/>
      <c r="I37" s="427"/>
      <c r="J37" s="427"/>
      <c r="K37" s="290"/>
    </row>
    <row r="38" spans="2:11" s="1" customFormat="1" ht="15" customHeight="1">
      <c r="B38" s="293"/>
      <c r="C38" s="294"/>
      <c r="D38" s="292"/>
      <c r="E38" s="295" t="s">
        <v>53</v>
      </c>
      <c r="F38" s="292"/>
      <c r="G38" s="427" t="s">
        <v>6980</v>
      </c>
      <c r="H38" s="427"/>
      <c r="I38" s="427"/>
      <c r="J38" s="427"/>
      <c r="K38" s="290"/>
    </row>
    <row r="39" spans="2:11" s="1" customFormat="1" ht="15" customHeight="1">
      <c r="B39" s="293"/>
      <c r="C39" s="294"/>
      <c r="D39" s="292"/>
      <c r="E39" s="295" t="s">
        <v>54</v>
      </c>
      <c r="F39" s="292"/>
      <c r="G39" s="427" t="s">
        <v>6981</v>
      </c>
      <c r="H39" s="427"/>
      <c r="I39" s="427"/>
      <c r="J39" s="427"/>
      <c r="K39" s="290"/>
    </row>
    <row r="40" spans="2:11" s="1" customFormat="1" ht="15" customHeight="1">
      <c r="B40" s="293"/>
      <c r="C40" s="294"/>
      <c r="D40" s="292"/>
      <c r="E40" s="295" t="s">
        <v>367</v>
      </c>
      <c r="F40" s="292"/>
      <c r="G40" s="427" t="s">
        <v>6982</v>
      </c>
      <c r="H40" s="427"/>
      <c r="I40" s="427"/>
      <c r="J40" s="427"/>
      <c r="K40" s="290"/>
    </row>
    <row r="41" spans="2:11" s="1" customFormat="1" ht="15" customHeight="1">
      <c r="B41" s="293"/>
      <c r="C41" s="294"/>
      <c r="D41" s="292"/>
      <c r="E41" s="295" t="s">
        <v>368</v>
      </c>
      <c r="F41" s="292"/>
      <c r="G41" s="427" t="s">
        <v>6983</v>
      </c>
      <c r="H41" s="427"/>
      <c r="I41" s="427"/>
      <c r="J41" s="427"/>
      <c r="K41" s="290"/>
    </row>
    <row r="42" spans="2:11" s="1" customFormat="1" ht="15" customHeight="1">
      <c r="B42" s="293"/>
      <c r="C42" s="294"/>
      <c r="D42" s="292"/>
      <c r="E42" s="295" t="s">
        <v>6984</v>
      </c>
      <c r="F42" s="292"/>
      <c r="G42" s="427" t="s">
        <v>6985</v>
      </c>
      <c r="H42" s="427"/>
      <c r="I42" s="427"/>
      <c r="J42" s="427"/>
      <c r="K42" s="290"/>
    </row>
    <row r="43" spans="2:11" s="1" customFormat="1" ht="15" customHeight="1">
      <c r="B43" s="293"/>
      <c r="C43" s="294"/>
      <c r="D43" s="292"/>
      <c r="E43" s="295"/>
      <c r="F43" s="292"/>
      <c r="G43" s="427" t="s">
        <v>6986</v>
      </c>
      <c r="H43" s="427"/>
      <c r="I43" s="427"/>
      <c r="J43" s="427"/>
      <c r="K43" s="290"/>
    </row>
    <row r="44" spans="2:11" s="1" customFormat="1" ht="15" customHeight="1">
      <c r="B44" s="293"/>
      <c r="C44" s="294"/>
      <c r="D44" s="292"/>
      <c r="E44" s="295" t="s">
        <v>6987</v>
      </c>
      <c r="F44" s="292"/>
      <c r="G44" s="427" t="s">
        <v>6988</v>
      </c>
      <c r="H44" s="427"/>
      <c r="I44" s="427"/>
      <c r="J44" s="427"/>
      <c r="K44" s="290"/>
    </row>
    <row r="45" spans="2:11" s="1" customFormat="1" ht="15" customHeight="1">
      <c r="B45" s="293"/>
      <c r="C45" s="294"/>
      <c r="D45" s="292"/>
      <c r="E45" s="295" t="s">
        <v>370</v>
      </c>
      <c r="F45" s="292"/>
      <c r="G45" s="427" t="s">
        <v>6989</v>
      </c>
      <c r="H45" s="427"/>
      <c r="I45" s="427"/>
      <c r="J45" s="427"/>
      <c r="K45" s="290"/>
    </row>
    <row r="46" spans="2:11" s="1" customFormat="1" ht="12.75" customHeight="1">
      <c r="B46" s="293"/>
      <c r="C46" s="294"/>
      <c r="D46" s="292"/>
      <c r="E46" s="292"/>
      <c r="F46" s="292"/>
      <c r="G46" s="292"/>
      <c r="H46" s="292"/>
      <c r="I46" s="292"/>
      <c r="J46" s="292"/>
      <c r="K46" s="290"/>
    </row>
    <row r="47" spans="2:11" s="1" customFormat="1" ht="15" customHeight="1">
      <c r="B47" s="293"/>
      <c r="C47" s="294"/>
      <c r="D47" s="427" t="s">
        <v>6990</v>
      </c>
      <c r="E47" s="427"/>
      <c r="F47" s="427"/>
      <c r="G47" s="427"/>
      <c r="H47" s="427"/>
      <c r="I47" s="427"/>
      <c r="J47" s="427"/>
      <c r="K47" s="290"/>
    </row>
    <row r="48" spans="2:11" s="1" customFormat="1" ht="15" customHeight="1">
      <c r="B48" s="293"/>
      <c r="C48" s="294"/>
      <c r="D48" s="294"/>
      <c r="E48" s="427" t="s">
        <v>6991</v>
      </c>
      <c r="F48" s="427"/>
      <c r="G48" s="427"/>
      <c r="H48" s="427"/>
      <c r="I48" s="427"/>
      <c r="J48" s="427"/>
      <c r="K48" s="290"/>
    </row>
    <row r="49" spans="2:11" s="1" customFormat="1" ht="15" customHeight="1">
      <c r="B49" s="293"/>
      <c r="C49" s="294"/>
      <c r="D49" s="294"/>
      <c r="E49" s="427" t="s">
        <v>6992</v>
      </c>
      <c r="F49" s="427"/>
      <c r="G49" s="427"/>
      <c r="H49" s="427"/>
      <c r="I49" s="427"/>
      <c r="J49" s="427"/>
      <c r="K49" s="290"/>
    </row>
    <row r="50" spans="2:11" s="1" customFormat="1" ht="15" customHeight="1">
      <c r="B50" s="293"/>
      <c r="C50" s="294"/>
      <c r="D50" s="294"/>
      <c r="E50" s="427" t="s">
        <v>6993</v>
      </c>
      <c r="F50" s="427"/>
      <c r="G50" s="427"/>
      <c r="H50" s="427"/>
      <c r="I50" s="427"/>
      <c r="J50" s="427"/>
      <c r="K50" s="290"/>
    </row>
    <row r="51" spans="2:11" s="1" customFormat="1" ht="15" customHeight="1">
      <c r="B51" s="293"/>
      <c r="C51" s="294"/>
      <c r="D51" s="427" t="s">
        <v>6994</v>
      </c>
      <c r="E51" s="427"/>
      <c r="F51" s="427"/>
      <c r="G51" s="427"/>
      <c r="H51" s="427"/>
      <c r="I51" s="427"/>
      <c r="J51" s="427"/>
      <c r="K51" s="290"/>
    </row>
    <row r="52" spans="2:11" s="1" customFormat="1" ht="25.5" customHeight="1">
      <c r="B52" s="289"/>
      <c r="C52" s="428" t="s">
        <v>6995</v>
      </c>
      <c r="D52" s="428"/>
      <c r="E52" s="428"/>
      <c r="F52" s="428"/>
      <c r="G52" s="428"/>
      <c r="H52" s="428"/>
      <c r="I52" s="428"/>
      <c r="J52" s="428"/>
      <c r="K52" s="290"/>
    </row>
    <row r="53" spans="2:11" s="1" customFormat="1" ht="5.25" customHeight="1">
      <c r="B53" s="289"/>
      <c r="C53" s="291"/>
      <c r="D53" s="291"/>
      <c r="E53" s="291"/>
      <c r="F53" s="291"/>
      <c r="G53" s="291"/>
      <c r="H53" s="291"/>
      <c r="I53" s="291"/>
      <c r="J53" s="291"/>
      <c r="K53" s="290"/>
    </row>
    <row r="54" spans="2:11" s="1" customFormat="1" ht="15" customHeight="1">
      <c r="B54" s="289"/>
      <c r="C54" s="427" t="s">
        <v>6996</v>
      </c>
      <c r="D54" s="427"/>
      <c r="E54" s="427"/>
      <c r="F54" s="427"/>
      <c r="G54" s="427"/>
      <c r="H54" s="427"/>
      <c r="I54" s="427"/>
      <c r="J54" s="427"/>
      <c r="K54" s="290"/>
    </row>
    <row r="55" spans="2:11" s="1" customFormat="1" ht="15" customHeight="1">
      <c r="B55" s="289"/>
      <c r="C55" s="427" t="s">
        <v>6997</v>
      </c>
      <c r="D55" s="427"/>
      <c r="E55" s="427"/>
      <c r="F55" s="427"/>
      <c r="G55" s="427"/>
      <c r="H55" s="427"/>
      <c r="I55" s="427"/>
      <c r="J55" s="427"/>
      <c r="K55" s="290"/>
    </row>
    <row r="56" spans="2:11" s="1" customFormat="1" ht="12.75" customHeight="1">
      <c r="B56" s="289"/>
      <c r="C56" s="292"/>
      <c r="D56" s="292"/>
      <c r="E56" s="292"/>
      <c r="F56" s="292"/>
      <c r="G56" s="292"/>
      <c r="H56" s="292"/>
      <c r="I56" s="292"/>
      <c r="J56" s="292"/>
      <c r="K56" s="290"/>
    </row>
    <row r="57" spans="2:11" s="1" customFormat="1" ht="15" customHeight="1">
      <c r="B57" s="289"/>
      <c r="C57" s="427" t="s">
        <v>6998</v>
      </c>
      <c r="D57" s="427"/>
      <c r="E57" s="427"/>
      <c r="F57" s="427"/>
      <c r="G57" s="427"/>
      <c r="H57" s="427"/>
      <c r="I57" s="427"/>
      <c r="J57" s="427"/>
      <c r="K57" s="290"/>
    </row>
    <row r="58" spans="2:11" s="1" customFormat="1" ht="15" customHeight="1">
      <c r="B58" s="289"/>
      <c r="C58" s="294"/>
      <c r="D58" s="427" t="s">
        <v>6999</v>
      </c>
      <c r="E58" s="427"/>
      <c r="F58" s="427"/>
      <c r="G58" s="427"/>
      <c r="H58" s="427"/>
      <c r="I58" s="427"/>
      <c r="J58" s="427"/>
      <c r="K58" s="290"/>
    </row>
    <row r="59" spans="2:11" s="1" customFormat="1" ht="15" customHeight="1">
      <c r="B59" s="289"/>
      <c r="C59" s="294"/>
      <c r="D59" s="427" t="s">
        <v>7000</v>
      </c>
      <c r="E59" s="427"/>
      <c r="F59" s="427"/>
      <c r="G59" s="427"/>
      <c r="H59" s="427"/>
      <c r="I59" s="427"/>
      <c r="J59" s="427"/>
      <c r="K59" s="290"/>
    </row>
    <row r="60" spans="2:11" s="1" customFormat="1" ht="15" customHeight="1">
      <c r="B60" s="289"/>
      <c r="C60" s="294"/>
      <c r="D60" s="427" t="s">
        <v>7001</v>
      </c>
      <c r="E60" s="427"/>
      <c r="F60" s="427"/>
      <c r="G60" s="427"/>
      <c r="H60" s="427"/>
      <c r="I60" s="427"/>
      <c r="J60" s="427"/>
      <c r="K60" s="290"/>
    </row>
    <row r="61" spans="2:11" s="1" customFormat="1" ht="15" customHeight="1">
      <c r="B61" s="289"/>
      <c r="C61" s="294"/>
      <c r="D61" s="427" t="s">
        <v>7002</v>
      </c>
      <c r="E61" s="427"/>
      <c r="F61" s="427"/>
      <c r="G61" s="427"/>
      <c r="H61" s="427"/>
      <c r="I61" s="427"/>
      <c r="J61" s="427"/>
      <c r="K61" s="290"/>
    </row>
    <row r="62" spans="2:11" s="1" customFormat="1" ht="15" customHeight="1">
      <c r="B62" s="289"/>
      <c r="C62" s="294"/>
      <c r="D62" s="429" t="s">
        <v>7003</v>
      </c>
      <c r="E62" s="429"/>
      <c r="F62" s="429"/>
      <c r="G62" s="429"/>
      <c r="H62" s="429"/>
      <c r="I62" s="429"/>
      <c r="J62" s="429"/>
      <c r="K62" s="290"/>
    </row>
    <row r="63" spans="2:11" s="1" customFormat="1" ht="15" customHeight="1">
      <c r="B63" s="289"/>
      <c r="C63" s="294"/>
      <c r="D63" s="427" t="s">
        <v>7004</v>
      </c>
      <c r="E63" s="427"/>
      <c r="F63" s="427"/>
      <c r="G63" s="427"/>
      <c r="H63" s="427"/>
      <c r="I63" s="427"/>
      <c r="J63" s="427"/>
      <c r="K63" s="290"/>
    </row>
    <row r="64" spans="2:11" s="1" customFormat="1" ht="12.75" customHeight="1">
      <c r="B64" s="289"/>
      <c r="C64" s="294"/>
      <c r="D64" s="294"/>
      <c r="E64" s="297"/>
      <c r="F64" s="294"/>
      <c r="G64" s="294"/>
      <c r="H64" s="294"/>
      <c r="I64" s="294"/>
      <c r="J64" s="294"/>
      <c r="K64" s="290"/>
    </row>
    <row r="65" spans="2:11" s="1" customFormat="1" ht="15" customHeight="1">
      <c r="B65" s="289"/>
      <c r="C65" s="294"/>
      <c r="D65" s="427" t="s">
        <v>7005</v>
      </c>
      <c r="E65" s="427"/>
      <c r="F65" s="427"/>
      <c r="G65" s="427"/>
      <c r="H65" s="427"/>
      <c r="I65" s="427"/>
      <c r="J65" s="427"/>
      <c r="K65" s="290"/>
    </row>
    <row r="66" spans="2:11" s="1" customFormat="1" ht="15" customHeight="1">
      <c r="B66" s="289"/>
      <c r="C66" s="294"/>
      <c r="D66" s="429" t="s">
        <v>7006</v>
      </c>
      <c r="E66" s="429"/>
      <c r="F66" s="429"/>
      <c r="G66" s="429"/>
      <c r="H66" s="429"/>
      <c r="I66" s="429"/>
      <c r="J66" s="429"/>
      <c r="K66" s="290"/>
    </row>
    <row r="67" spans="2:11" s="1" customFormat="1" ht="15" customHeight="1">
      <c r="B67" s="289"/>
      <c r="C67" s="294"/>
      <c r="D67" s="427" t="s">
        <v>7007</v>
      </c>
      <c r="E67" s="427"/>
      <c r="F67" s="427"/>
      <c r="G67" s="427"/>
      <c r="H67" s="427"/>
      <c r="I67" s="427"/>
      <c r="J67" s="427"/>
      <c r="K67" s="290"/>
    </row>
    <row r="68" spans="2:11" s="1" customFormat="1" ht="15" customHeight="1">
      <c r="B68" s="289"/>
      <c r="C68" s="294"/>
      <c r="D68" s="427" t="s">
        <v>7008</v>
      </c>
      <c r="E68" s="427"/>
      <c r="F68" s="427"/>
      <c r="G68" s="427"/>
      <c r="H68" s="427"/>
      <c r="I68" s="427"/>
      <c r="J68" s="427"/>
      <c r="K68" s="290"/>
    </row>
    <row r="69" spans="2:11" s="1" customFormat="1" ht="15" customHeight="1">
      <c r="B69" s="289"/>
      <c r="C69" s="294"/>
      <c r="D69" s="427" t="s">
        <v>7009</v>
      </c>
      <c r="E69" s="427"/>
      <c r="F69" s="427"/>
      <c r="G69" s="427"/>
      <c r="H69" s="427"/>
      <c r="I69" s="427"/>
      <c r="J69" s="427"/>
      <c r="K69" s="290"/>
    </row>
    <row r="70" spans="2:11" s="1" customFormat="1" ht="15" customHeight="1">
      <c r="B70" s="289"/>
      <c r="C70" s="294"/>
      <c r="D70" s="427" t="s">
        <v>7010</v>
      </c>
      <c r="E70" s="427"/>
      <c r="F70" s="427"/>
      <c r="G70" s="427"/>
      <c r="H70" s="427"/>
      <c r="I70" s="427"/>
      <c r="J70" s="427"/>
      <c r="K70" s="290"/>
    </row>
    <row r="71" spans="2:11" s="1" customFormat="1" ht="12.75" customHeight="1">
      <c r="B71" s="298"/>
      <c r="C71" s="299"/>
      <c r="D71" s="299"/>
      <c r="E71" s="299"/>
      <c r="F71" s="299"/>
      <c r="G71" s="299"/>
      <c r="H71" s="299"/>
      <c r="I71" s="299"/>
      <c r="J71" s="299"/>
      <c r="K71" s="300"/>
    </row>
    <row r="72" spans="2:11" s="1" customFormat="1" ht="18.75" customHeight="1">
      <c r="B72" s="301"/>
      <c r="C72" s="301"/>
      <c r="D72" s="301"/>
      <c r="E72" s="301"/>
      <c r="F72" s="301"/>
      <c r="G72" s="301"/>
      <c r="H72" s="301"/>
      <c r="I72" s="301"/>
      <c r="J72" s="301"/>
      <c r="K72" s="302"/>
    </row>
    <row r="73" spans="2:11" s="1" customFormat="1" ht="18.75" customHeight="1">
      <c r="B73" s="302"/>
      <c r="C73" s="302"/>
      <c r="D73" s="302"/>
      <c r="E73" s="302"/>
      <c r="F73" s="302"/>
      <c r="G73" s="302"/>
      <c r="H73" s="302"/>
      <c r="I73" s="302"/>
      <c r="J73" s="302"/>
      <c r="K73" s="302"/>
    </row>
    <row r="74" spans="2:11" s="1" customFormat="1" ht="7.5" customHeight="1">
      <c r="B74" s="303"/>
      <c r="C74" s="304"/>
      <c r="D74" s="304"/>
      <c r="E74" s="304"/>
      <c r="F74" s="304"/>
      <c r="G74" s="304"/>
      <c r="H74" s="304"/>
      <c r="I74" s="304"/>
      <c r="J74" s="304"/>
      <c r="K74" s="305"/>
    </row>
    <row r="75" spans="2:11" s="1" customFormat="1" ht="45" customHeight="1">
      <c r="B75" s="306"/>
      <c r="C75" s="422" t="s">
        <v>7011</v>
      </c>
      <c r="D75" s="422"/>
      <c r="E75" s="422"/>
      <c r="F75" s="422"/>
      <c r="G75" s="422"/>
      <c r="H75" s="422"/>
      <c r="I75" s="422"/>
      <c r="J75" s="422"/>
      <c r="K75" s="307"/>
    </row>
    <row r="76" spans="2:11" s="1" customFormat="1" ht="17.25" customHeight="1">
      <c r="B76" s="306"/>
      <c r="C76" s="308" t="s">
        <v>7012</v>
      </c>
      <c r="D76" s="308"/>
      <c r="E76" s="308"/>
      <c r="F76" s="308" t="s">
        <v>7013</v>
      </c>
      <c r="G76" s="309"/>
      <c r="H76" s="308" t="s">
        <v>54</v>
      </c>
      <c r="I76" s="308" t="s">
        <v>57</v>
      </c>
      <c r="J76" s="308" t="s">
        <v>7014</v>
      </c>
      <c r="K76" s="307"/>
    </row>
    <row r="77" spans="2:11" s="1" customFormat="1" ht="17.25" customHeight="1">
      <c r="B77" s="306"/>
      <c r="C77" s="310" t="s">
        <v>7015</v>
      </c>
      <c r="D77" s="310"/>
      <c r="E77" s="310"/>
      <c r="F77" s="311" t="s">
        <v>7016</v>
      </c>
      <c r="G77" s="312"/>
      <c r="H77" s="310"/>
      <c r="I77" s="310"/>
      <c r="J77" s="310" t="s">
        <v>7017</v>
      </c>
      <c r="K77" s="307"/>
    </row>
    <row r="78" spans="2:11" s="1" customFormat="1" ht="5.25" customHeight="1">
      <c r="B78" s="306"/>
      <c r="C78" s="313"/>
      <c r="D78" s="313"/>
      <c r="E78" s="313"/>
      <c r="F78" s="313"/>
      <c r="G78" s="314"/>
      <c r="H78" s="313"/>
      <c r="I78" s="313"/>
      <c r="J78" s="313"/>
      <c r="K78" s="307"/>
    </row>
    <row r="79" spans="2:11" s="1" customFormat="1" ht="15" customHeight="1">
      <c r="B79" s="306"/>
      <c r="C79" s="295" t="s">
        <v>53</v>
      </c>
      <c r="D79" s="315"/>
      <c r="E79" s="315"/>
      <c r="F79" s="316" t="s">
        <v>7018</v>
      </c>
      <c r="G79" s="317"/>
      <c r="H79" s="295" t="s">
        <v>7019</v>
      </c>
      <c r="I79" s="295" t="s">
        <v>7020</v>
      </c>
      <c r="J79" s="295">
        <v>20</v>
      </c>
      <c r="K79" s="307"/>
    </row>
    <row r="80" spans="2:11" s="1" customFormat="1" ht="15" customHeight="1">
      <c r="B80" s="306"/>
      <c r="C80" s="295" t="s">
        <v>7021</v>
      </c>
      <c r="D80" s="295"/>
      <c r="E80" s="295"/>
      <c r="F80" s="316" t="s">
        <v>7018</v>
      </c>
      <c r="G80" s="317"/>
      <c r="H80" s="295" t="s">
        <v>7022</v>
      </c>
      <c r="I80" s="295" t="s">
        <v>7020</v>
      </c>
      <c r="J80" s="295">
        <v>120</v>
      </c>
      <c r="K80" s="307"/>
    </row>
    <row r="81" spans="2:11" s="1" customFormat="1" ht="15" customHeight="1">
      <c r="B81" s="318"/>
      <c r="C81" s="295" t="s">
        <v>7023</v>
      </c>
      <c r="D81" s="295"/>
      <c r="E81" s="295"/>
      <c r="F81" s="316" t="s">
        <v>7024</v>
      </c>
      <c r="G81" s="317"/>
      <c r="H81" s="295" t="s">
        <v>7025</v>
      </c>
      <c r="I81" s="295" t="s">
        <v>7020</v>
      </c>
      <c r="J81" s="295">
        <v>50</v>
      </c>
      <c r="K81" s="307"/>
    </row>
    <row r="82" spans="2:11" s="1" customFormat="1" ht="15" customHeight="1">
      <c r="B82" s="318"/>
      <c r="C82" s="295" t="s">
        <v>7026</v>
      </c>
      <c r="D82" s="295"/>
      <c r="E82" s="295"/>
      <c r="F82" s="316" t="s">
        <v>7018</v>
      </c>
      <c r="G82" s="317"/>
      <c r="H82" s="295" t="s">
        <v>7027</v>
      </c>
      <c r="I82" s="295" t="s">
        <v>7028</v>
      </c>
      <c r="J82" s="295"/>
      <c r="K82" s="307"/>
    </row>
    <row r="83" spans="2:11" s="1" customFormat="1" ht="15" customHeight="1">
      <c r="B83" s="318"/>
      <c r="C83" s="319" t="s">
        <v>7029</v>
      </c>
      <c r="D83" s="319"/>
      <c r="E83" s="319"/>
      <c r="F83" s="320" t="s">
        <v>7024</v>
      </c>
      <c r="G83" s="319"/>
      <c r="H83" s="319" t="s">
        <v>7030</v>
      </c>
      <c r="I83" s="319" t="s">
        <v>7020</v>
      </c>
      <c r="J83" s="319">
        <v>15</v>
      </c>
      <c r="K83" s="307"/>
    </row>
    <row r="84" spans="2:11" s="1" customFormat="1" ht="15" customHeight="1">
      <c r="B84" s="318"/>
      <c r="C84" s="319" t="s">
        <v>7031</v>
      </c>
      <c r="D84" s="319"/>
      <c r="E84" s="319"/>
      <c r="F84" s="320" t="s">
        <v>7024</v>
      </c>
      <c r="G84" s="319"/>
      <c r="H84" s="319" t="s">
        <v>7032</v>
      </c>
      <c r="I84" s="319" t="s">
        <v>7020</v>
      </c>
      <c r="J84" s="319">
        <v>15</v>
      </c>
      <c r="K84" s="307"/>
    </row>
    <row r="85" spans="2:11" s="1" customFormat="1" ht="15" customHeight="1">
      <c r="B85" s="318"/>
      <c r="C85" s="319" t="s">
        <v>7033</v>
      </c>
      <c r="D85" s="319"/>
      <c r="E85" s="319"/>
      <c r="F85" s="320" t="s">
        <v>7024</v>
      </c>
      <c r="G85" s="319"/>
      <c r="H85" s="319" t="s">
        <v>7034</v>
      </c>
      <c r="I85" s="319" t="s">
        <v>7020</v>
      </c>
      <c r="J85" s="319">
        <v>20</v>
      </c>
      <c r="K85" s="307"/>
    </row>
    <row r="86" spans="2:11" s="1" customFormat="1" ht="15" customHeight="1">
      <c r="B86" s="318"/>
      <c r="C86" s="319" t="s">
        <v>7035</v>
      </c>
      <c r="D86" s="319"/>
      <c r="E86" s="319"/>
      <c r="F86" s="320" t="s">
        <v>7024</v>
      </c>
      <c r="G86" s="319"/>
      <c r="H86" s="319" t="s">
        <v>7036</v>
      </c>
      <c r="I86" s="319" t="s">
        <v>7020</v>
      </c>
      <c r="J86" s="319">
        <v>20</v>
      </c>
      <c r="K86" s="307"/>
    </row>
    <row r="87" spans="2:11" s="1" customFormat="1" ht="15" customHeight="1">
      <c r="B87" s="318"/>
      <c r="C87" s="295" t="s">
        <v>7037</v>
      </c>
      <c r="D87" s="295"/>
      <c r="E87" s="295"/>
      <c r="F87" s="316" t="s">
        <v>7024</v>
      </c>
      <c r="G87" s="317"/>
      <c r="H87" s="295" t="s">
        <v>7038</v>
      </c>
      <c r="I87" s="295" t="s">
        <v>7020</v>
      </c>
      <c r="J87" s="295">
        <v>50</v>
      </c>
      <c r="K87" s="307"/>
    </row>
    <row r="88" spans="2:11" s="1" customFormat="1" ht="15" customHeight="1">
      <c r="B88" s="318"/>
      <c r="C88" s="295" t="s">
        <v>7039</v>
      </c>
      <c r="D88" s="295"/>
      <c r="E88" s="295"/>
      <c r="F88" s="316" t="s">
        <v>7024</v>
      </c>
      <c r="G88" s="317"/>
      <c r="H88" s="295" t="s">
        <v>7040</v>
      </c>
      <c r="I88" s="295" t="s">
        <v>7020</v>
      </c>
      <c r="J88" s="295">
        <v>20</v>
      </c>
      <c r="K88" s="307"/>
    </row>
    <row r="89" spans="2:11" s="1" customFormat="1" ht="15" customHeight="1">
      <c r="B89" s="318"/>
      <c r="C89" s="295" t="s">
        <v>7041</v>
      </c>
      <c r="D89" s="295"/>
      <c r="E89" s="295"/>
      <c r="F89" s="316" t="s">
        <v>7024</v>
      </c>
      <c r="G89" s="317"/>
      <c r="H89" s="295" t="s">
        <v>7042</v>
      </c>
      <c r="I89" s="295" t="s">
        <v>7020</v>
      </c>
      <c r="J89" s="295">
        <v>20</v>
      </c>
      <c r="K89" s="307"/>
    </row>
    <row r="90" spans="2:11" s="1" customFormat="1" ht="15" customHeight="1">
      <c r="B90" s="318"/>
      <c r="C90" s="295" t="s">
        <v>7043</v>
      </c>
      <c r="D90" s="295"/>
      <c r="E90" s="295"/>
      <c r="F90" s="316" t="s">
        <v>7024</v>
      </c>
      <c r="G90" s="317"/>
      <c r="H90" s="295" t="s">
        <v>7044</v>
      </c>
      <c r="I90" s="295" t="s">
        <v>7020</v>
      </c>
      <c r="J90" s="295">
        <v>50</v>
      </c>
      <c r="K90" s="307"/>
    </row>
    <row r="91" spans="2:11" s="1" customFormat="1" ht="15" customHeight="1">
      <c r="B91" s="318"/>
      <c r="C91" s="295" t="s">
        <v>7045</v>
      </c>
      <c r="D91" s="295"/>
      <c r="E91" s="295"/>
      <c r="F91" s="316" t="s">
        <v>7024</v>
      </c>
      <c r="G91" s="317"/>
      <c r="H91" s="295" t="s">
        <v>7045</v>
      </c>
      <c r="I91" s="295" t="s">
        <v>7020</v>
      </c>
      <c r="J91" s="295">
        <v>50</v>
      </c>
      <c r="K91" s="307"/>
    </row>
    <row r="92" spans="2:11" s="1" customFormat="1" ht="15" customHeight="1">
      <c r="B92" s="318"/>
      <c r="C92" s="295" t="s">
        <v>7046</v>
      </c>
      <c r="D92" s="295"/>
      <c r="E92" s="295"/>
      <c r="F92" s="316" t="s">
        <v>7024</v>
      </c>
      <c r="G92" s="317"/>
      <c r="H92" s="295" t="s">
        <v>7047</v>
      </c>
      <c r="I92" s="295" t="s">
        <v>7020</v>
      </c>
      <c r="J92" s="295">
        <v>255</v>
      </c>
      <c r="K92" s="307"/>
    </row>
    <row r="93" spans="2:11" s="1" customFormat="1" ht="15" customHeight="1">
      <c r="B93" s="318"/>
      <c r="C93" s="295" t="s">
        <v>7048</v>
      </c>
      <c r="D93" s="295"/>
      <c r="E93" s="295"/>
      <c r="F93" s="316" t="s">
        <v>7018</v>
      </c>
      <c r="G93" s="317"/>
      <c r="H93" s="295" t="s">
        <v>7049</v>
      </c>
      <c r="I93" s="295" t="s">
        <v>7050</v>
      </c>
      <c r="J93" s="295"/>
      <c r="K93" s="307"/>
    </row>
    <row r="94" spans="2:11" s="1" customFormat="1" ht="15" customHeight="1">
      <c r="B94" s="318"/>
      <c r="C94" s="295" t="s">
        <v>7051</v>
      </c>
      <c r="D94" s="295"/>
      <c r="E94" s="295"/>
      <c r="F94" s="316" t="s">
        <v>7018</v>
      </c>
      <c r="G94" s="317"/>
      <c r="H94" s="295" t="s">
        <v>7052</v>
      </c>
      <c r="I94" s="295" t="s">
        <v>7053</v>
      </c>
      <c r="J94" s="295"/>
      <c r="K94" s="307"/>
    </row>
    <row r="95" spans="2:11" s="1" customFormat="1" ht="15" customHeight="1">
      <c r="B95" s="318"/>
      <c r="C95" s="295" t="s">
        <v>7054</v>
      </c>
      <c r="D95" s="295"/>
      <c r="E95" s="295"/>
      <c r="F95" s="316" t="s">
        <v>7018</v>
      </c>
      <c r="G95" s="317"/>
      <c r="H95" s="295" t="s">
        <v>7054</v>
      </c>
      <c r="I95" s="295" t="s">
        <v>7053</v>
      </c>
      <c r="J95" s="295"/>
      <c r="K95" s="307"/>
    </row>
    <row r="96" spans="2:11" s="1" customFormat="1" ht="15" customHeight="1">
      <c r="B96" s="318"/>
      <c r="C96" s="295" t="s">
        <v>38</v>
      </c>
      <c r="D96" s="295"/>
      <c r="E96" s="295"/>
      <c r="F96" s="316" t="s">
        <v>7018</v>
      </c>
      <c r="G96" s="317"/>
      <c r="H96" s="295" t="s">
        <v>7055</v>
      </c>
      <c r="I96" s="295" t="s">
        <v>7053</v>
      </c>
      <c r="J96" s="295"/>
      <c r="K96" s="307"/>
    </row>
    <row r="97" spans="2:11" s="1" customFormat="1" ht="15" customHeight="1">
      <c r="B97" s="318"/>
      <c r="C97" s="295" t="s">
        <v>48</v>
      </c>
      <c r="D97" s="295"/>
      <c r="E97" s="295"/>
      <c r="F97" s="316" t="s">
        <v>7018</v>
      </c>
      <c r="G97" s="317"/>
      <c r="H97" s="295" t="s">
        <v>7056</v>
      </c>
      <c r="I97" s="295" t="s">
        <v>7053</v>
      </c>
      <c r="J97" s="295"/>
      <c r="K97" s="307"/>
    </row>
    <row r="98" spans="2:11" s="1" customFormat="1" ht="15" customHeight="1">
      <c r="B98" s="321"/>
      <c r="C98" s="322"/>
      <c r="D98" s="322"/>
      <c r="E98" s="322"/>
      <c r="F98" s="322"/>
      <c r="G98" s="322"/>
      <c r="H98" s="322"/>
      <c r="I98" s="322"/>
      <c r="J98" s="322"/>
      <c r="K98" s="323"/>
    </row>
    <row r="99" spans="2:11" s="1" customFormat="1" ht="18.75" customHeight="1">
      <c r="B99" s="324"/>
      <c r="C99" s="325"/>
      <c r="D99" s="325"/>
      <c r="E99" s="325"/>
      <c r="F99" s="325"/>
      <c r="G99" s="325"/>
      <c r="H99" s="325"/>
      <c r="I99" s="325"/>
      <c r="J99" s="325"/>
      <c r="K99" s="324"/>
    </row>
    <row r="100" spans="2:11" s="1" customFormat="1" ht="18.75" customHeight="1">
      <c r="B100" s="302"/>
      <c r="C100" s="302"/>
      <c r="D100" s="302"/>
      <c r="E100" s="302"/>
      <c r="F100" s="302"/>
      <c r="G100" s="302"/>
      <c r="H100" s="302"/>
      <c r="I100" s="302"/>
      <c r="J100" s="302"/>
      <c r="K100" s="302"/>
    </row>
    <row r="101" spans="2:11" s="1" customFormat="1" ht="7.5" customHeight="1">
      <c r="B101" s="303"/>
      <c r="C101" s="304"/>
      <c r="D101" s="304"/>
      <c r="E101" s="304"/>
      <c r="F101" s="304"/>
      <c r="G101" s="304"/>
      <c r="H101" s="304"/>
      <c r="I101" s="304"/>
      <c r="J101" s="304"/>
      <c r="K101" s="305"/>
    </row>
    <row r="102" spans="2:11" s="1" customFormat="1" ht="45" customHeight="1">
      <c r="B102" s="306"/>
      <c r="C102" s="422" t="s">
        <v>7057</v>
      </c>
      <c r="D102" s="422"/>
      <c r="E102" s="422"/>
      <c r="F102" s="422"/>
      <c r="G102" s="422"/>
      <c r="H102" s="422"/>
      <c r="I102" s="422"/>
      <c r="J102" s="422"/>
      <c r="K102" s="307"/>
    </row>
    <row r="103" spans="2:11" s="1" customFormat="1" ht="17.25" customHeight="1">
      <c r="B103" s="306"/>
      <c r="C103" s="308" t="s">
        <v>7012</v>
      </c>
      <c r="D103" s="308"/>
      <c r="E103" s="308"/>
      <c r="F103" s="308" t="s">
        <v>7013</v>
      </c>
      <c r="G103" s="309"/>
      <c r="H103" s="308" t="s">
        <v>54</v>
      </c>
      <c r="I103" s="308" t="s">
        <v>57</v>
      </c>
      <c r="J103" s="308" t="s">
        <v>7014</v>
      </c>
      <c r="K103" s="307"/>
    </row>
    <row r="104" spans="2:11" s="1" customFormat="1" ht="17.25" customHeight="1">
      <c r="B104" s="306"/>
      <c r="C104" s="310" t="s">
        <v>7015</v>
      </c>
      <c r="D104" s="310"/>
      <c r="E104" s="310"/>
      <c r="F104" s="311" t="s">
        <v>7016</v>
      </c>
      <c r="G104" s="312"/>
      <c r="H104" s="310"/>
      <c r="I104" s="310"/>
      <c r="J104" s="310" t="s">
        <v>7017</v>
      </c>
      <c r="K104" s="307"/>
    </row>
    <row r="105" spans="2:11" s="1" customFormat="1" ht="5.25" customHeight="1">
      <c r="B105" s="306"/>
      <c r="C105" s="308"/>
      <c r="D105" s="308"/>
      <c r="E105" s="308"/>
      <c r="F105" s="308"/>
      <c r="G105" s="326"/>
      <c r="H105" s="308"/>
      <c r="I105" s="308"/>
      <c r="J105" s="308"/>
      <c r="K105" s="307"/>
    </row>
    <row r="106" spans="2:11" s="1" customFormat="1" ht="15" customHeight="1">
      <c r="B106" s="306"/>
      <c r="C106" s="295" t="s">
        <v>53</v>
      </c>
      <c r="D106" s="315"/>
      <c r="E106" s="315"/>
      <c r="F106" s="316" t="s">
        <v>7018</v>
      </c>
      <c r="G106" s="295"/>
      <c r="H106" s="295" t="s">
        <v>7058</v>
      </c>
      <c r="I106" s="295" t="s">
        <v>7020</v>
      </c>
      <c r="J106" s="295">
        <v>20</v>
      </c>
      <c r="K106" s="307"/>
    </row>
    <row r="107" spans="2:11" s="1" customFormat="1" ht="15" customHeight="1">
      <c r="B107" s="306"/>
      <c r="C107" s="295" t="s">
        <v>7021</v>
      </c>
      <c r="D107" s="295"/>
      <c r="E107" s="295"/>
      <c r="F107" s="316" t="s">
        <v>7018</v>
      </c>
      <c r="G107" s="295"/>
      <c r="H107" s="295" t="s">
        <v>7058</v>
      </c>
      <c r="I107" s="295" t="s">
        <v>7020</v>
      </c>
      <c r="J107" s="295">
        <v>120</v>
      </c>
      <c r="K107" s="307"/>
    </row>
    <row r="108" spans="2:11" s="1" customFormat="1" ht="15" customHeight="1">
      <c r="B108" s="318"/>
      <c r="C108" s="295" t="s">
        <v>7023</v>
      </c>
      <c r="D108" s="295"/>
      <c r="E108" s="295"/>
      <c r="F108" s="316" t="s">
        <v>7024</v>
      </c>
      <c r="G108" s="295"/>
      <c r="H108" s="295" t="s">
        <v>7058</v>
      </c>
      <c r="I108" s="295" t="s">
        <v>7020</v>
      </c>
      <c r="J108" s="295">
        <v>50</v>
      </c>
      <c r="K108" s="307"/>
    </row>
    <row r="109" spans="2:11" s="1" customFormat="1" ht="15" customHeight="1">
      <c r="B109" s="318"/>
      <c r="C109" s="295" t="s">
        <v>7026</v>
      </c>
      <c r="D109" s="295"/>
      <c r="E109" s="295"/>
      <c r="F109" s="316" t="s">
        <v>7018</v>
      </c>
      <c r="G109" s="295"/>
      <c r="H109" s="295" t="s">
        <v>7058</v>
      </c>
      <c r="I109" s="295" t="s">
        <v>7028</v>
      </c>
      <c r="J109" s="295"/>
      <c r="K109" s="307"/>
    </row>
    <row r="110" spans="2:11" s="1" customFormat="1" ht="15" customHeight="1">
      <c r="B110" s="318"/>
      <c r="C110" s="295" t="s">
        <v>7037</v>
      </c>
      <c r="D110" s="295"/>
      <c r="E110" s="295"/>
      <c r="F110" s="316" t="s">
        <v>7024</v>
      </c>
      <c r="G110" s="295"/>
      <c r="H110" s="295" t="s">
        <v>7058</v>
      </c>
      <c r="I110" s="295" t="s">
        <v>7020</v>
      </c>
      <c r="J110" s="295">
        <v>50</v>
      </c>
      <c r="K110" s="307"/>
    </row>
    <row r="111" spans="2:11" s="1" customFormat="1" ht="15" customHeight="1">
      <c r="B111" s="318"/>
      <c r="C111" s="295" t="s">
        <v>7045</v>
      </c>
      <c r="D111" s="295"/>
      <c r="E111" s="295"/>
      <c r="F111" s="316" t="s">
        <v>7024</v>
      </c>
      <c r="G111" s="295"/>
      <c r="H111" s="295" t="s">
        <v>7058</v>
      </c>
      <c r="I111" s="295" t="s">
        <v>7020</v>
      </c>
      <c r="J111" s="295">
        <v>50</v>
      </c>
      <c r="K111" s="307"/>
    </row>
    <row r="112" spans="2:11" s="1" customFormat="1" ht="15" customHeight="1">
      <c r="B112" s="318"/>
      <c r="C112" s="295" t="s">
        <v>7043</v>
      </c>
      <c r="D112" s="295"/>
      <c r="E112" s="295"/>
      <c r="F112" s="316" t="s">
        <v>7024</v>
      </c>
      <c r="G112" s="295"/>
      <c r="H112" s="295" t="s">
        <v>7058</v>
      </c>
      <c r="I112" s="295" t="s">
        <v>7020</v>
      </c>
      <c r="J112" s="295">
        <v>50</v>
      </c>
      <c r="K112" s="307"/>
    </row>
    <row r="113" spans="2:11" s="1" customFormat="1" ht="15" customHeight="1">
      <c r="B113" s="318"/>
      <c r="C113" s="295" t="s">
        <v>53</v>
      </c>
      <c r="D113" s="295"/>
      <c r="E113" s="295"/>
      <c r="F113" s="316" t="s">
        <v>7018</v>
      </c>
      <c r="G113" s="295"/>
      <c r="H113" s="295" t="s">
        <v>7059</v>
      </c>
      <c r="I113" s="295" t="s">
        <v>7020</v>
      </c>
      <c r="J113" s="295">
        <v>20</v>
      </c>
      <c r="K113" s="307"/>
    </row>
    <row r="114" spans="2:11" s="1" customFormat="1" ht="15" customHeight="1">
      <c r="B114" s="318"/>
      <c r="C114" s="295" t="s">
        <v>7060</v>
      </c>
      <c r="D114" s="295"/>
      <c r="E114" s="295"/>
      <c r="F114" s="316" t="s">
        <v>7018</v>
      </c>
      <c r="G114" s="295"/>
      <c r="H114" s="295" t="s">
        <v>7061</v>
      </c>
      <c r="I114" s="295" t="s">
        <v>7020</v>
      </c>
      <c r="J114" s="295">
        <v>120</v>
      </c>
      <c r="K114" s="307"/>
    </row>
    <row r="115" spans="2:11" s="1" customFormat="1" ht="15" customHeight="1">
      <c r="B115" s="318"/>
      <c r="C115" s="295" t="s">
        <v>38</v>
      </c>
      <c r="D115" s="295"/>
      <c r="E115" s="295"/>
      <c r="F115" s="316" t="s">
        <v>7018</v>
      </c>
      <c r="G115" s="295"/>
      <c r="H115" s="295" t="s">
        <v>7062</v>
      </c>
      <c r="I115" s="295" t="s">
        <v>7053</v>
      </c>
      <c r="J115" s="295"/>
      <c r="K115" s="307"/>
    </row>
    <row r="116" spans="2:11" s="1" customFormat="1" ht="15" customHeight="1">
      <c r="B116" s="318"/>
      <c r="C116" s="295" t="s">
        <v>48</v>
      </c>
      <c r="D116" s="295"/>
      <c r="E116" s="295"/>
      <c r="F116" s="316" t="s">
        <v>7018</v>
      </c>
      <c r="G116" s="295"/>
      <c r="H116" s="295" t="s">
        <v>7063</v>
      </c>
      <c r="I116" s="295" t="s">
        <v>7053</v>
      </c>
      <c r="J116" s="295"/>
      <c r="K116" s="307"/>
    </row>
    <row r="117" spans="2:11" s="1" customFormat="1" ht="15" customHeight="1">
      <c r="B117" s="318"/>
      <c r="C117" s="295" t="s">
        <v>57</v>
      </c>
      <c r="D117" s="295"/>
      <c r="E117" s="295"/>
      <c r="F117" s="316" t="s">
        <v>7018</v>
      </c>
      <c r="G117" s="295"/>
      <c r="H117" s="295" t="s">
        <v>7064</v>
      </c>
      <c r="I117" s="295" t="s">
        <v>7065</v>
      </c>
      <c r="J117" s="295"/>
      <c r="K117" s="307"/>
    </row>
    <row r="118" spans="2:11" s="1" customFormat="1" ht="15" customHeight="1">
      <c r="B118" s="321"/>
      <c r="C118" s="327"/>
      <c r="D118" s="327"/>
      <c r="E118" s="327"/>
      <c r="F118" s="327"/>
      <c r="G118" s="327"/>
      <c r="H118" s="327"/>
      <c r="I118" s="327"/>
      <c r="J118" s="327"/>
      <c r="K118" s="323"/>
    </row>
    <row r="119" spans="2:11" s="1" customFormat="1" ht="18.75" customHeight="1">
      <c r="B119" s="328"/>
      <c r="C119" s="329"/>
      <c r="D119" s="329"/>
      <c r="E119" s="329"/>
      <c r="F119" s="330"/>
      <c r="G119" s="329"/>
      <c r="H119" s="329"/>
      <c r="I119" s="329"/>
      <c r="J119" s="329"/>
      <c r="K119" s="328"/>
    </row>
    <row r="120" spans="2:11" s="1" customFormat="1" ht="18.75" customHeight="1">
      <c r="B120" s="302"/>
      <c r="C120" s="302"/>
      <c r="D120" s="302"/>
      <c r="E120" s="302"/>
      <c r="F120" s="302"/>
      <c r="G120" s="302"/>
      <c r="H120" s="302"/>
      <c r="I120" s="302"/>
      <c r="J120" s="302"/>
      <c r="K120" s="302"/>
    </row>
    <row r="121" spans="2:11" s="1" customFormat="1" ht="7.5" customHeight="1">
      <c r="B121" s="331"/>
      <c r="C121" s="332"/>
      <c r="D121" s="332"/>
      <c r="E121" s="332"/>
      <c r="F121" s="332"/>
      <c r="G121" s="332"/>
      <c r="H121" s="332"/>
      <c r="I121" s="332"/>
      <c r="J121" s="332"/>
      <c r="K121" s="333"/>
    </row>
    <row r="122" spans="2:11" s="1" customFormat="1" ht="45" customHeight="1">
      <c r="B122" s="334"/>
      <c r="C122" s="423" t="s">
        <v>7066</v>
      </c>
      <c r="D122" s="423"/>
      <c r="E122" s="423"/>
      <c r="F122" s="423"/>
      <c r="G122" s="423"/>
      <c r="H122" s="423"/>
      <c r="I122" s="423"/>
      <c r="J122" s="423"/>
      <c r="K122" s="335"/>
    </row>
    <row r="123" spans="2:11" s="1" customFormat="1" ht="17.25" customHeight="1">
      <c r="B123" s="336"/>
      <c r="C123" s="308" t="s">
        <v>7012</v>
      </c>
      <c r="D123" s="308"/>
      <c r="E123" s="308"/>
      <c r="F123" s="308" t="s">
        <v>7013</v>
      </c>
      <c r="G123" s="309"/>
      <c r="H123" s="308" t="s">
        <v>54</v>
      </c>
      <c r="I123" s="308" t="s">
        <v>57</v>
      </c>
      <c r="J123" s="308" t="s">
        <v>7014</v>
      </c>
      <c r="K123" s="337"/>
    </row>
    <row r="124" spans="2:11" s="1" customFormat="1" ht="17.25" customHeight="1">
      <c r="B124" s="336"/>
      <c r="C124" s="310" t="s">
        <v>7015</v>
      </c>
      <c r="D124" s="310"/>
      <c r="E124" s="310"/>
      <c r="F124" s="311" t="s">
        <v>7016</v>
      </c>
      <c r="G124" s="312"/>
      <c r="H124" s="310"/>
      <c r="I124" s="310"/>
      <c r="J124" s="310" t="s">
        <v>7017</v>
      </c>
      <c r="K124" s="337"/>
    </row>
    <row r="125" spans="2:11" s="1" customFormat="1" ht="5.25" customHeight="1">
      <c r="B125" s="338"/>
      <c r="C125" s="313"/>
      <c r="D125" s="313"/>
      <c r="E125" s="313"/>
      <c r="F125" s="313"/>
      <c r="G125" s="339"/>
      <c r="H125" s="313"/>
      <c r="I125" s="313"/>
      <c r="J125" s="313"/>
      <c r="K125" s="340"/>
    </row>
    <row r="126" spans="2:11" s="1" customFormat="1" ht="15" customHeight="1">
      <c r="B126" s="338"/>
      <c r="C126" s="295" t="s">
        <v>7021</v>
      </c>
      <c r="D126" s="315"/>
      <c r="E126" s="315"/>
      <c r="F126" s="316" t="s">
        <v>7018</v>
      </c>
      <c r="G126" s="295"/>
      <c r="H126" s="295" t="s">
        <v>7058</v>
      </c>
      <c r="I126" s="295" t="s">
        <v>7020</v>
      </c>
      <c r="J126" s="295">
        <v>120</v>
      </c>
      <c r="K126" s="341"/>
    </row>
    <row r="127" spans="2:11" s="1" customFormat="1" ht="15" customHeight="1">
      <c r="B127" s="338"/>
      <c r="C127" s="295" t="s">
        <v>7067</v>
      </c>
      <c r="D127" s="295"/>
      <c r="E127" s="295"/>
      <c r="F127" s="316" t="s">
        <v>7018</v>
      </c>
      <c r="G127" s="295"/>
      <c r="H127" s="295" t="s">
        <v>7068</v>
      </c>
      <c r="I127" s="295" t="s">
        <v>7020</v>
      </c>
      <c r="J127" s="295" t="s">
        <v>7069</v>
      </c>
      <c r="K127" s="341"/>
    </row>
    <row r="128" spans="2:11" s="1" customFormat="1" ht="15" customHeight="1">
      <c r="B128" s="338"/>
      <c r="C128" s="295" t="s">
        <v>86</v>
      </c>
      <c r="D128" s="295"/>
      <c r="E128" s="295"/>
      <c r="F128" s="316" t="s">
        <v>7018</v>
      </c>
      <c r="G128" s="295"/>
      <c r="H128" s="295" t="s">
        <v>7070</v>
      </c>
      <c r="I128" s="295" t="s">
        <v>7020</v>
      </c>
      <c r="J128" s="295" t="s">
        <v>7069</v>
      </c>
      <c r="K128" s="341"/>
    </row>
    <row r="129" spans="2:11" s="1" customFormat="1" ht="15" customHeight="1">
      <c r="B129" s="338"/>
      <c r="C129" s="295" t="s">
        <v>7029</v>
      </c>
      <c r="D129" s="295"/>
      <c r="E129" s="295"/>
      <c r="F129" s="316" t="s">
        <v>7024</v>
      </c>
      <c r="G129" s="295"/>
      <c r="H129" s="295" t="s">
        <v>7030</v>
      </c>
      <c r="I129" s="295" t="s">
        <v>7020</v>
      </c>
      <c r="J129" s="295">
        <v>15</v>
      </c>
      <c r="K129" s="341"/>
    </row>
    <row r="130" spans="2:11" s="1" customFormat="1" ht="15" customHeight="1">
      <c r="B130" s="338"/>
      <c r="C130" s="319" t="s">
        <v>7031</v>
      </c>
      <c r="D130" s="319"/>
      <c r="E130" s="319"/>
      <c r="F130" s="320" t="s">
        <v>7024</v>
      </c>
      <c r="G130" s="319"/>
      <c r="H130" s="319" t="s">
        <v>7032</v>
      </c>
      <c r="I130" s="319" t="s">
        <v>7020</v>
      </c>
      <c r="J130" s="319">
        <v>15</v>
      </c>
      <c r="K130" s="341"/>
    </row>
    <row r="131" spans="2:11" s="1" customFormat="1" ht="15" customHeight="1">
      <c r="B131" s="338"/>
      <c r="C131" s="319" t="s">
        <v>7033</v>
      </c>
      <c r="D131" s="319"/>
      <c r="E131" s="319"/>
      <c r="F131" s="320" t="s">
        <v>7024</v>
      </c>
      <c r="G131" s="319"/>
      <c r="H131" s="319" t="s">
        <v>7034</v>
      </c>
      <c r="I131" s="319" t="s">
        <v>7020</v>
      </c>
      <c r="J131" s="319">
        <v>20</v>
      </c>
      <c r="K131" s="341"/>
    </row>
    <row r="132" spans="2:11" s="1" customFormat="1" ht="15" customHeight="1">
      <c r="B132" s="338"/>
      <c r="C132" s="319" t="s">
        <v>7035</v>
      </c>
      <c r="D132" s="319"/>
      <c r="E132" s="319"/>
      <c r="F132" s="320" t="s">
        <v>7024</v>
      </c>
      <c r="G132" s="319"/>
      <c r="H132" s="319" t="s">
        <v>7036</v>
      </c>
      <c r="I132" s="319" t="s">
        <v>7020</v>
      </c>
      <c r="J132" s="319">
        <v>20</v>
      </c>
      <c r="K132" s="341"/>
    </row>
    <row r="133" spans="2:11" s="1" customFormat="1" ht="15" customHeight="1">
      <c r="B133" s="338"/>
      <c r="C133" s="295" t="s">
        <v>7023</v>
      </c>
      <c r="D133" s="295"/>
      <c r="E133" s="295"/>
      <c r="F133" s="316" t="s">
        <v>7024</v>
      </c>
      <c r="G133" s="295"/>
      <c r="H133" s="295" t="s">
        <v>7058</v>
      </c>
      <c r="I133" s="295" t="s">
        <v>7020</v>
      </c>
      <c r="J133" s="295">
        <v>50</v>
      </c>
      <c r="K133" s="341"/>
    </row>
    <row r="134" spans="2:11" s="1" customFormat="1" ht="15" customHeight="1">
      <c r="B134" s="338"/>
      <c r="C134" s="295" t="s">
        <v>7037</v>
      </c>
      <c r="D134" s="295"/>
      <c r="E134" s="295"/>
      <c r="F134" s="316" t="s">
        <v>7024</v>
      </c>
      <c r="G134" s="295"/>
      <c r="H134" s="295" t="s">
        <v>7058</v>
      </c>
      <c r="I134" s="295" t="s">
        <v>7020</v>
      </c>
      <c r="J134" s="295">
        <v>50</v>
      </c>
      <c r="K134" s="341"/>
    </row>
    <row r="135" spans="2:11" s="1" customFormat="1" ht="15" customHeight="1">
      <c r="B135" s="338"/>
      <c r="C135" s="295" t="s">
        <v>7043</v>
      </c>
      <c r="D135" s="295"/>
      <c r="E135" s="295"/>
      <c r="F135" s="316" t="s">
        <v>7024</v>
      </c>
      <c r="G135" s="295"/>
      <c r="H135" s="295" t="s">
        <v>7058</v>
      </c>
      <c r="I135" s="295" t="s">
        <v>7020</v>
      </c>
      <c r="J135" s="295">
        <v>50</v>
      </c>
      <c r="K135" s="341"/>
    </row>
    <row r="136" spans="2:11" s="1" customFormat="1" ht="15" customHeight="1">
      <c r="B136" s="338"/>
      <c r="C136" s="295" t="s">
        <v>7045</v>
      </c>
      <c r="D136" s="295"/>
      <c r="E136" s="295"/>
      <c r="F136" s="316" t="s">
        <v>7024</v>
      </c>
      <c r="G136" s="295"/>
      <c r="H136" s="295" t="s">
        <v>7058</v>
      </c>
      <c r="I136" s="295" t="s">
        <v>7020</v>
      </c>
      <c r="J136" s="295">
        <v>50</v>
      </c>
      <c r="K136" s="341"/>
    </row>
    <row r="137" spans="2:11" s="1" customFormat="1" ht="15" customHeight="1">
      <c r="B137" s="338"/>
      <c r="C137" s="295" t="s">
        <v>7046</v>
      </c>
      <c r="D137" s="295"/>
      <c r="E137" s="295"/>
      <c r="F137" s="316" t="s">
        <v>7024</v>
      </c>
      <c r="G137" s="295"/>
      <c r="H137" s="295" t="s">
        <v>7071</v>
      </c>
      <c r="I137" s="295" t="s">
        <v>7020</v>
      </c>
      <c r="J137" s="295">
        <v>255</v>
      </c>
      <c r="K137" s="341"/>
    </row>
    <row r="138" spans="2:11" s="1" customFormat="1" ht="15" customHeight="1">
      <c r="B138" s="338"/>
      <c r="C138" s="295" t="s">
        <v>7048</v>
      </c>
      <c r="D138" s="295"/>
      <c r="E138" s="295"/>
      <c r="F138" s="316" t="s">
        <v>7018</v>
      </c>
      <c r="G138" s="295"/>
      <c r="H138" s="295" t="s">
        <v>7072</v>
      </c>
      <c r="I138" s="295" t="s">
        <v>7050</v>
      </c>
      <c r="J138" s="295"/>
      <c r="K138" s="341"/>
    </row>
    <row r="139" spans="2:11" s="1" customFormat="1" ht="15" customHeight="1">
      <c r="B139" s="338"/>
      <c r="C139" s="295" t="s">
        <v>7051</v>
      </c>
      <c r="D139" s="295"/>
      <c r="E139" s="295"/>
      <c r="F139" s="316" t="s">
        <v>7018</v>
      </c>
      <c r="G139" s="295"/>
      <c r="H139" s="295" t="s">
        <v>7073</v>
      </c>
      <c r="I139" s="295" t="s">
        <v>7053</v>
      </c>
      <c r="J139" s="295"/>
      <c r="K139" s="341"/>
    </row>
    <row r="140" spans="2:11" s="1" customFormat="1" ht="15" customHeight="1">
      <c r="B140" s="338"/>
      <c r="C140" s="295" t="s">
        <v>7054</v>
      </c>
      <c r="D140" s="295"/>
      <c r="E140" s="295"/>
      <c r="F140" s="316" t="s">
        <v>7018</v>
      </c>
      <c r="G140" s="295"/>
      <c r="H140" s="295" t="s">
        <v>7054</v>
      </c>
      <c r="I140" s="295" t="s">
        <v>7053</v>
      </c>
      <c r="J140" s="295"/>
      <c r="K140" s="341"/>
    </row>
    <row r="141" spans="2:11" s="1" customFormat="1" ht="15" customHeight="1">
      <c r="B141" s="338"/>
      <c r="C141" s="295" t="s">
        <v>38</v>
      </c>
      <c r="D141" s="295"/>
      <c r="E141" s="295"/>
      <c r="F141" s="316" t="s">
        <v>7018</v>
      </c>
      <c r="G141" s="295"/>
      <c r="H141" s="295" t="s">
        <v>7074</v>
      </c>
      <c r="I141" s="295" t="s">
        <v>7053</v>
      </c>
      <c r="J141" s="295"/>
      <c r="K141" s="341"/>
    </row>
    <row r="142" spans="2:11" s="1" customFormat="1" ht="15" customHeight="1">
      <c r="B142" s="338"/>
      <c r="C142" s="295" t="s">
        <v>7075</v>
      </c>
      <c r="D142" s="295"/>
      <c r="E142" s="295"/>
      <c r="F142" s="316" t="s">
        <v>7018</v>
      </c>
      <c r="G142" s="295"/>
      <c r="H142" s="295" t="s">
        <v>7076</v>
      </c>
      <c r="I142" s="295" t="s">
        <v>7053</v>
      </c>
      <c r="J142" s="295"/>
      <c r="K142" s="341"/>
    </row>
    <row r="143" spans="2:11" s="1" customFormat="1" ht="15" customHeight="1">
      <c r="B143" s="342"/>
      <c r="C143" s="343"/>
      <c r="D143" s="343"/>
      <c r="E143" s="343"/>
      <c r="F143" s="343"/>
      <c r="G143" s="343"/>
      <c r="H143" s="343"/>
      <c r="I143" s="343"/>
      <c r="J143" s="343"/>
      <c r="K143" s="344"/>
    </row>
    <row r="144" spans="2:11" s="1" customFormat="1" ht="18.75" customHeight="1">
      <c r="B144" s="329"/>
      <c r="C144" s="329"/>
      <c r="D144" s="329"/>
      <c r="E144" s="329"/>
      <c r="F144" s="330"/>
      <c r="G144" s="329"/>
      <c r="H144" s="329"/>
      <c r="I144" s="329"/>
      <c r="J144" s="329"/>
      <c r="K144" s="329"/>
    </row>
    <row r="145" spans="2:11" s="1" customFormat="1" ht="18.75" customHeight="1">
      <c r="B145" s="302"/>
      <c r="C145" s="302"/>
      <c r="D145" s="302"/>
      <c r="E145" s="302"/>
      <c r="F145" s="302"/>
      <c r="G145" s="302"/>
      <c r="H145" s="302"/>
      <c r="I145" s="302"/>
      <c r="J145" s="302"/>
      <c r="K145" s="302"/>
    </row>
    <row r="146" spans="2:11" s="1" customFormat="1" ht="7.5" customHeight="1">
      <c r="B146" s="303"/>
      <c r="C146" s="304"/>
      <c r="D146" s="304"/>
      <c r="E146" s="304"/>
      <c r="F146" s="304"/>
      <c r="G146" s="304"/>
      <c r="H146" s="304"/>
      <c r="I146" s="304"/>
      <c r="J146" s="304"/>
      <c r="K146" s="305"/>
    </row>
    <row r="147" spans="2:11" s="1" customFormat="1" ht="45" customHeight="1">
      <c r="B147" s="306"/>
      <c r="C147" s="422" t="s">
        <v>7077</v>
      </c>
      <c r="D147" s="422"/>
      <c r="E147" s="422"/>
      <c r="F147" s="422"/>
      <c r="G147" s="422"/>
      <c r="H147" s="422"/>
      <c r="I147" s="422"/>
      <c r="J147" s="422"/>
      <c r="K147" s="307"/>
    </row>
    <row r="148" spans="2:11" s="1" customFormat="1" ht="17.25" customHeight="1">
      <c r="B148" s="306"/>
      <c r="C148" s="308" t="s">
        <v>7012</v>
      </c>
      <c r="D148" s="308"/>
      <c r="E148" s="308"/>
      <c r="F148" s="308" t="s">
        <v>7013</v>
      </c>
      <c r="G148" s="309"/>
      <c r="H148" s="308" t="s">
        <v>54</v>
      </c>
      <c r="I148" s="308" t="s">
        <v>57</v>
      </c>
      <c r="J148" s="308" t="s">
        <v>7014</v>
      </c>
      <c r="K148" s="307"/>
    </row>
    <row r="149" spans="2:11" s="1" customFormat="1" ht="17.25" customHeight="1">
      <c r="B149" s="306"/>
      <c r="C149" s="310" t="s">
        <v>7015</v>
      </c>
      <c r="D149" s="310"/>
      <c r="E149" s="310"/>
      <c r="F149" s="311" t="s">
        <v>7016</v>
      </c>
      <c r="G149" s="312"/>
      <c r="H149" s="310"/>
      <c r="I149" s="310"/>
      <c r="J149" s="310" t="s">
        <v>7017</v>
      </c>
      <c r="K149" s="307"/>
    </row>
    <row r="150" spans="2:11" s="1" customFormat="1" ht="5.25" customHeight="1">
      <c r="B150" s="318"/>
      <c r="C150" s="313"/>
      <c r="D150" s="313"/>
      <c r="E150" s="313"/>
      <c r="F150" s="313"/>
      <c r="G150" s="314"/>
      <c r="H150" s="313"/>
      <c r="I150" s="313"/>
      <c r="J150" s="313"/>
      <c r="K150" s="341"/>
    </row>
    <row r="151" spans="2:11" s="1" customFormat="1" ht="15" customHeight="1">
      <c r="B151" s="318"/>
      <c r="C151" s="345" t="s">
        <v>7021</v>
      </c>
      <c r="D151" s="295"/>
      <c r="E151" s="295"/>
      <c r="F151" s="346" t="s">
        <v>7018</v>
      </c>
      <c r="G151" s="295"/>
      <c r="H151" s="345" t="s">
        <v>7058</v>
      </c>
      <c r="I151" s="345" t="s">
        <v>7020</v>
      </c>
      <c r="J151" s="345">
        <v>120</v>
      </c>
      <c r="K151" s="341"/>
    </row>
    <row r="152" spans="2:11" s="1" customFormat="1" ht="15" customHeight="1">
      <c r="B152" s="318"/>
      <c r="C152" s="345" t="s">
        <v>7067</v>
      </c>
      <c r="D152" s="295"/>
      <c r="E152" s="295"/>
      <c r="F152" s="346" t="s">
        <v>7018</v>
      </c>
      <c r="G152" s="295"/>
      <c r="H152" s="345" t="s">
        <v>7078</v>
      </c>
      <c r="I152" s="345" t="s">
        <v>7020</v>
      </c>
      <c r="J152" s="345" t="s">
        <v>7069</v>
      </c>
      <c r="K152" s="341"/>
    </row>
    <row r="153" spans="2:11" s="1" customFormat="1" ht="15" customHeight="1">
      <c r="B153" s="318"/>
      <c r="C153" s="345" t="s">
        <v>86</v>
      </c>
      <c r="D153" s="295"/>
      <c r="E153" s="295"/>
      <c r="F153" s="346" t="s">
        <v>7018</v>
      </c>
      <c r="G153" s="295"/>
      <c r="H153" s="345" t="s">
        <v>7079</v>
      </c>
      <c r="I153" s="345" t="s">
        <v>7020</v>
      </c>
      <c r="J153" s="345" t="s">
        <v>7069</v>
      </c>
      <c r="K153" s="341"/>
    </row>
    <row r="154" spans="2:11" s="1" customFormat="1" ht="15" customHeight="1">
      <c r="B154" s="318"/>
      <c r="C154" s="345" t="s">
        <v>7023</v>
      </c>
      <c r="D154" s="295"/>
      <c r="E154" s="295"/>
      <c r="F154" s="346" t="s">
        <v>7024</v>
      </c>
      <c r="G154" s="295"/>
      <c r="H154" s="345" t="s">
        <v>7058</v>
      </c>
      <c r="I154" s="345" t="s">
        <v>7020</v>
      </c>
      <c r="J154" s="345">
        <v>50</v>
      </c>
      <c r="K154" s="341"/>
    </row>
    <row r="155" spans="2:11" s="1" customFormat="1" ht="15" customHeight="1">
      <c r="B155" s="318"/>
      <c r="C155" s="345" t="s">
        <v>7026</v>
      </c>
      <c r="D155" s="295"/>
      <c r="E155" s="295"/>
      <c r="F155" s="346" t="s">
        <v>7018</v>
      </c>
      <c r="G155" s="295"/>
      <c r="H155" s="345" t="s">
        <v>7058</v>
      </c>
      <c r="I155" s="345" t="s">
        <v>7028</v>
      </c>
      <c r="J155" s="345"/>
      <c r="K155" s="341"/>
    </row>
    <row r="156" spans="2:11" s="1" customFormat="1" ht="15" customHeight="1">
      <c r="B156" s="318"/>
      <c r="C156" s="345" t="s">
        <v>7037</v>
      </c>
      <c r="D156" s="295"/>
      <c r="E156" s="295"/>
      <c r="F156" s="346" t="s">
        <v>7024</v>
      </c>
      <c r="G156" s="295"/>
      <c r="H156" s="345" t="s">
        <v>7058</v>
      </c>
      <c r="I156" s="345" t="s">
        <v>7020</v>
      </c>
      <c r="J156" s="345">
        <v>50</v>
      </c>
      <c r="K156" s="341"/>
    </row>
    <row r="157" spans="2:11" s="1" customFormat="1" ht="15" customHeight="1">
      <c r="B157" s="318"/>
      <c r="C157" s="345" t="s">
        <v>7045</v>
      </c>
      <c r="D157" s="295"/>
      <c r="E157" s="295"/>
      <c r="F157" s="346" t="s">
        <v>7024</v>
      </c>
      <c r="G157" s="295"/>
      <c r="H157" s="345" t="s">
        <v>7058</v>
      </c>
      <c r="I157" s="345" t="s">
        <v>7020</v>
      </c>
      <c r="J157" s="345">
        <v>50</v>
      </c>
      <c r="K157" s="341"/>
    </row>
    <row r="158" spans="2:11" s="1" customFormat="1" ht="15" customHeight="1">
      <c r="B158" s="318"/>
      <c r="C158" s="345" t="s">
        <v>7043</v>
      </c>
      <c r="D158" s="295"/>
      <c r="E158" s="295"/>
      <c r="F158" s="346" t="s">
        <v>7024</v>
      </c>
      <c r="G158" s="295"/>
      <c r="H158" s="345" t="s">
        <v>7058</v>
      </c>
      <c r="I158" s="345" t="s">
        <v>7020</v>
      </c>
      <c r="J158" s="345">
        <v>50</v>
      </c>
      <c r="K158" s="341"/>
    </row>
    <row r="159" spans="2:11" s="1" customFormat="1" ht="15" customHeight="1">
      <c r="B159" s="318"/>
      <c r="C159" s="345" t="s">
        <v>333</v>
      </c>
      <c r="D159" s="295"/>
      <c r="E159" s="295"/>
      <c r="F159" s="346" t="s">
        <v>7018</v>
      </c>
      <c r="G159" s="295"/>
      <c r="H159" s="345" t="s">
        <v>7080</v>
      </c>
      <c r="I159" s="345" t="s">
        <v>7020</v>
      </c>
      <c r="J159" s="345" t="s">
        <v>7081</v>
      </c>
      <c r="K159" s="341"/>
    </row>
    <row r="160" spans="2:11" s="1" customFormat="1" ht="15" customHeight="1">
      <c r="B160" s="318"/>
      <c r="C160" s="345" t="s">
        <v>7082</v>
      </c>
      <c r="D160" s="295"/>
      <c r="E160" s="295"/>
      <c r="F160" s="346" t="s">
        <v>7018</v>
      </c>
      <c r="G160" s="295"/>
      <c r="H160" s="345" t="s">
        <v>7083</v>
      </c>
      <c r="I160" s="345" t="s">
        <v>7053</v>
      </c>
      <c r="J160" s="345"/>
      <c r="K160" s="341"/>
    </row>
    <row r="161" spans="2:11" s="1" customFormat="1" ht="15" customHeight="1">
      <c r="B161" s="347"/>
      <c r="C161" s="327"/>
      <c r="D161" s="327"/>
      <c r="E161" s="327"/>
      <c r="F161" s="327"/>
      <c r="G161" s="327"/>
      <c r="H161" s="327"/>
      <c r="I161" s="327"/>
      <c r="J161" s="327"/>
      <c r="K161" s="348"/>
    </row>
    <row r="162" spans="2:11" s="1" customFormat="1" ht="18.75" customHeight="1">
      <c r="B162" s="329"/>
      <c r="C162" s="339"/>
      <c r="D162" s="339"/>
      <c r="E162" s="339"/>
      <c r="F162" s="349"/>
      <c r="G162" s="339"/>
      <c r="H162" s="339"/>
      <c r="I162" s="339"/>
      <c r="J162" s="339"/>
      <c r="K162" s="329"/>
    </row>
    <row r="163" spans="2:11" s="1" customFormat="1" ht="18.75" customHeight="1">
      <c r="B163" s="302"/>
      <c r="C163" s="302"/>
      <c r="D163" s="302"/>
      <c r="E163" s="302"/>
      <c r="F163" s="302"/>
      <c r="G163" s="302"/>
      <c r="H163" s="302"/>
      <c r="I163" s="302"/>
      <c r="J163" s="302"/>
      <c r="K163" s="302"/>
    </row>
    <row r="164" spans="2:11" s="1" customFormat="1" ht="7.5" customHeight="1">
      <c r="B164" s="284"/>
      <c r="C164" s="285"/>
      <c r="D164" s="285"/>
      <c r="E164" s="285"/>
      <c r="F164" s="285"/>
      <c r="G164" s="285"/>
      <c r="H164" s="285"/>
      <c r="I164" s="285"/>
      <c r="J164" s="285"/>
      <c r="K164" s="286"/>
    </row>
    <row r="165" spans="2:11" s="1" customFormat="1" ht="45" customHeight="1">
      <c r="B165" s="287"/>
      <c r="C165" s="423" t="s">
        <v>7084</v>
      </c>
      <c r="D165" s="423"/>
      <c r="E165" s="423"/>
      <c r="F165" s="423"/>
      <c r="G165" s="423"/>
      <c r="H165" s="423"/>
      <c r="I165" s="423"/>
      <c r="J165" s="423"/>
      <c r="K165" s="288"/>
    </row>
    <row r="166" spans="2:11" s="1" customFormat="1" ht="17.25" customHeight="1">
      <c r="B166" s="287"/>
      <c r="C166" s="308" t="s">
        <v>7012</v>
      </c>
      <c r="D166" s="308"/>
      <c r="E166" s="308"/>
      <c r="F166" s="308" t="s">
        <v>7013</v>
      </c>
      <c r="G166" s="350"/>
      <c r="H166" s="351" t="s">
        <v>54</v>
      </c>
      <c r="I166" s="351" t="s">
        <v>57</v>
      </c>
      <c r="J166" s="308" t="s">
        <v>7014</v>
      </c>
      <c r="K166" s="288"/>
    </row>
    <row r="167" spans="2:11" s="1" customFormat="1" ht="17.25" customHeight="1">
      <c r="B167" s="289"/>
      <c r="C167" s="310" t="s">
        <v>7015</v>
      </c>
      <c r="D167" s="310"/>
      <c r="E167" s="310"/>
      <c r="F167" s="311" t="s">
        <v>7016</v>
      </c>
      <c r="G167" s="352"/>
      <c r="H167" s="353"/>
      <c r="I167" s="353"/>
      <c r="J167" s="310" t="s">
        <v>7017</v>
      </c>
      <c r="K167" s="290"/>
    </row>
    <row r="168" spans="2:11" s="1" customFormat="1" ht="5.25" customHeight="1">
      <c r="B168" s="318"/>
      <c r="C168" s="313"/>
      <c r="D168" s="313"/>
      <c r="E168" s="313"/>
      <c r="F168" s="313"/>
      <c r="G168" s="314"/>
      <c r="H168" s="313"/>
      <c r="I168" s="313"/>
      <c r="J168" s="313"/>
      <c r="K168" s="341"/>
    </row>
    <row r="169" spans="2:11" s="1" customFormat="1" ht="15" customHeight="1">
      <c r="B169" s="318"/>
      <c r="C169" s="295" t="s">
        <v>7021</v>
      </c>
      <c r="D169" s="295"/>
      <c r="E169" s="295"/>
      <c r="F169" s="316" t="s">
        <v>7018</v>
      </c>
      <c r="G169" s="295"/>
      <c r="H169" s="295" t="s">
        <v>7058</v>
      </c>
      <c r="I169" s="295" t="s">
        <v>7020</v>
      </c>
      <c r="J169" s="295">
        <v>120</v>
      </c>
      <c r="K169" s="341"/>
    </row>
    <row r="170" spans="2:11" s="1" customFormat="1" ht="15" customHeight="1">
      <c r="B170" s="318"/>
      <c r="C170" s="295" t="s">
        <v>7067</v>
      </c>
      <c r="D170" s="295"/>
      <c r="E170" s="295"/>
      <c r="F170" s="316" t="s">
        <v>7018</v>
      </c>
      <c r="G170" s="295"/>
      <c r="H170" s="295" t="s">
        <v>7068</v>
      </c>
      <c r="I170" s="295" t="s">
        <v>7020</v>
      </c>
      <c r="J170" s="295" t="s">
        <v>7069</v>
      </c>
      <c r="K170" s="341"/>
    </row>
    <row r="171" spans="2:11" s="1" customFormat="1" ht="15" customHeight="1">
      <c r="B171" s="318"/>
      <c r="C171" s="295" t="s">
        <v>86</v>
      </c>
      <c r="D171" s="295"/>
      <c r="E171" s="295"/>
      <c r="F171" s="316" t="s">
        <v>7018</v>
      </c>
      <c r="G171" s="295"/>
      <c r="H171" s="295" t="s">
        <v>7085</v>
      </c>
      <c r="I171" s="295" t="s">
        <v>7020</v>
      </c>
      <c r="J171" s="295" t="s">
        <v>7069</v>
      </c>
      <c r="K171" s="341"/>
    </row>
    <row r="172" spans="2:11" s="1" customFormat="1" ht="15" customHeight="1">
      <c r="B172" s="318"/>
      <c r="C172" s="295" t="s">
        <v>7023</v>
      </c>
      <c r="D172" s="295"/>
      <c r="E172" s="295"/>
      <c r="F172" s="316" t="s">
        <v>7024</v>
      </c>
      <c r="G172" s="295"/>
      <c r="H172" s="295" t="s">
        <v>7085</v>
      </c>
      <c r="I172" s="295" t="s">
        <v>7020</v>
      </c>
      <c r="J172" s="295">
        <v>50</v>
      </c>
      <c r="K172" s="341"/>
    </row>
    <row r="173" spans="2:11" s="1" customFormat="1" ht="15" customHeight="1">
      <c r="B173" s="318"/>
      <c r="C173" s="295" t="s">
        <v>7026</v>
      </c>
      <c r="D173" s="295"/>
      <c r="E173" s="295"/>
      <c r="F173" s="316" t="s">
        <v>7018</v>
      </c>
      <c r="G173" s="295"/>
      <c r="H173" s="295" t="s">
        <v>7085</v>
      </c>
      <c r="I173" s="295" t="s">
        <v>7028</v>
      </c>
      <c r="J173" s="295"/>
      <c r="K173" s="341"/>
    </row>
    <row r="174" spans="2:11" s="1" customFormat="1" ht="15" customHeight="1">
      <c r="B174" s="318"/>
      <c r="C174" s="295" t="s">
        <v>7037</v>
      </c>
      <c r="D174" s="295"/>
      <c r="E174" s="295"/>
      <c r="F174" s="316" t="s">
        <v>7024</v>
      </c>
      <c r="G174" s="295"/>
      <c r="H174" s="295" t="s">
        <v>7085</v>
      </c>
      <c r="I174" s="295" t="s">
        <v>7020</v>
      </c>
      <c r="J174" s="295">
        <v>50</v>
      </c>
      <c r="K174" s="341"/>
    </row>
    <row r="175" spans="2:11" s="1" customFormat="1" ht="15" customHeight="1">
      <c r="B175" s="318"/>
      <c r="C175" s="295" t="s">
        <v>7045</v>
      </c>
      <c r="D175" s="295"/>
      <c r="E175" s="295"/>
      <c r="F175" s="316" t="s">
        <v>7024</v>
      </c>
      <c r="G175" s="295"/>
      <c r="H175" s="295" t="s">
        <v>7085</v>
      </c>
      <c r="I175" s="295" t="s">
        <v>7020</v>
      </c>
      <c r="J175" s="295">
        <v>50</v>
      </c>
      <c r="K175" s="341"/>
    </row>
    <row r="176" spans="2:11" s="1" customFormat="1" ht="15" customHeight="1">
      <c r="B176" s="318"/>
      <c r="C176" s="295" t="s">
        <v>7043</v>
      </c>
      <c r="D176" s="295"/>
      <c r="E176" s="295"/>
      <c r="F176" s="316" t="s">
        <v>7024</v>
      </c>
      <c r="G176" s="295"/>
      <c r="H176" s="295" t="s">
        <v>7085</v>
      </c>
      <c r="I176" s="295" t="s">
        <v>7020</v>
      </c>
      <c r="J176" s="295">
        <v>50</v>
      </c>
      <c r="K176" s="341"/>
    </row>
    <row r="177" spans="2:11" s="1" customFormat="1" ht="15" customHeight="1">
      <c r="B177" s="318"/>
      <c r="C177" s="295" t="s">
        <v>366</v>
      </c>
      <c r="D177" s="295"/>
      <c r="E177" s="295"/>
      <c r="F177" s="316" t="s">
        <v>7018</v>
      </c>
      <c r="G177" s="295"/>
      <c r="H177" s="295" t="s">
        <v>7086</v>
      </c>
      <c r="I177" s="295" t="s">
        <v>7087</v>
      </c>
      <c r="J177" s="295"/>
      <c r="K177" s="341"/>
    </row>
    <row r="178" spans="2:11" s="1" customFormat="1" ht="15" customHeight="1">
      <c r="B178" s="318"/>
      <c r="C178" s="295" t="s">
        <v>57</v>
      </c>
      <c r="D178" s="295"/>
      <c r="E178" s="295"/>
      <c r="F178" s="316" t="s">
        <v>7018</v>
      </c>
      <c r="G178" s="295"/>
      <c r="H178" s="295" t="s">
        <v>7088</v>
      </c>
      <c r="I178" s="295" t="s">
        <v>7089</v>
      </c>
      <c r="J178" s="295">
        <v>1</v>
      </c>
      <c r="K178" s="341"/>
    </row>
    <row r="179" spans="2:11" s="1" customFormat="1" ht="15" customHeight="1">
      <c r="B179" s="318"/>
      <c r="C179" s="295" t="s">
        <v>53</v>
      </c>
      <c r="D179" s="295"/>
      <c r="E179" s="295"/>
      <c r="F179" s="316" t="s">
        <v>7018</v>
      </c>
      <c r="G179" s="295"/>
      <c r="H179" s="295" t="s">
        <v>7090</v>
      </c>
      <c r="I179" s="295" t="s">
        <v>7020</v>
      </c>
      <c r="J179" s="295">
        <v>20</v>
      </c>
      <c r="K179" s="341"/>
    </row>
    <row r="180" spans="2:11" s="1" customFormat="1" ht="15" customHeight="1">
      <c r="B180" s="318"/>
      <c r="C180" s="295" t="s">
        <v>54</v>
      </c>
      <c r="D180" s="295"/>
      <c r="E180" s="295"/>
      <c r="F180" s="316" t="s">
        <v>7018</v>
      </c>
      <c r="G180" s="295"/>
      <c r="H180" s="295" t="s">
        <v>7091</v>
      </c>
      <c r="I180" s="295" t="s">
        <v>7020</v>
      </c>
      <c r="J180" s="295">
        <v>255</v>
      </c>
      <c r="K180" s="341"/>
    </row>
    <row r="181" spans="2:11" s="1" customFormat="1" ht="15" customHeight="1">
      <c r="B181" s="318"/>
      <c r="C181" s="295" t="s">
        <v>367</v>
      </c>
      <c r="D181" s="295"/>
      <c r="E181" s="295"/>
      <c r="F181" s="316" t="s">
        <v>7018</v>
      </c>
      <c r="G181" s="295"/>
      <c r="H181" s="295" t="s">
        <v>6982</v>
      </c>
      <c r="I181" s="295" t="s">
        <v>7020</v>
      </c>
      <c r="J181" s="295">
        <v>10</v>
      </c>
      <c r="K181" s="341"/>
    </row>
    <row r="182" spans="2:11" s="1" customFormat="1" ht="15" customHeight="1">
      <c r="B182" s="318"/>
      <c r="C182" s="295" t="s">
        <v>368</v>
      </c>
      <c r="D182" s="295"/>
      <c r="E182" s="295"/>
      <c r="F182" s="316" t="s">
        <v>7018</v>
      </c>
      <c r="G182" s="295"/>
      <c r="H182" s="295" t="s">
        <v>7092</v>
      </c>
      <c r="I182" s="295" t="s">
        <v>7053</v>
      </c>
      <c r="J182" s="295"/>
      <c r="K182" s="341"/>
    </row>
    <row r="183" spans="2:11" s="1" customFormat="1" ht="15" customHeight="1">
      <c r="B183" s="318"/>
      <c r="C183" s="295" t="s">
        <v>7093</v>
      </c>
      <c r="D183" s="295"/>
      <c r="E183" s="295"/>
      <c r="F183" s="316" t="s">
        <v>7018</v>
      </c>
      <c r="G183" s="295"/>
      <c r="H183" s="295" t="s">
        <v>7094</v>
      </c>
      <c r="I183" s="295" t="s">
        <v>7053</v>
      </c>
      <c r="J183" s="295"/>
      <c r="K183" s="341"/>
    </row>
    <row r="184" spans="2:11" s="1" customFormat="1" ht="15" customHeight="1">
      <c r="B184" s="318"/>
      <c r="C184" s="295" t="s">
        <v>7082</v>
      </c>
      <c r="D184" s="295"/>
      <c r="E184" s="295"/>
      <c r="F184" s="316" t="s">
        <v>7018</v>
      </c>
      <c r="G184" s="295"/>
      <c r="H184" s="295" t="s">
        <v>7095</v>
      </c>
      <c r="I184" s="295" t="s">
        <v>7053</v>
      </c>
      <c r="J184" s="295"/>
      <c r="K184" s="341"/>
    </row>
    <row r="185" spans="2:11" s="1" customFormat="1" ht="15" customHeight="1">
      <c r="B185" s="318"/>
      <c r="C185" s="295" t="s">
        <v>370</v>
      </c>
      <c r="D185" s="295"/>
      <c r="E185" s="295"/>
      <c r="F185" s="316" t="s">
        <v>7024</v>
      </c>
      <c r="G185" s="295"/>
      <c r="H185" s="295" t="s">
        <v>7096</v>
      </c>
      <c r="I185" s="295" t="s">
        <v>7020</v>
      </c>
      <c r="J185" s="295">
        <v>50</v>
      </c>
      <c r="K185" s="341"/>
    </row>
    <row r="186" spans="2:11" s="1" customFormat="1" ht="15" customHeight="1">
      <c r="B186" s="318"/>
      <c r="C186" s="295" t="s">
        <v>7097</v>
      </c>
      <c r="D186" s="295"/>
      <c r="E186" s="295"/>
      <c r="F186" s="316" t="s">
        <v>7024</v>
      </c>
      <c r="G186" s="295"/>
      <c r="H186" s="295" t="s">
        <v>7098</v>
      </c>
      <c r="I186" s="295" t="s">
        <v>7099</v>
      </c>
      <c r="J186" s="295"/>
      <c r="K186" s="341"/>
    </row>
    <row r="187" spans="2:11" s="1" customFormat="1" ht="15" customHeight="1">
      <c r="B187" s="318"/>
      <c r="C187" s="295" t="s">
        <v>7100</v>
      </c>
      <c r="D187" s="295"/>
      <c r="E187" s="295"/>
      <c r="F187" s="316" t="s">
        <v>7024</v>
      </c>
      <c r="G187" s="295"/>
      <c r="H187" s="295" t="s">
        <v>7101</v>
      </c>
      <c r="I187" s="295" t="s">
        <v>7099</v>
      </c>
      <c r="J187" s="295"/>
      <c r="K187" s="341"/>
    </row>
    <row r="188" spans="2:11" s="1" customFormat="1" ht="15" customHeight="1">
      <c r="B188" s="318"/>
      <c r="C188" s="295" t="s">
        <v>7102</v>
      </c>
      <c r="D188" s="295"/>
      <c r="E188" s="295"/>
      <c r="F188" s="316" t="s">
        <v>7024</v>
      </c>
      <c r="G188" s="295"/>
      <c r="H188" s="295" t="s">
        <v>7103</v>
      </c>
      <c r="I188" s="295" t="s">
        <v>7099</v>
      </c>
      <c r="J188" s="295"/>
      <c r="K188" s="341"/>
    </row>
    <row r="189" spans="2:11" s="1" customFormat="1" ht="15" customHeight="1">
      <c r="B189" s="318"/>
      <c r="C189" s="354" t="s">
        <v>7104</v>
      </c>
      <c r="D189" s="295"/>
      <c r="E189" s="295"/>
      <c r="F189" s="316" t="s">
        <v>7024</v>
      </c>
      <c r="G189" s="295"/>
      <c r="H189" s="295" t="s">
        <v>7105</v>
      </c>
      <c r="I189" s="295" t="s">
        <v>7106</v>
      </c>
      <c r="J189" s="355" t="s">
        <v>7107</v>
      </c>
      <c r="K189" s="341"/>
    </row>
    <row r="190" spans="2:11" s="1" customFormat="1" ht="15" customHeight="1">
      <c r="B190" s="318"/>
      <c r="C190" s="354" t="s">
        <v>42</v>
      </c>
      <c r="D190" s="295"/>
      <c r="E190" s="295"/>
      <c r="F190" s="316" t="s">
        <v>7018</v>
      </c>
      <c r="G190" s="295"/>
      <c r="H190" s="292" t="s">
        <v>7108</v>
      </c>
      <c r="I190" s="295" t="s">
        <v>7109</v>
      </c>
      <c r="J190" s="295"/>
      <c r="K190" s="341"/>
    </row>
    <row r="191" spans="2:11" s="1" customFormat="1" ht="15" customHeight="1">
      <c r="B191" s="318"/>
      <c r="C191" s="354" t="s">
        <v>7110</v>
      </c>
      <c r="D191" s="295"/>
      <c r="E191" s="295"/>
      <c r="F191" s="316" t="s">
        <v>7018</v>
      </c>
      <c r="G191" s="295"/>
      <c r="H191" s="295" t="s">
        <v>7111</v>
      </c>
      <c r="I191" s="295" t="s">
        <v>7053</v>
      </c>
      <c r="J191" s="295"/>
      <c r="K191" s="341"/>
    </row>
    <row r="192" spans="2:11" s="1" customFormat="1" ht="15" customHeight="1">
      <c r="B192" s="318"/>
      <c r="C192" s="354" t="s">
        <v>7112</v>
      </c>
      <c r="D192" s="295"/>
      <c r="E192" s="295"/>
      <c r="F192" s="316" t="s">
        <v>7018</v>
      </c>
      <c r="G192" s="295"/>
      <c r="H192" s="295" t="s">
        <v>7113</v>
      </c>
      <c r="I192" s="295" t="s">
        <v>7053</v>
      </c>
      <c r="J192" s="295"/>
      <c r="K192" s="341"/>
    </row>
    <row r="193" spans="2:11" s="1" customFormat="1" ht="15" customHeight="1">
      <c r="B193" s="318"/>
      <c r="C193" s="354" t="s">
        <v>4662</v>
      </c>
      <c r="D193" s="295"/>
      <c r="E193" s="295"/>
      <c r="F193" s="316" t="s">
        <v>7024</v>
      </c>
      <c r="G193" s="295"/>
      <c r="H193" s="295" t="s">
        <v>7114</v>
      </c>
      <c r="I193" s="295" t="s">
        <v>7053</v>
      </c>
      <c r="J193" s="295"/>
      <c r="K193" s="341"/>
    </row>
    <row r="194" spans="2:11" s="1" customFormat="1" ht="15" customHeight="1">
      <c r="B194" s="347"/>
      <c r="C194" s="356"/>
      <c r="D194" s="327"/>
      <c r="E194" s="327"/>
      <c r="F194" s="327"/>
      <c r="G194" s="327"/>
      <c r="H194" s="327"/>
      <c r="I194" s="327"/>
      <c r="J194" s="327"/>
      <c r="K194" s="348"/>
    </row>
    <row r="195" spans="2:11" s="1" customFormat="1" ht="18.75" customHeight="1">
      <c r="B195" s="329"/>
      <c r="C195" s="339"/>
      <c r="D195" s="339"/>
      <c r="E195" s="339"/>
      <c r="F195" s="349"/>
      <c r="G195" s="339"/>
      <c r="H195" s="339"/>
      <c r="I195" s="339"/>
      <c r="J195" s="339"/>
      <c r="K195" s="329"/>
    </row>
    <row r="196" spans="2:11" s="1" customFormat="1" ht="18.75" customHeight="1">
      <c r="B196" s="329"/>
      <c r="C196" s="339"/>
      <c r="D196" s="339"/>
      <c r="E196" s="339"/>
      <c r="F196" s="349"/>
      <c r="G196" s="339"/>
      <c r="H196" s="339"/>
      <c r="I196" s="339"/>
      <c r="J196" s="339"/>
      <c r="K196" s="329"/>
    </row>
    <row r="197" spans="2:11" s="1" customFormat="1" ht="18.75" customHeight="1">
      <c r="B197" s="302"/>
      <c r="C197" s="302"/>
      <c r="D197" s="302"/>
      <c r="E197" s="302"/>
      <c r="F197" s="302"/>
      <c r="G197" s="302"/>
      <c r="H197" s="302"/>
      <c r="I197" s="302"/>
      <c r="J197" s="302"/>
      <c r="K197" s="302"/>
    </row>
    <row r="198" spans="2:11" s="1" customFormat="1" ht="13.5">
      <c r="B198" s="284"/>
      <c r="C198" s="285"/>
      <c r="D198" s="285"/>
      <c r="E198" s="285"/>
      <c r="F198" s="285"/>
      <c r="G198" s="285"/>
      <c r="H198" s="285"/>
      <c r="I198" s="285"/>
      <c r="J198" s="285"/>
      <c r="K198" s="286"/>
    </row>
    <row r="199" spans="2:11" s="1" customFormat="1" ht="21">
      <c r="B199" s="287"/>
      <c r="C199" s="423" t="s">
        <v>7115</v>
      </c>
      <c r="D199" s="423"/>
      <c r="E199" s="423"/>
      <c r="F199" s="423"/>
      <c r="G199" s="423"/>
      <c r="H199" s="423"/>
      <c r="I199" s="423"/>
      <c r="J199" s="423"/>
      <c r="K199" s="288"/>
    </row>
    <row r="200" spans="2:11" s="1" customFormat="1" ht="25.5" customHeight="1">
      <c r="B200" s="287"/>
      <c r="C200" s="357" t="s">
        <v>7116</v>
      </c>
      <c r="D200" s="357"/>
      <c r="E200" s="357"/>
      <c r="F200" s="357" t="s">
        <v>7117</v>
      </c>
      <c r="G200" s="358"/>
      <c r="H200" s="424" t="s">
        <v>7118</v>
      </c>
      <c r="I200" s="424"/>
      <c r="J200" s="424"/>
      <c r="K200" s="288"/>
    </row>
    <row r="201" spans="2:11" s="1" customFormat="1" ht="5.25" customHeight="1">
      <c r="B201" s="318"/>
      <c r="C201" s="313"/>
      <c r="D201" s="313"/>
      <c r="E201" s="313"/>
      <c r="F201" s="313"/>
      <c r="G201" s="339"/>
      <c r="H201" s="313"/>
      <c r="I201" s="313"/>
      <c r="J201" s="313"/>
      <c r="K201" s="341"/>
    </row>
    <row r="202" spans="2:11" s="1" customFormat="1" ht="15" customHeight="1">
      <c r="B202" s="318"/>
      <c r="C202" s="295" t="s">
        <v>7109</v>
      </c>
      <c r="D202" s="295"/>
      <c r="E202" s="295"/>
      <c r="F202" s="316" t="s">
        <v>43</v>
      </c>
      <c r="G202" s="295"/>
      <c r="H202" s="425" t="s">
        <v>7119</v>
      </c>
      <c r="I202" s="425"/>
      <c r="J202" s="425"/>
      <c r="K202" s="341"/>
    </row>
    <row r="203" spans="2:11" s="1" customFormat="1" ht="15" customHeight="1">
      <c r="B203" s="318"/>
      <c r="C203" s="295"/>
      <c r="D203" s="295"/>
      <c r="E203" s="295"/>
      <c r="F203" s="316" t="s">
        <v>44</v>
      </c>
      <c r="G203" s="295"/>
      <c r="H203" s="425" t="s">
        <v>7120</v>
      </c>
      <c r="I203" s="425"/>
      <c r="J203" s="425"/>
      <c r="K203" s="341"/>
    </row>
    <row r="204" spans="2:11" s="1" customFormat="1" ht="15" customHeight="1">
      <c r="B204" s="318"/>
      <c r="C204" s="295"/>
      <c r="D204" s="295"/>
      <c r="E204" s="295"/>
      <c r="F204" s="316" t="s">
        <v>47</v>
      </c>
      <c r="G204" s="295"/>
      <c r="H204" s="425" t="s">
        <v>7121</v>
      </c>
      <c r="I204" s="425"/>
      <c r="J204" s="425"/>
      <c r="K204" s="341"/>
    </row>
    <row r="205" spans="2:11" s="1" customFormat="1" ht="15" customHeight="1">
      <c r="B205" s="318"/>
      <c r="C205" s="295"/>
      <c r="D205" s="295"/>
      <c r="E205" s="295"/>
      <c r="F205" s="316" t="s">
        <v>45</v>
      </c>
      <c r="G205" s="295"/>
      <c r="H205" s="425" t="s">
        <v>7122</v>
      </c>
      <c r="I205" s="425"/>
      <c r="J205" s="425"/>
      <c r="K205" s="341"/>
    </row>
    <row r="206" spans="2:11" s="1" customFormat="1" ht="15" customHeight="1">
      <c r="B206" s="318"/>
      <c r="C206" s="295"/>
      <c r="D206" s="295"/>
      <c r="E206" s="295"/>
      <c r="F206" s="316" t="s">
        <v>46</v>
      </c>
      <c r="G206" s="295"/>
      <c r="H206" s="425" t="s">
        <v>7123</v>
      </c>
      <c r="I206" s="425"/>
      <c r="J206" s="425"/>
      <c r="K206" s="341"/>
    </row>
    <row r="207" spans="2:11" s="1" customFormat="1" ht="15" customHeight="1">
      <c r="B207" s="318"/>
      <c r="C207" s="295"/>
      <c r="D207" s="295"/>
      <c r="E207" s="295"/>
      <c r="F207" s="316"/>
      <c r="G207" s="295"/>
      <c r="H207" s="295"/>
      <c r="I207" s="295"/>
      <c r="J207" s="295"/>
      <c r="K207" s="341"/>
    </row>
    <row r="208" spans="2:11" s="1" customFormat="1" ht="15" customHeight="1">
      <c r="B208" s="318"/>
      <c r="C208" s="295" t="s">
        <v>7065</v>
      </c>
      <c r="D208" s="295"/>
      <c r="E208" s="295"/>
      <c r="F208" s="316" t="s">
        <v>78</v>
      </c>
      <c r="G208" s="295"/>
      <c r="H208" s="425" t="s">
        <v>7124</v>
      </c>
      <c r="I208" s="425"/>
      <c r="J208" s="425"/>
      <c r="K208" s="341"/>
    </row>
    <row r="209" spans="2:11" s="1" customFormat="1" ht="15" customHeight="1">
      <c r="B209" s="318"/>
      <c r="C209" s="295"/>
      <c r="D209" s="295"/>
      <c r="E209" s="295"/>
      <c r="F209" s="316" t="s">
        <v>6961</v>
      </c>
      <c r="G209" s="295"/>
      <c r="H209" s="425" t="s">
        <v>6962</v>
      </c>
      <c r="I209" s="425"/>
      <c r="J209" s="425"/>
      <c r="K209" s="341"/>
    </row>
    <row r="210" spans="2:11" s="1" customFormat="1" ht="15" customHeight="1">
      <c r="B210" s="318"/>
      <c r="C210" s="295"/>
      <c r="D210" s="295"/>
      <c r="E210" s="295"/>
      <c r="F210" s="316" t="s">
        <v>6959</v>
      </c>
      <c r="G210" s="295"/>
      <c r="H210" s="425" t="s">
        <v>7125</v>
      </c>
      <c r="I210" s="425"/>
      <c r="J210" s="425"/>
      <c r="K210" s="341"/>
    </row>
    <row r="211" spans="2:11" s="1" customFormat="1" ht="15" customHeight="1">
      <c r="B211" s="359"/>
      <c r="C211" s="295"/>
      <c r="D211" s="295"/>
      <c r="E211" s="295"/>
      <c r="F211" s="316" t="s">
        <v>6963</v>
      </c>
      <c r="G211" s="354"/>
      <c r="H211" s="426" t="s">
        <v>6964</v>
      </c>
      <c r="I211" s="426"/>
      <c r="J211" s="426"/>
      <c r="K211" s="360"/>
    </row>
    <row r="212" spans="2:11" s="1" customFormat="1" ht="15" customHeight="1">
      <c r="B212" s="359"/>
      <c r="C212" s="295"/>
      <c r="D212" s="295"/>
      <c r="E212" s="295"/>
      <c r="F212" s="316" t="s">
        <v>6965</v>
      </c>
      <c r="G212" s="354"/>
      <c r="H212" s="426" t="s">
        <v>7126</v>
      </c>
      <c r="I212" s="426"/>
      <c r="J212" s="426"/>
      <c r="K212" s="360"/>
    </row>
    <row r="213" spans="2:11" s="1" customFormat="1" ht="15" customHeight="1">
      <c r="B213" s="359"/>
      <c r="C213" s="295"/>
      <c r="D213" s="295"/>
      <c r="E213" s="295"/>
      <c r="F213" s="316"/>
      <c r="G213" s="354"/>
      <c r="H213" s="345"/>
      <c r="I213" s="345"/>
      <c r="J213" s="345"/>
      <c r="K213" s="360"/>
    </row>
    <row r="214" spans="2:11" s="1" customFormat="1" ht="15" customHeight="1">
      <c r="B214" s="359"/>
      <c r="C214" s="295" t="s">
        <v>7089</v>
      </c>
      <c r="D214" s="295"/>
      <c r="E214" s="295"/>
      <c r="F214" s="316">
        <v>1</v>
      </c>
      <c r="G214" s="354"/>
      <c r="H214" s="426" t="s">
        <v>7127</v>
      </c>
      <c r="I214" s="426"/>
      <c r="J214" s="426"/>
      <c r="K214" s="360"/>
    </row>
    <row r="215" spans="2:11" s="1" customFormat="1" ht="15" customHeight="1">
      <c r="B215" s="359"/>
      <c r="C215" s="295"/>
      <c r="D215" s="295"/>
      <c r="E215" s="295"/>
      <c r="F215" s="316">
        <v>2</v>
      </c>
      <c r="G215" s="354"/>
      <c r="H215" s="426" t="s">
        <v>7128</v>
      </c>
      <c r="I215" s="426"/>
      <c r="J215" s="426"/>
      <c r="K215" s="360"/>
    </row>
    <row r="216" spans="2:11" s="1" customFormat="1" ht="15" customHeight="1">
      <c r="B216" s="359"/>
      <c r="C216" s="295"/>
      <c r="D216" s="295"/>
      <c r="E216" s="295"/>
      <c r="F216" s="316">
        <v>3</v>
      </c>
      <c r="G216" s="354"/>
      <c r="H216" s="426" t="s">
        <v>7129</v>
      </c>
      <c r="I216" s="426"/>
      <c r="J216" s="426"/>
      <c r="K216" s="360"/>
    </row>
    <row r="217" spans="2:11" s="1" customFormat="1" ht="15" customHeight="1">
      <c r="B217" s="359"/>
      <c r="C217" s="295"/>
      <c r="D217" s="295"/>
      <c r="E217" s="295"/>
      <c r="F217" s="316">
        <v>4</v>
      </c>
      <c r="G217" s="354"/>
      <c r="H217" s="426" t="s">
        <v>7130</v>
      </c>
      <c r="I217" s="426"/>
      <c r="J217" s="426"/>
      <c r="K217" s="360"/>
    </row>
    <row r="218" spans="2:11" s="1" customFormat="1" ht="12.75" customHeight="1">
      <c r="B218" s="361"/>
      <c r="C218" s="362"/>
      <c r="D218" s="362"/>
      <c r="E218" s="362"/>
      <c r="F218" s="362"/>
      <c r="G218" s="362"/>
      <c r="H218" s="362"/>
      <c r="I218" s="362"/>
      <c r="J218" s="362"/>
      <c r="K218" s="36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C6E6-A850-46BF-8845-E77538311599}">
  <dimension ref="A1:H120"/>
  <sheetViews>
    <sheetView view="pageBreakPreview" zoomScale="115" zoomScaleNormal="100" zoomScaleSheetLayoutView="115" workbookViewId="0">
      <pane ySplit="2" topLeftCell="A18" activePane="bottomLeft" state="frozen"/>
      <selection activeCell="C31" sqref="C31"/>
      <selection pane="bottomLeft" activeCell="C31" sqref="C31"/>
    </sheetView>
  </sheetViews>
  <sheetFormatPr defaultRowHeight="15"/>
  <cols>
    <col min="1" max="1" width="9.33203125" style="433"/>
    <col min="2" max="2" width="9.33203125" style="431"/>
    <col min="3" max="3" width="9.33203125" style="432"/>
    <col min="4" max="16384" width="9.33203125" style="433"/>
  </cols>
  <sheetData>
    <row r="1" spans="1:8" ht="30.75" customHeight="1">
      <c r="A1" s="430" t="s">
        <v>7131</v>
      </c>
    </row>
    <row r="2" spans="1:8">
      <c r="A2" s="434" t="s">
        <v>7132</v>
      </c>
      <c r="B2" s="435" t="s">
        <v>7133</v>
      </c>
      <c r="C2" s="436" t="s">
        <v>398</v>
      </c>
      <c r="D2" s="434" t="s">
        <v>7134</v>
      </c>
      <c r="E2" s="434" t="s">
        <v>7135</v>
      </c>
      <c r="F2" s="434" t="s">
        <v>7136</v>
      </c>
      <c r="G2" s="434" t="s">
        <v>1402</v>
      </c>
      <c r="H2" s="434" t="s">
        <v>7137</v>
      </c>
    </row>
    <row r="3" spans="1:8">
      <c r="A3" s="437" t="s">
        <v>7138</v>
      </c>
      <c r="B3" s="438" t="s">
        <v>7139</v>
      </c>
      <c r="C3" s="439">
        <v>8.1999999999999993</v>
      </c>
      <c r="D3" s="437"/>
      <c r="E3" s="437" t="s">
        <v>268</v>
      </c>
      <c r="F3" s="437" t="s">
        <v>7140</v>
      </c>
      <c r="G3" s="437" t="s">
        <v>7140</v>
      </c>
      <c r="H3" s="437">
        <v>3.4350000000000001</v>
      </c>
    </row>
    <row r="4" spans="1:8">
      <c r="A4" s="437" t="s">
        <v>7138</v>
      </c>
      <c r="B4" s="438" t="s">
        <v>7141</v>
      </c>
      <c r="C4" s="439">
        <v>8.1999999999999993</v>
      </c>
      <c r="D4" s="437"/>
      <c r="E4" s="437" t="s">
        <v>268</v>
      </c>
      <c r="F4" s="437" t="s">
        <v>7140</v>
      </c>
      <c r="G4" s="437" t="s">
        <v>7140</v>
      </c>
      <c r="H4" s="437">
        <v>3.4350000000000001</v>
      </c>
    </row>
    <row r="5" spans="1:8">
      <c r="A5" s="437" t="s">
        <v>7138</v>
      </c>
      <c r="B5" s="438" t="s">
        <v>7142</v>
      </c>
      <c r="C5" s="439">
        <f>33.4-18.02</f>
        <v>15.379999999999999</v>
      </c>
      <c r="D5" s="437"/>
      <c r="E5" s="437" t="s">
        <v>270</v>
      </c>
      <c r="F5" s="437" t="s">
        <v>7140</v>
      </c>
      <c r="G5" s="437" t="s">
        <v>7140</v>
      </c>
      <c r="H5" s="437">
        <v>3.4350000000000001</v>
      </c>
    </row>
    <row r="6" spans="1:8">
      <c r="A6" s="437" t="s">
        <v>7138</v>
      </c>
      <c r="B6" s="438" t="s">
        <v>7143</v>
      </c>
      <c r="C6" s="439">
        <f>33.4-18.02</f>
        <v>15.379999999999999</v>
      </c>
      <c r="D6" s="437"/>
      <c r="E6" s="437" t="s">
        <v>270</v>
      </c>
      <c r="F6" s="437" t="s">
        <v>7140</v>
      </c>
      <c r="G6" s="437" t="s">
        <v>7140</v>
      </c>
      <c r="H6" s="437">
        <v>3.4350000000000001</v>
      </c>
    </row>
    <row r="7" spans="1:8">
      <c r="A7" s="437" t="s">
        <v>7138</v>
      </c>
      <c r="B7" s="438" t="s">
        <v>7144</v>
      </c>
      <c r="C7" s="439">
        <v>68.2</v>
      </c>
      <c r="D7" s="437"/>
      <c r="E7" s="437" t="s">
        <v>270</v>
      </c>
      <c r="F7" s="437" t="s">
        <v>328</v>
      </c>
      <c r="G7" s="437" t="s">
        <v>7140</v>
      </c>
      <c r="H7" s="437">
        <v>2.9</v>
      </c>
    </row>
    <row r="8" spans="1:8">
      <c r="A8" s="437" t="s">
        <v>7138</v>
      </c>
      <c r="B8" s="438" t="s">
        <v>7142</v>
      </c>
      <c r="C8" s="439">
        <f>4.06*2+3.15+1.52*0.16*24</f>
        <v>17.1068</v>
      </c>
      <c r="D8" s="437"/>
      <c r="E8" s="437" t="s">
        <v>7145</v>
      </c>
      <c r="F8" s="437" t="s">
        <v>7140</v>
      </c>
      <c r="G8" s="437" t="s">
        <v>7140</v>
      </c>
      <c r="H8" s="437">
        <v>3.4350000000000001</v>
      </c>
    </row>
    <row r="9" spans="1:8">
      <c r="A9" s="437" t="s">
        <v>7138</v>
      </c>
      <c r="B9" s="438" t="s">
        <v>7143</v>
      </c>
      <c r="C9" s="439">
        <f>4.06*2+3.15+1.52*0.16*24</f>
        <v>17.1068</v>
      </c>
      <c r="D9" s="437"/>
      <c r="E9" s="437" t="s">
        <v>7145</v>
      </c>
      <c r="F9" s="437" t="s">
        <v>7140</v>
      </c>
      <c r="G9" s="437" t="s">
        <v>7140</v>
      </c>
      <c r="H9" s="437">
        <v>3.4350000000000001</v>
      </c>
    </row>
    <row r="10" spans="1:8">
      <c r="A10" s="437" t="s">
        <v>7146</v>
      </c>
      <c r="B10" s="438" t="s">
        <v>7147</v>
      </c>
      <c r="C10" s="439">
        <f>3.13*3+1.52*0.16*24</f>
        <v>15.226800000000001</v>
      </c>
      <c r="D10" s="437"/>
      <c r="E10" s="437" t="s">
        <v>7145</v>
      </c>
      <c r="F10" s="437" t="s">
        <v>7140</v>
      </c>
      <c r="G10" s="437" t="s">
        <v>7140</v>
      </c>
      <c r="H10" s="437">
        <v>3.4350000000000001</v>
      </c>
    </row>
    <row r="11" spans="1:8">
      <c r="A11" s="437" t="s">
        <v>7146</v>
      </c>
      <c r="B11" s="438" t="s">
        <v>7148</v>
      </c>
      <c r="C11" s="439">
        <f>3.13*3+1.52*0.16*24</f>
        <v>15.226800000000001</v>
      </c>
      <c r="D11" s="437"/>
      <c r="E11" s="437" t="s">
        <v>7145</v>
      </c>
      <c r="F11" s="437" t="s">
        <v>7140</v>
      </c>
      <c r="G11" s="437" t="s">
        <v>7140</v>
      </c>
      <c r="H11" s="437">
        <v>3.4350000000000001</v>
      </c>
    </row>
    <row r="12" spans="1:8">
      <c r="A12" s="437" t="s">
        <v>7149</v>
      </c>
      <c r="B12" s="438" t="s">
        <v>7150</v>
      </c>
      <c r="C12" s="439">
        <f>3.13*3+1.52*0.16*24</f>
        <v>15.226800000000001</v>
      </c>
      <c r="D12" s="437"/>
      <c r="E12" s="437" t="s">
        <v>7145</v>
      </c>
      <c r="F12" s="437" t="s">
        <v>7140</v>
      </c>
      <c r="G12" s="437" t="s">
        <v>7140</v>
      </c>
      <c r="H12" s="437">
        <v>3.4350000000000001</v>
      </c>
    </row>
    <row r="13" spans="1:8">
      <c r="A13" s="437" t="s">
        <v>7149</v>
      </c>
      <c r="B13" s="438" t="s">
        <v>7151</v>
      </c>
      <c r="C13" s="439">
        <f>3.13*3+1.52*0.16*24</f>
        <v>15.226800000000001</v>
      </c>
      <c r="D13" s="437"/>
      <c r="E13" s="437" t="s">
        <v>7145</v>
      </c>
      <c r="F13" s="437" t="s">
        <v>7140</v>
      </c>
      <c r="G13" s="437" t="s">
        <v>7140</v>
      </c>
      <c r="H13" s="437">
        <v>3.4350000000000001</v>
      </c>
    </row>
    <row r="14" spans="1:8">
      <c r="A14" s="437" t="s">
        <v>7138</v>
      </c>
      <c r="B14" s="438" t="s">
        <v>7142</v>
      </c>
      <c r="C14" s="439">
        <f>3.75+3</f>
        <v>6.75</v>
      </c>
      <c r="D14" s="437"/>
      <c r="E14" s="437" t="s">
        <v>274</v>
      </c>
      <c r="F14" s="437" t="s">
        <v>7140</v>
      </c>
      <c r="G14" s="437" t="s">
        <v>7140</v>
      </c>
      <c r="H14" s="437">
        <v>3.4350000000000001</v>
      </c>
    </row>
    <row r="15" spans="1:8">
      <c r="A15" s="437" t="s">
        <v>7138</v>
      </c>
      <c r="B15" s="438" t="s">
        <v>7143</v>
      </c>
      <c r="C15" s="439">
        <f>3.75+3</f>
        <v>6.75</v>
      </c>
      <c r="D15" s="437"/>
      <c r="E15" s="437" t="s">
        <v>274</v>
      </c>
      <c r="F15" s="437" t="s">
        <v>7140</v>
      </c>
      <c r="G15" s="437" t="s">
        <v>7140</v>
      </c>
      <c r="H15" s="437">
        <v>3.4350000000000001</v>
      </c>
    </row>
    <row r="16" spans="1:8">
      <c r="A16" s="437" t="s">
        <v>7146</v>
      </c>
      <c r="B16" s="438" t="s">
        <v>7147</v>
      </c>
      <c r="C16" s="439">
        <f>4.2*2</f>
        <v>8.4</v>
      </c>
      <c r="D16" s="437"/>
      <c r="E16" s="437" t="s">
        <v>274</v>
      </c>
      <c r="F16" s="437" t="s">
        <v>7140</v>
      </c>
      <c r="G16" s="437" t="s">
        <v>7140</v>
      </c>
      <c r="H16" s="437">
        <v>3.4350000000000001</v>
      </c>
    </row>
    <row r="17" spans="1:8">
      <c r="A17" s="437" t="s">
        <v>7146</v>
      </c>
      <c r="B17" s="438" t="s">
        <v>7148</v>
      </c>
      <c r="C17" s="439">
        <f>4.2*2</f>
        <v>8.4</v>
      </c>
      <c r="D17" s="437"/>
      <c r="E17" s="437" t="s">
        <v>274</v>
      </c>
      <c r="F17" s="437" t="s">
        <v>7140</v>
      </c>
      <c r="G17" s="437" t="s">
        <v>7140</v>
      </c>
      <c r="H17" s="437">
        <v>3.4350000000000001</v>
      </c>
    </row>
    <row r="18" spans="1:8">
      <c r="A18" s="437" t="s">
        <v>7149</v>
      </c>
      <c r="B18" s="438" t="s">
        <v>7150</v>
      </c>
      <c r="C18" s="439">
        <f>4.2*2</f>
        <v>8.4</v>
      </c>
      <c r="D18" s="437"/>
      <c r="E18" s="437" t="s">
        <v>274</v>
      </c>
      <c r="F18" s="437" t="s">
        <v>7140</v>
      </c>
      <c r="G18" s="437" t="s">
        <v>7140</v>
      </c>
      <c r="H18" s="437">
        <v>3.4350000000000001</v>
      </c>
    </row>
    <row r="19" spans="1:8">
      <c r="A19" s="437" t="s">
        <v>7149</v>
      </c>
      <c r="B19" s="438" t="s">
        <v>7151</v>
      </c>
      <c r="C19" s="439">
        <f>4.2*2</f>
        <v>8.4</v>
      </c>
      <c r="D19" s="437"/>
      <c r="E19" s="437" t="s">
        <v>274</v>
      </c>
      <c r="F19" s="437" t="s">
        <v>7140</v>
      </c>
      <c r="G19" s="437" t="s">
        <v>7140</v>
      </c>
      <c r="H19" s="437">
        <v>3.4350000000000001</v>
      </c>
    </row>
    <row r="20" spans="1:8">
      <c r="A20" s="437" t="s">
        <v>7138</v>
      </c>
      <c r="B20" s="438" t="s">
        <v>7152</v>
      </c>
      <c r="C20" s="439">
        <v>37.9</v>
      </c>
      <c r="D20" s="437"/>
      <c r="E20" s="437" t="s">
        <v>276</v>
      </c>
      <c r="F20" s="437" t="s">
        <v>330</v>
      </c>
      <c r="G20" s="437" t="s">
        <v>7140</v>
      </c>
      <c r="H20" s="437">
        <v>3</v>
      </c>
    </row>
    <row r="21" spans="1:8">
      <c r="A21" s="437" t="s">
        <v>7138</v>
      </c>
      <c r="B21" s="438" t="s">
        <v>7153</v>
      </c>
      <c r="C21" s="439">
        <v>72.400000000000006</v>
      </c>
      <c r="D21" s="437"/>
      <c r="E21" s="437" t="s">
        <v>276</v>
      </c>
      <c r="F21" s="437" t="s">
        <v>330</v>
      </c>
      <c r="G21" s="437" t="s">
        <v>7140</v>
      </c>
      <c r="H21" s="437">
        <v>3</v>
      </c>
    </row>
    <row r="22" spans="1:8">
      <c r="A22" s="437" t="s">
        <v>7138</v>
      </c>
      <c r="B22" s="438" t="s">
        <v>7154</v>
      </c>
      <c r="C22" s="439">
        <v>171.2</v>
      </c>
      <c r="D22" s="437"/>
      <c r="E22" s="437" t="s">
        <v>278</v>
      </c>
      <c r="F22" s="437" t="s">
        <v>7155</v>
      </c>
      <c r="G22" s="437" t="s">
        <v>7155</v>
      </c>
      <c r="H22" s="437">
        <v>3.42</v>
      </c>
    </row>
    <row r="23" spans="1:8">
      <c r="A23" s="437" t="s">
        <v>7138</v>
      </c>
      <c r="B23" s="438" t="s">
        <v>7156</v>
      </c>
      <c r="C23" s="439">
        <v>171.2</v>
      </c>
      <c r="D23" s="437"/>
      <c r="E23" s="437" t="s">
        <v>278</v>
      </c>
      <c r="F23" s="437" t="s">
        <v>7155</v>
      </c>
      <c r="G23" s="437" t="s">
        <v>7155</v>
      </c>
      <c r="H23" s="437">
        <v>3.42</v>
      </c>
    </row>
    <row r="24" spans="1:8">
      <c r="A24" s="437" t="s">
        <v>7138</v>
      </c>
      <c r="B24" s="438" t="s">
        <v>7157</v>
      </c>
      <c r="C24" s="439">
        <v>171.2</v>
      </c>
      <c r="D24" s="437"/>
      <c r="E24" s="437" t="s">
        <v>278</v>
      </c>
      <c r="F24" s="437" t="s">
        <v>7155</v>
      </c>
      <c r="G24" s="437" t="s">
        <v>7155</v>
      </c>
      <c r="H24" s="437">
        <v>3.42</v>
      </c>
    </row>
    <row r="25" spans="1:8">
      <c r="A25" s="437" t="s">
        <v>7138</v>
      </c>
      <c r="B25" s="438" t="s">
        <v>7158</v>
      </c>
      <c r="C25" s="439">
        <v>171.2</v>
      </c>
      <c r="D25" s="437"/>
      <c r="E25" s="437" t="s">
        <v>278</v>
      </c>
      <c r="F25" s="437" t="s">
        <v>7155</v>
      </c>
      <c r="G25" s="437" t="s">
        <v>7155</v>
      </c>
      <c r="H25" s="437">
        <v>3.42</v>
      </c>
    </row>
    <row r="26" spans="1:8">
      <c r="A26" s="437" t="s">
        <v>7138</v>
      </c>
      <c r="B26" s="438" t="s">
        <v>7159</v>
      </c>
      <c r="C26" s="439">
        <v>27.9</v>
      </c>
      <c r="D26" s="437"/>
      <c r="E26" s="437" t="s">
        <v>278</v>
      </c>
      <c r="F26" s="437" t="s">
        <v>7155</v>
      </c>
      <c r="G26" s="437" t="s">
        <v>7160</v>
      </c>
      <c r="H26" s="437">
        <v>3.45</v>
      </c>
    </row>
    <row r="27" spans="1:8">
      <c r="A27" s="437" t="s">
        <v>7138</v>
      </c>
      <c r="B27" s="438" t="s">
        <v>7161</v>
      </c>
      <c r="C27" s="439">
        <v>4.7</v>
      </c>
      <c r="D27" s="437"/>
      <c r="E27" s="437" t="s">
        <v>280</v>
      </c>
      <c r="F27" s="437" t="s">
        <v>328</v>
      </c>
      <c r="G27" s="437" t="s">
        <v>7160</v>
      </c>
      <c r="H27" s="437">
        <v>2.7</v>
      </c>
    </row>
    <row r="28" spans="1:8">
      <c r="A28" s="437" t="s">
        <v>7138</v>
      </c>
      <c r="B28" s="438" t="s">
        <v>7162</v>
      </c>
      <c r="C28" s="439">
        <v>1.5</v>
      </c>
      <c r="D28" s="437"/>
      <c r="E28" s="437" t="s">
        <v>280</v>
      </c>
      <c r="F28" s="437" t="s">
        <v>328</v>
      </c>
      <c r="G28" s="437" t="s">
        <v>7160</v>
      </c>
      <c r="H28" s="437">
        <v>2.7</v>
      </c>
    </row>
    <row r="29" spans="1:8">
      <c r="A29" s="437" t="s">
        <v>7138</v>
      </c>
      <c r="B29" s="438" t="s">
        <v>7163</v>
      </c>
      <c r="C29" s="439">
        <v>2.4</v>
      </c>
      <c r="D29" s="437"/>
      <c r="E29" s="437" t="s">
        <v>280</v>
      </c>
      <c r="F29" s="437" t="s">
        <v>328</v>
      </c>
      <c r="G29" s="437" t="s">
        <v>7160</v>
      </c>
      <c r="H29" s="437">
        <v>2.7</v>
      </c>
    </row>
    <row r="30" spans="1:8">
      <c r="A30" s="437" t="s">
        <v>7138</v>
      </c>
      <c r="B30" s="438" t="s">
        <v>7164</v>
      </c>
      <c r="C30" s="439">
        <v>7.4</v>
      </c>
      <c r="D30" s="437"/>
      <c r="E30" s="437" t="s">
        <v>280</v>
      </c>
      <c r="F30" s="437" t="s">
        <v>7165</v>
      </c>
      <c r="G30" s="437" t="s">
        <v>7160</v>
      </c>
      <c r="H30" s="437">
        <v>2.2549999999999999</v>
      </c>
    </row>
    <row r="31" spans="1:8">
      <c r="A31" s="437" t="s">
        <v>7138</v>
      </c>
      <c r="B31" s="438" t="s">
        <v>7166</v>
      </c>
      <c r="C31" s="439">
        <v>4.2</v>
      </c>
      <c r="D31" s="437"/>
      <c r="E31" s="437" t="s">
        <v>283</v>
      </c>
      <c r="F31" s="437" t="s">
        <v>7165</v>
      </c>
      <c r="G31" s="437" t="s">
        <v>7140</v>
      </c>
      <c r="H31" s="437">
        <v>2.2549999999999999</v>
      </c>
    </row>
    <row r="32" spans="1:8">
      <c r="A32" s="437" t="s">
        <v>7138</v>
      </c>
      <c r="B32" s="438" t="s">
        <v>7167</v>
      </c>
      <c r="C32" s="439">
        <v>3.1</v>
      </c>
      <c r="D32" s="437"/>
      <c r="E32" s="437" t="s">
        <v>283</v>
      </c>
      <c r="F32" s="437" t="s">
        <v>7165</v>
      </c>
      <c r="G32" s="437" t="s">
        <v>7140</v>
      </c>
      <c r="H32" s="437">
        <v>2.2549999999999999</v>
      </c>
    </row>
    <row r="33" spans="1:8">
      <c r="A33" s="437" t="s">
        <v>7138</v>
      </c>
      <c r="B33" s="438" t="s">
        <v>7168</v>
      </c>
      <c r="C33" s="439">
        <v>11.7</v>
      </c>
      <c r="D33" s="437"/>
      <c r="E33" s="437" t="s">
        <v>283</v>
      </c>
      <c r="F33" s="437" t="s">
        <v>7155</v>
      </c>
      <c r="G33" s="437" t="s">
        <v>7140</v>
      </c>
      <c r="H33" s="437">
        <v>3.45</v>
      </c>
    </row>
    <row r="34" spans="1:8">
      <c r="A34" s="437" t="s">
        <v>7146</v>
      </c>
      <c r="B34" s="438" t="s">
        <v>7147</v>
      </c>
      <c r="C34" s="439">
        <f>42.2-9.39-8.4</f>
        <v>24.410000000000004</v>
      </c>
      <c r="D34" s="437"/>
      <c r="E34" s="437" t="s">
        <v>286</v>
      </c>
      <c r="F34" s="437" t="s">
        <v>7140</v>
      </c>
      <c r="G34" s="437" t="s">
        <v>7140</v>
      </c>
      <c r="H34" s="437">
        <v>3.4350000000000001</v>
      </c>
    </row>
    <row r="35" spans="1:8">
      <c r="A35" s="437" t="s">
        <v>7146</v>
      </c>
      <c r="B35" s="438" t="s">
        <v>7148</v>
      </c>
      <c r="C35" s="439">
        <f>42.2-9.39-8.4</f>
        <v>24.410000000000004</v>
      </c>
      <c r="D35" s="437"/>
      <c r="E35" s="437" t="s">
        <v>286</v>
      </c>
      <c r="F35" s="437" t="s">
        <v>7140</v>
      </c>
      <c r="G35" s="437" t="s">
        <v>7140</v>
      </c>
      <c r="H35" s="437">
        <v>3.4350000000000001</v>
      </c>
    </row>
    <row r="36" spans="1:8">
      <c r="A36" s="437" t="s">
        <v>7146</v>
      </c>
      <c r="B36" s="438" t="s">
        <v>7169</v>
      </c>
      <c r="C36" s="439">
        <v>71.099999999999994</v>
      </c>
      <c r="D36" s="437"/>
      <c r="E36" s="437" t="s">
        <v>286</v>
      </c>
      <c r="F36" s="437" t="s">
        <v>328</v>
      </c>
      <c r="G36" s="437" t="s">
        <v>7140</v>
      </c>
      <c r="H36" s="437">
        <v>2.9</v>
      </c>
    </row>
    <row r="37" spans="1:8">
      <c r="A37" s="437" t="s">
        <v>7146</v>
      </c>
      <c r="B37" s="438" t="s">
        <v>7170</v>
      </c>
      <c r="C37" s="439">
        <v>4.3</v>
      </c>
      <c r="D37" s="437"/>
      <c r="E37" s="437" t="s">
        <v>286</v>
      </c>
      <c r="F37" s="437" t="s">
        <v>328</v>
      </c>
      <c r="G37" s="437" t="s">
        <v>7140</v>
      </c>
      <c r="H37" s="437">
        <v>3</v>
      </c>
    </row>
    <row r="38" spans="1:8">
      <c r="A38" s="437" t="s">
        <v>7146</v>
      </c>
      <c r="B38" s="438" t="s">
        <v>7171</v>
      </c>
      <c r="C38" s="439">
        <v>5.3</v>
      </c>
      <c r="D38" s="437"/>
      <c r="E38" s="437" t="s">
        <v>286</v>
      </c>
      <c r="F38" s="437" t="s">
        <v>328</v>
      </c>
      <c r="G38" s="437" t="s">
        <v>7140</v>
      </c>
      <c r="H38" s="437">
        <v>3</v>
      </c>
    </row>
    <row r="39" spans="1:8">
      <c r="A39" s="437" t="s">
        <v>7149</v>
      </c>
      <c r="B39" s="438" t="s">
        <v>7172</v>
      </c>
      <c r="C39" s="439">
        <v>4.9000000000000004</v>
      </c>
      <c r="D39" s="437"/>
      <c r="E39" s="437" t="s">
        <v>286</v>
      </c>
      <c r="F39" s="437" t="s">
        <v>7140</v>
      </c>
      <c r="G39" s="437" t="s">
        <v>7140</v>
      </c>
      <c r="H39" s="437">
        <v>3.4350000000000001</v>
      </c>
    </row>
    <row r="40" spans="1:8">
      <c r="A40" s="437" t="s">
        <v>7149</v>
      </c>
      <c r="B40" s="438" t="s">
        <v>7173</v>
      </c>
      <c r="C40" s="439">
        <v>7.1</v>
      </c>
      <c r="D40" s="437"/>
      <c r="E40" s="437" t="s">
        <v>286</v>
      </c>
      <c r="F40" s="437" t="s">
        <v>7140</v>
      </c>
      <c r="G40" s="437" t="s">
        <v>7140</v>
      </c>
      <c r="H40" s="437">
        <v>3.4350000000000001</v>
      </c>
    </row>
    <row r="41" spans="1:8">
      <c r="A41" s="437" t="s">
        <v>7149</v>
      </c>
      <c r="B41" s="438" t="s">
        <v>7174</v>
      </c>
      <c r="C41" s="439">
        <v>11.6</v>
      </c>
      <c r="D41" s="437"/>
      <c r="E41" s="437" t="s">
        <v>286</v>
      </c>
      <c r="F41" s="437" t="s">
        <v>328</v>
      </c>
      <c r="G41" s="437" t="s">
        <v>7140</v>
      </c>
      <c r="H41" s="437">
        <v>3</v>
      </c>
    </row>
    <row r="42" spans="1:8">
      <c r="A42" s="437" t="s">
        <v>7175</v>
      </c>
      <c r="B42" s="438" t="s">
        <v>7176</v>
      </c>
      <c r="C42" s="439">
        <v>16.100000000000001</v>
      </c>
      <c r="D42" s="437"/>
      <c r="E42" s="437" t="s">
        <v>286</v>
      </c>
      <c r="F42" s="437" t="s">
        <v>7140</v>
      </c>
      <c r="G42" s="437" t="s">
        <v>7140</v>
      </c>
      <c r="H42" s="437">
        <v>2.3450000000000002</v>
      </c>
    </row>
    <row r="43" spans="1:8">
      <c r="A43" s="437" t="s">
        <v>7175</v>
      </c>
      <c r="B43" s="438" t="s">
        <v>7177</v>
      </c>
      <c r="C43" s="439">
        <v>12.9</v>
      </c>
      <c r="D43" s="437"/>
      <c r="E43" s="437" t="s">
        <v>286</v>
      </c>
      <c r="F43" s="437" t="s">
        <v>7140</v>
      </c>
      <c r="G43" s="437" t="s">
        <v>7140</v>
      </c>
      <c r="H43" s="437">
        <v>2.3450000000000002</v>
      </c>
    </row>
    <row r="44" spans="1:8">
      <c r="A44" s="437" t="s">
        <v>7146</v>
      </c>
      <c r="B44" s="438" t="s">
        <v>7178</v>
      </c>
      <c r="C44" s="439">
        <v>31.2</v>
      </c>
      <c r="D44" s="437"/>
      <c r="E44" s="437" t="s">
        <v>289</v>
      </c>
      <c r="F44" s="437" t="s">
        <v>330</v>
      </c>
      <c r="G44" s="437" t="s">
        <v>7160</v>
      </c>
      <c r="H44" s="437">
        <v>3</v>
      </c>
    </row>
    <row r="45" spans="1:8">
      <c r="A45" s="437" t="s">
        <v>7146</v>
      </c>
      <c r="B45" s="438" t="s">
        <v>7179</v>
      </c>
      <c r="C45" s="439">
        <v>31</v>
      </c>
      <c r="D45" s="437"/>
      <c r="E45" s="437" t="s">
        <v>289</v>
      </c>
      <c r="F45" s="437" t="s">
        <v>330</v>
      </c>
      <c r="G45" s="437" t="s">
        <v>7160</v>
      </c>
      <c r="H45" s="437">
        <v>3</v>
      </c>
    </row>
    <row r="46" spans="1:8">
      <c r="A46" s="437" t="s">
        <v>7146</v>
      </c>
      <c r="B46" s="438" t="s">
        <v>7180</v>
      </c>
      <c r="C46" s="439">
        <v>30.9</v>
      </c>
      <c r="D46" s="437"/>
      <c r="E46" s="437" t="s">
        <v>289</v>
      </c>
      <c r="F46" s="437" t="s">
        <v>330</v>
      </c>
      <c r="G46" s="437" t="s">
        <v>7160</v>
      </c>
      <c r="H46" s="437">
        <v>3</v>
      </c>
    </row>
    <row r="47" spans="1:8">
      <c r="A47" s="437" t="s">
        <v>7146</v>
      </c>
      <c r="B47" s="438" t="s">
        <v>7181</v>
      </c>
      <c r="C47" s="439">
        <v>31.2</v>
      </c>
      <c r="D47" s="437"/>
      <c r="E47" s="437" t="s">
        <v>289</v>
      </c>
      <c r="F47" s="437" t="s">
        <v>330</v>
      </c>
      <c r="G47" s="437" t="s">
        <v>7160</v>
      </c>
      <c r="H47" s="437">
        <v>3</v>
      </c>
    </row>
    <row r="48" spans="1:8">
      <c r="A48" s="437" t="s">
        <v>7149</v>
      </c>
      <c r="B48" s="438" t="s">
        <v>7182</v>
      </c>
      <c r="C48" s="439">
        <v>31.1</v>
      </c>
      <c r="D48" s="437"/>
      <c r="E48" s="437" t="s">
        <v>289</v>
      </c>
      <c r="F48" s="437" t="s">
        <v>330</v>
      </c>
      <c r="G48" s="437" t="s">
        <v>7160</v>
      </c>
      <c r="H48" s="437">
        <v>3</v>
      </c>
    </row>
    <row r="49" spans="1:8">
      <c r="A49" s="437" t="s">
        <v>7149</v>
      </c>
      <c r="B49" s="438" t="s">
        <v>7183</v>
      </c>
      <c r="C49" s="439">
        <v>33</v>
      </c>
      <c r="D49" s="437"/>
      <c r="E49" s="437" t="s">
        <v>289</v>
      </c>
      <c r="F49" s="437" t="s">
        <v>330</v>
      </c>
      <c r="G49" s="437" t="s">
        <v>7160</v>
      </c>
      <c r="H49" s="437">
        <v>3</v>
      </c>
    </row>
    <row r="50" spans="1:8">
      <c r="A50" s="437" t="s">
        <v>7149</v>
      </c>
      <c r="B50" s="438" t="s">
        <v>7184</v>
      </c>
      <c r="C50" s="439">
        <v>32</v>
      </c>
      <c r="D50" s="437"/>
      <c r="E50" s="437" t="s">
        <v>289</v>
      </c>
      <c r="F50" s="437" t="s">
        <v>330</v>
      </c>
      <c r="G50" s="437" t="s">
        <v>7160</v>
      </c>
      <c r="H50" s="437">
        <v>3</v>
      </c>
    </row>
    <row r="51" spans="1:8">
      <c r="A51" s="437" t="s">
        <v>7149</v>
      </c>
      <c r="B51" s="438" t="s">
        <v>7185</v>
      </c>
      <c r="C51" s="439">
        <v>43.3</v>
      </c>
      <c r="D51" s="437"/>
      <c r="E51" s="437" t="s">
        <v>289</v>
      </c>
      <c r="F51" s="437" t="s">
        <v>330</v>
      </c>
      <c r="G51" s="437" t="s">
        <v>7165</v>
      </c>
      <c r="H51" s="437">
        <v>3.5</v>
      </c>
    </row>
    <row r="52" spans="1:8">
      <c r="A52" s="437" t="s">
        <v>7149</v>
      </c>
      <c r="B52" s="438" t="s">
        <v>7186</v>
      </c>
      <c r="C52" s="439">
        <v>24.6</v>
      </c>
      <c r="D52" s="437"/>
      <c r="E52" s="437" t="s">
        <v>289</v>
      </c>
      <c r="F52" s="437" t="s">
        <v>330</v>
      </c>
      <c r="G52" s="437" t="s">
        <v>7165</v>
      </c>
      <c r="H52" s="437">
        <v>3.5</v>
      </c>
    </row>
    <row r="53" spans="1:8">
      <c r="A53" s="437" t="s">
        <v>7149</v>
      </c>
      <c r="B53" s="438" t="s">
        <v>7187</v>
      </c>
      <c r="C53" s="439">
        <v>31</v>
      </c>
      <c r="D53" s="437"/>
      <c r="E53" s="437" t="s">
        <v>289</v>
      </c>
      <c r="F53" s="437" t="s">
        <v>330</v>
      </c>
      <c r="G53" s="437" t="s">
        <v>7165</v>
      </c>
      <c r="H53" s="437">
        <v>3.5</v>
      </c>
    </row>
    <row r="54" spans="1:8">
      <c r="A54" s="437" t="s">
        <v>7149</v>
      </c>
      <c r="B54" s="438" t="s">
        <v>7188</v>
      </c>
      <c r="C54" s="439">
        <v>192.7</v>
      </c>
      <c r="D54" s="437"/>
      <c r="E54" s="437" t="s">
        <v>289</v>
      </c>
      <c r="F54" s="437" t="s">
        <v>330</v>
      </c>
      <c r="G54" s="437" t="s">
        <v>7165</v>
      </c>
      <c r="H54" s="437">
        <v>3.5</v>
      </c>
    </row>
    <row r="55" spans="1:8">
      <c r="A55" s="437" t="s">
        <v>7149</v>
      </c>
      <c r="B55" s="438" t="s">
        <v>7189</v>
      </c>
      <c r="C55" s="439">
        <v>149.6</v>
      </c>
      <c r="D55" s="437"/>
      <c r="E55" s="437" t="s">
        <v>289</v>
      </c>
      <c r="F55" s="437" t="s">
        <v>330</v>
      </c>
      <c r="G55" s="437" t="s">
        <v>7165</v>
      </c>
      <c r="H55" s="437">
        <v>3.5</v>
      </c>
    </row>
    <row r="56" spans="1:8">
      <c r="A56" s="437" t="s">
        <v>7146</v>
      </c>
      <c r="B56" s="438" t="s">
        <v>7190</v>
      </c>
      <c r="C56" s="439">
        <v>171.2</v>
      </c>
      <c r="D56" s="437"/>
      <c r="E56" s="437" t="s">
        <v>292</v>
      </c>
      <c r="F56" s="437" t="s">
        <v>7155</v>
      </c>
      <c r="G56" s="437" t="s">
        <v>7155</v>
      </c>
      <c r="H56" s="437">
        <v>3.45</v>
      </c>
    </row>
    <row r="57" spans="1:8">
      <c r="A57" s="437" t="s">
        <v>7146</v>
      </c>
      <c r="B57" s="438" t="s">
        <v>7191</v>
      </c>
      <c r="C57" s="439">
        <v>171.2</v>
      </c>
      <c r="D57" s="437"/>
      <c r="E57" s="437" t="s">
        <v>292</v>
      </c>
      <c r="F57" s="437" t="s">
        <v>7155</v>
      </c>
      <c r="G57" s="437" t="s">
        <v>7155</v>
      </c>
      <c r="H57" s="437">
        <v>3.45</v>
      </c>
    </row>
    <row r="58" spans="1:8">
      <c r="A58" s="437" t="s">
        <v>7146</v>
      </c>
      <c r="B58" s="438" t="s">
        <v>7192</v>
      </c>
      <c r="C58" s="439">
        <v>171.2</v>
      </c>
      <c r="D58" s="437"/>
      <c r="E58" s="437" t="s">
        <v>292</v>
      </c>
      <c r="F58" s="437" t="s">
        <v>7155</v>
      </c>
      <c r="G58" s="437" t="s">
        <v>7155</v>
      </c>
      <c r="H58" s="437">
        <v>3.45</v>
      </c>
    </row>
    <row r="59" spans="1:8">
      <c r="A59" s="437" t="s">
        <v>7146</v>
      </c>
      <c r="B59" s="438" t="s">
        <v>7193</v>
      </c>
      <c r="C59" s="439">
        <v>171.2</v>
      </c>
      <c r="D59" s="437"/>
      <c r="E59" s="437" t="s">
        <v>292</v>
      </c>
      <c r="F59" s="437" t="s">
        <v>7155</v>
      </c>
      <c r="G59" s="437" t="s">
        <v>7155</v>
      </c>
      <c r="H59" s="437">
        <v>3.45</v>
      </c>
    </row>
    <row r="60" spans="1:8">
      <c r="A60" s="437" t="s">
        <v>7149</v>
      </c>
      <c r="B60" s="438" t="s">
        <v>7194</v>
      </c>
      <c r="C60" s="439">
        <v>142</v>
      </c>
      <c r="D60" s="437"/>
      <c r="E60" s="437" t="s">
        <v>292</v>
      </c>
      <c r="F60" s="437" t="s">
        <v>330</v>
      </c>
      <c r="G60" s="437" t="s">
        <v>7165</v>
      </c>
      <c r="H60" s="437">
        <v>3.5</v>
      </c>
    </row>
    <row r="61" spans="1:8">
      <c r="A61" s="437" t="s">
        <v>7149</v>
      </c>
      <c r="B61" s="438" t="s">
        <v>7195</v>
      </c>
      <c r="C61" s="439">
        <v>7.2</v>
      </c>
      <c r="D61" s="437"/>
      <c r="E61" s="437" t="s">
        <v>292</v>
      </c>
      <c r="F61" s="437" t="s">
        <v>7140</v>
      </c>
      <c r="G61" s="437" t="s">
        <v>7140</v>
      </c>
      <c r="H61" s="437">
        <v>3.4350000000000001</v>
      </c>
    </row>
    <row r="62" spans="1:8">
      <c r="A62" s="437" t="s">
        <v>7149</v>
      </c>
      <c r="B62" s="438" t="s">
        <v>7196</v>
      </c>
      <c r="C62" s="439">
        <v>7.1</v>
      </c>
      <c r="D62" s="437"/>
      <c r="E62" s="437" t="s">
        <v>292</v>
      </c>
      <c r="F62" s="437" t="s">
        <v>7140</v>
      </c>
      <c r="G62" s="437" t="s">
        <v>7140</v>
      </c>
      <c r="H62" s="437">
        <v>3.4350000000000001</v>
      </c>
    </row>
    <row r="63" spans="1:8">
      <c r="A63" s="437" t="s">
        <v>7146</v>
      </c>
      <c r="B63" s="438" t="s">
        <v>7197</v>
      </c>
      <c r="C63" s="439">
        <v>3.6</v>
      </c>
      <c r="D63" s="437"/>
      <c r="E63" s="437" t="s">
        <v>294</v>
      </c>
      <c r="F63" s="437" t="s">
        <v>328</v>
      </c>
      <c r="G63" s="437" t="s">
        <v>7160</v>
      </c>
      <c r="H63" s="437">
        <v>2.7</v>
      </c>
    </row>
    <row r="64" spans="1:8">
      <c r="A64" s="437" t="s">
        <v>7146</v>
      </c>
      <c r="B64" s="438" t="s">
        <v>7198</v>
      </c>
      <c r="C64" s="439">
        <v>1.8</v>
      </c>
      <c r="D64" s="437"/>
      <c r="E64" s="437" t="s">
        <v>294</v>
      </c>
      <c r="F64" s="437" t="s">
        <v>328</v>
      </c>
      <c r="G64" s="437" t="s">
        <v>7160</v>
      </c>
      <c r="H64" s="437">
        <v>2.7</v>
      </c>
    </row>
    <row r="65" spans="1:8">
      <c r="A65" s="437" t="s">
        <v>7146</v>
      </c>
      <c r="B65" s="438" t="s">
        <v>7199</v>
      </c>
      <c r="C65" s="439">
        <v>4</v>
      </c>
      <c r="D65" s="437"/>
      <c r="E65" s="437" t="s">
        <v>294</v>
      </c>
      <c r="F65" s="437" t="s">
        <v>328</v>
      </c>
      <c r="G65" s="437" t="s">
        <v>7160</v>
      </c>
      <c r="H65" s="437">
        <v>2.7</v>
      </c>
    </row>
    <row r="66" spans="1:8">
      <c r="A66" s="437" t="s">
        <v>7146</v>
      </c>
      <c r="B66" s="438" t="s">
        <v>7200</v>
      </c>
      <c r="C66" s="439">
        <v>1.7</v>
      </c>
      <c r="D66" s="437"/>
      <c r="E66" s="437" t="s">
        <v>294</v>
      </c>
      <c r="F66" s="437" t="s">
        <v>328</v>
      </c>
      <c r="G66" s="437" t="s">
        <v>7160</v>
      </c>
      <c r="H66" s="437">
        <v>2.7</v>
      </c>
    </row>
    <row r="67" spans="1:8">
      <c r="A67" s="437" t="s">
        <v>7146</v>
      </c>
      <c r="B67" s="438" t="s">
        <v>7201</v>
      </c>
      <c r="C67" s="439">
        <v>1.7</v>
      </c>
      <c r="D67" s="437"/>
      <c r="E67" s="437" t="s">
        <v>294</v>
      </c>
      <c r="F67" s="437" t="s">
        <v>328</v>
      </c>
      <c r="G67" s="437" t="s">
        <v>7160</v>
      </c>
      <c r="H67" s="437">
        <v>2.7</v>
      </c>
    </row>
    <row r="68" spans="1:8">
      <c r="A68" s="437" t="s">
        <v>7146</v>
      </c>
      <c r="B68" s="438" t="s">
        <v>7202</v>
      </c>
      <c r="C68" s="439">
        <v>5</v>
      </c>
      <c r="D68" s="437"/>
      <c r="E68" s="437" t="s">
        <v>294</v>
      </c>
      <c r="F68" s="437" t="s">
        <v>328</v>
      </c>
      <c r="G68" s="437" t="s">
        <v>7160</v>
      </c>
      <c r="H68" s="437">
        <v>2.7</v>
      </c>
    </row>
    <row r="69" spans="1:8">
      <c r="A69" s="437" t="s">
        <v>7149</v>
      </c>
      <c r="B69" s="438" t="s">
        <v>7203</v>
      </c>
      <c r="C69" s="439">
        <v>5.7</v>
      </c>
      <c r="D69" s="437"/>
      <c r="E69" s="437" t="s">
        <v>294</v>
      </c>
      <c r="F69" s="437" t="s">
        <v>328</v>
      </c>
      <c r="G69" s="437" t="s">
        <v>7160</v>
      </c>
      <c r="H69" s="437">
        <v>2.7</v>
      </c>
    </row>
    <row r="70" spans="1:8">
      <c r="A70" s="437" t="s">
        <v>7149</v>
      </c>
      <c r="B70" s="438" t="s">
        <v>7204</v>
      </c>
      <c r="C70" s="439">
        <v>2</v>
      </c>
      <c r="D70" s="437"/>
      <c r="E70" s="437" t="s">
        <v>294</v>
      </c>
      <c r="F70" s="437" t="s">
        <v>328</v>
      </c>
      <c r="G70" s="437" t="s">
        <v>7160</v>
      </c>
      <c r="H70" s="437">
        <v>2.7</v>
      </c>
    </row>
    <row r="71" spans="1:8">
      <c r="A71" s="437" t="s">
        <v>7149</v>
      </c>
      <c r="B71" s="438" t="s">
        <v>7205</v>
      </c>
      <c r="C71" s="439">
        <v>4.0999999999999996</v>
      </c>
      <c r="D71" s="437"/>
      <c r="E71" s="437" t="s">
        <v>294</v>
      </c>
      <c r="F71" s="437" t="s">
        <v>328</v>
      </c>
      <c r="G71" s="437" t="s">
        <v>7160</v>
      </c>
      <c r="H71" s="437">
        <v>2.7</v>
      </c>
    </row>
    <row r="72" spans="1:8">
      <c r="A72" s="437" t="s">
        <v>7149</v>
      </c>
      <c r="B72" s="438" t="s">
        <v>7206</v>
      </c>
      <c r="C72" s="439">
        <v>5.7</v>
      </c>
      <c r="D72" s="437"/>
      <c r="E72" s="437" t="s">
        <v>294</v>
      </c>
      <c r="F72" s="437" t="s">
        <v>328</v>
      </c>
      <c r="G72" s="437" t="s">
        <v>7160</v>
      </c>
      <c r="H72" s="437">
        <v>2.7</v>
      </c>
    </row>
    <row r="73" spans="1:8">
      <c r="A73" s="437" t="s">
        <v>7149</v>
      </c>
      <c r="B73" s="438" t="s">
        <v>7207</v>
      </c>
      <c r="C73" s="439">
        <v>1.7</v>
      </c>
      <c r="D73" s="437"/>
      <c r="E73" s="437" t="s">
        <v>294</v>
      </c>
      <c r="F73" s="437" t="s">
        <v>328</v>
      </c>
      <c r="G73" s="437" t="s">
        <v>7160</v>
      </c>
      <c r="H73" s="437">
        <v>2.7</v>
      </c>
    </row>
    <row r="74" spans="1:8">
      <c r="A74" s="437" t="s">
        <v>7149</v>
      </c>
      <c r="B74" s="438" t="s">
        <v>7208</v>
      </c>
      <c r="C74" s="439">
        <v>4.0999999999999996</v>
      </c>
      <c r="D74" s="437"/>
      <c r="E74" s="437" t="s">
        <v>294</v>
      </c>
      <c r="F74" s="437" t="s">
        <v>328</v>
      </c>
      <c r="G74" s="437" t="s">
        <v>7160</v>
      </c>
      <c r="H74" s="437">
        <v>2.7</v>
      </c>
    </row>
    <row r="75" spans="1:8">
      <c r="A75" s="437" t="s">
        <v>7149</v>
      </c>
      <c r="B75" s="438" t="s">
        <v>7209</v>
      </c>
      <c r="C75" s="439">
        <v>3.5</v>
      </c>
      <c r="D75" s="437"/>
      <c r="E75" s="437" t="s">
        <v>294</v>
      </c>
      <c r="F75" s="437" t="s">
        <v>328</v>
      </c>
      <c r="G75" s="437" t="s">
        <v>7160</v>
      </c>
      <c r="H75" s="437">
        <v>2.7</v>
      </c>
    </row>
    <row r="76" spans="1:8">
      <c r="A76" s="437" t="s">
        <v>7146</v>
      </c>
      <c r="B76" s="438" t="s">
        <v>7210</v>
      </c>
      <c r="C76" s="439">
        <v>6.1</v>
      </c>
      <c r="D76" s="437"/>
      <c r="E76" s="437" t="s">
        <v>296</v>
      </c>
      <c r="F76" s="437" t="s">
        <v>7140</v>
      </c>
      <c r="G76" s="437" t="s">
        <v>7140</v>
      </c>
      <c r="H76" s="437">
        <v>3.4350000000000001</v>
      </c>
    </row>
    <row r="77" spans="1:8">
      <c r="A77" s="437" t="s">
        <v>7149</v>
      </c>
      <c r="B77" s="438" t="s">
        <v>7211</v>
      </c>
      <c r="C77" s="439">
        <v>5.2</v>
      </c>
      <c r="D77" s="437"/>
      <c r="E77" s="437" t="s">
        <v>296</v>
      </c>
      <c r="F77" s="437" t="s">
        <v>7140</v>
      </c>
      <c r="G77" s="437" t="s">
        <v>7160</v>
      </c>
      <c r="H77" s="437">
        <v>3.4350000000000001</v>
      </c>
    </row>
    <row r="78" spans="1:8">
      <c r="A78" s="437" t="s">
        <v>7149</v>
      </c>
      <c r="B78" s="438" t="s">
        <v>7150</v>
      </c>
      <c r="C78" s="439">
        <f>42.2-9.39-8.4</f>
        <v>24.410000000000004</v>
      </c>
      <c r="D78" s="437"/>
      <c r="E78" s="437" t="s">
        <v>298</v>
      </c>
      <c r="F78" s="437" t="s">
        <v>7140</v>
      </c>
      <c r="G78" s="437" t="s">
        <v>7140</v>
      </c>
      <c r="H78" s="437">
        <v>3.4350000000000001</v>
      </c>
    </row>
    <row r="79" spans="1:8">
      <c r="A79" s="437" t="s">
        <v>7149</v>
      </c>
      <c r="B79" s="438" t="s">
        <v>7151</v>
      </c>
      <c r="C79" s="439">
        <f>42.2-9.39-8.4</f>
        <v>24.410000000000004</v>
      </c>
      <c r="D79" s="437"/>
      <c r="E79" s="437" t="s">
        <v>298</v>
      </c>
      <c r="F79" s="437" t="s">
        <v>7140</v>
      </c>
      <c r="G79" s="437" t="s">
        <v>7140</v>
      </c>
      <c r="H79" s="437">
        <v>3.4350000000000001</v>
      </c>
    </row>
    <row r="80" spans="1:8">
      <c r="A80" s="437" t="s">
        <v>7149</v>
      </c>
      <c r="B80" s="438" t="s">
        <v>7212</v>
      </c>
      <c r="C80" s="439">
        <v>180.1</v>
      </c>
      <c r="D80" s="437"/>
      <c r="E80" s="437" t="s">
        <v>298</v>
      </c>
      <c r="F80" s="437" t="s">
        <v>328</v>
      </c>
      <c r="G80" s="437" t="s">
        <v>7140</v>
      </c>
      <c r="H80" s="437">
        <v>3</v>
      </c>
    </row>
    <row r="81" spans="1:8">
      <c r="A81" s="437" t="s">
        <v>7175</v>
      </c>
      <c r="B81" s="438" t="s">
        <v>7213</v>
      </c>
      <c r="C81" s="439">
        <v>171.2</v>
      </c>
      <c r="D81" s="437"/>
      <c r="E81" s="437" t="s">
        <v>300</v>
      </c>
      <c r="F81" s="437" t="s">
        <v>7155</v>
      </c>
      <c r="G81" s="437" t="s">
        <v>7214</v>
      </c>
      <c r="H81" s="437">
        <v>2.36</v>
      </c>
    </row>
    <row r="82" spans="1:8">
      <c r="A82" s="437" t="s">
        <v>7175</v>
      </c>
      <c r="B82" s="438" t="s">
        <v>7215</v>
      </c>
      <c r="C82" s="439">
        <v>10</v>
      </c>
      <c r="D82" s="437"/>
      <c r="E82" s="437" t="s">
        <v>300</v>
      </c>
      <c r="F82" s="437" t="s">
        <v>7155</v>
      </c>
      <c r="G82" s="437" t="s">
        <v>7214</v>
      </c>
      <c r="H82" s="437">
        <v>2.36</v>
      </c>
    </row>
    <row r="83" spans="1:8">
      <c r="A83" s="437" t="s">
        <v>7175</v>
      </c>
      <c r="B83" s="438" t="s">
        <v>7216</v>
      </c>
      <c r="C83" s="439">
        <v>13.9</v>
      </c>
      <c r="D83" s="437"/>
      <c r="E83" s="437" t="s">
        <v>300</v>
      </c>
      <c r="F83" s="437" t="s">
        <v>7155</v>
      </c>
      <c r="G83" s="437" t="s">
        <v>7214</v>
      </c>
      <c r="H83" s="437">
        <v>2.36</v>
      </c>
    </row>
    <row r="84" spans="1:8">
      <c r="A84" s="437" t="s">
        <v>7149</v>
      </c>
      <c r="B84" s="438" t="s">
        <v>7217</v>
      </c>
      <c r="C84" s="439">
        <v>8.8000000000000007</v>
      </c>
      <c r="D84" s="437"/>
      <c r="E84" s="437" t="s">
        <v>7218</v>
      </c>
      <c r="F84" s="437" t="s">
        <v>7219</v>
      </c>
      <c r="G84" s="437" t="s">
        <v>7219</v>
      </c>
      <c r="H84" s="437"/>
    </row>
    <row r="85" spans="1:8">
      <c r="A85" s="437" t="s">
        <v>7149</v>
      </c>
      <c r="B85" s="438" t="s">
        <v>7220</v>
      </c>
      <c r="C85" s="439">
        <v>8.8000000000000007</v>
      </c>
      <c r="D85" s="437"/>
      <c r="E85" s="437" t="s">
        <v>7218</v>
      </c>
      <c r="F85" s="437" t="s">
        <v>7219</v>
      </c>
      <c r="G85" s="437" t="s">
        <v>7219</v>
      </c>
      <c r="H85" s="437"/>
    </row>
    <row r="86" spans="1:8">
      <c r="A86" s="437" t="s">
        <v>7138</v>
      </c>
      <c r="B86" s="438" t="s">
        <v>7221</v>
      </c>
      <c r="C86" s="439">
        <v>5.8</v>
      </c>
      <c r="D86" s="437"/>
      <c r="E86" s="437" t="s">
        <v>7155</v>
      </c>
      <c r="F86" s="437" t="s">
        <v>7219</v>
      </c>
      <c r="G86" s="437" t="s">
        <v>7155</v>
      </c>
      <c r="H86" s="437"/>
    </row>
    <row r="87" spans="1:8">
      <c r="A87" s="437" t="s">
        <v>7138</v>
      </c>
      <c r="B87" s="438" t="s">
        <v>7222</v>
      </c>
      <c r="C87" s="439">
        <v>5.8</v>
      </c>
      <c r="D87" s="437"/>
      <c r="E87" s="437" t="s">
        <v>7155</v>
      </c>
      <c r="F87" s="437" t="s">
        <v>7219</v>
      </c>
      <c r="G87" s="437" t="s">
        <v>7155</v>
      </c>
      <c r="H87" s="437"/>
    </row>
    <row r="88" spans="1:8">
      <c r="A88" s="437" t="s">
        <v>7138</v>
      </c>
      <c r="B88" s="438" t="s">
        <v>7223</v>
      </c>
      <c r="C88" s="439">
        <v>2.2000000000000002</v>
      </c>
      <c r="D88" s="437"/>
      <c r="E88" s="437" t="s">
        <v>7219</v>
      </c>
      <c r="F88" s="437" t="s">
        <v>7219</v>
      </c>
      <c r="G88" s="437" t="s">
        <v>7219</v>
      </c>
      <c r="H88" s="437"/>
    </row>
    <row r="89" spans="1:8">
      <c r="A89" s="437" t="s">
        <v>7146</v>
      </c>
      <c r="B89" s="438" t="s">
        <v>7224</v>
      </c>
      <c r="C89" s="439">
        <v>0.5</v>
      </c>
      <c r="D89" s="437"/>
      <c r="E89" s="437" t="s">
        <v>7219</v>
      </c>
      <c r="F89" s="437" t="s">
        <v>7219</v>
      </c>
      <c r="G89" s="437" t="s">
        <v>7140</v>
      </c>
      <c r="H89" s="437"/>
    </row>
    <row r="90" spans="1:8">
      <c r="A90" s="437" t="s">
        <v>7146</v>
      </c>
      <c r="B90" s="438" t="s">
        <v>7225</v>
      </c>
      <c r="C90" s="439">
        <v>0.5</v>
      </c>
      <c r="D90" s="437"/>
      <c r="E90" s="437" t="s">
        <v>7219</v>
      </c>
      <c r="F90" s="437" t="s">
        <v>7219</v>
      </c>
      <c r="G90" s="437" t="s">
        <v>7140</v>
      </c>
      <c r="H90" s="437"/>
    </row>
    <row r="91" spans="1:8">
      <c r="A91" s="437" t="s">
        <v>7146</v>
      </c>
      <c r="B91" s="438" t="s">
        <v>7226</v>
      </c>
      <c r="C91" s="439">
        <v>5.8</v>
      </c>
      <c r="D91" s="437"/>
      <c r="E91" s="437" t="s">
        <v>7219</v>
      </c>
      <c r="F91" s="437" t="s">
        <v>7219</v>
      </c>
      <c r="G91" s="437" t="s">
        <v>7155</v>
      </c>
      <c r="H91" s="437"/>
    </row>
    <row r="92" spans="1:8">
      <c r="A92" s="437" t="s">
        <v>7146</v>
      </c>
      <c r="B92" s="438" t="s">
        <v>7227</v>
      </c>
      <c r="C92" s="439">
        <v>5.8</v>
      </c>
      <c r="D92" s="437"/>
      <c r="E92" s="437" t="s">
        <v>7219</v>
      </c>
      <c r="F92" s="437" t="s">
        <v>7219</v>
      </c>
      <c r="G92" s="437" t="s">
        <v>7155</v>
      </c>
      <c r="H92" s="437"/>
    </row>
    <row r="93" spans="1:8">
      <c r="A93" s="437" t="s">
        <v>7146</v>
      </c>
      <c r="B93" s="438" t="s">
        <v>7223</v>
      </c>
      <c r="C93" s="439">
        <v>6.1</v>
      </c>
      <c r="D93" s="437"/>
      <c r="E93" s="437" t="s">
        <v>7219</v>
      </c>
      <c r="F93" s="437" t="s">
        <v>7219</v>
      </c>
      <c r="G93" s="437" t="s">
        <v>7219</v>
      </c>
      <c r="H93" s="437"/>
    </row>
    <row r="94" spans="1:8">
      <c r="A94" s="437" t="s">
        <v>7149</v>
      </c>
      <c r="B94" s="438" t="s">
        <v>7224</v>
      </c>
      <c r="C94" s="439">
        <v>0.5</v>
      </c>
      <c r="D94" s="437"/>
      <c r="E94" s="437" t="s">
        <v>7219</v>
      </c>
      <c r="F94" s="437" t="s">
        <v>7219</v>
      </c>
      <c r="G94" s="437" t="s">
        <v>7140</v>
      </c>
      <c r="H94" s="437"/>
    </row>
    <row r="95" spans="1:8">
      <c r="A95" s="437" t="s">
        <v>7149</v>
      </c>
      <c r="B95" s="438" t="s">
        <v>7225</v>
      </c>
      <c r="C95" s="439">
        <v>0.5</v>
      </c>
      <c r="D95" s="437"/>
      <c r="E95" s="437" t="s">
        <v>7219</v>
      </c>
      <c r="F95" s="437" t="s">
        <v>7219</v>
      </c>
      <c r="G95" s="437" t="s">
        <v>7140</v>
      </c>
      <c r="H95" s="437"/>
    </row>
    <row r="96" spans="1:8">
      <c r="A96" s="437" t="s">
        <v>7149</v>
      </c>
      <c r="B96" s="438" t="s">
        <v>7228</v>
      </c>
      <c r="C96" s="439">
        <v>5.8</v>
      </c>
      <c r="D96" s="437"/>
      <c r="E96" s="437" t="s">
        <v>7219</v>
      </c>
      <c r="F96" s="437" t="s">
        <v>7219</v>
      </c>
      <c r="G96" s="437" t="s">
        <v>7155</v>
      </c>
      <c r="H96" s="437"/>
    </row>
    <row r="97" spans="1:8">
      <c r="A97" s="437" t="s">
        <v>7149</v>
      </c>
      <c r="B97" s="438" t="s">
        <v>7229</v>
      </c>
      <c r="C97" s="439">
        <v>5.8</v>
      </c>
      <c r="D97" s="437"/>
      <c r="E97" s="437" t="s">
        <v>7219</v>
      </c>
      <c r="F97" s="437" t="s">
        <v>7219</v>
      </c>
      <c r="G97" s="437" t="s">
        <v>7155</v>
      </c>
      <c r="H97" s="437"/>
    </row>
    <row r="98" spans="1:8">
      <c r="A98" s="437" t="s">
        <v>7149</v>
      </c>
      <c r="B98" s="438" t="s">
        <v>7223</v>
      </c>
      <c r="C98" s="439">
        <v>5.8</v>
      </c>
      <c r="D98" s="437"/>
      <c r="E98" s="437" t="s">
        <v>7219</v>
      </c>
      <c r="F98" s="437" t="s">
        <v>7219</v>
      </c>
      <c r="G98" s="437" t="s">
        <v>7219</v>
      </c>
      <c r="H98" s="437"/>
    </row>
    <row r="99" spans="1:8">
      <c r="A99" s="437" t="s">
        <v>7175</v>
      </c>
      <c r="B99" s="438" t="s">
        <v>7230</v>
      </c>
      <c r="C99" s="439">
        <v>5.8</v>
      </c>
      <c r="D99" s="437"/>
      <c r="E99" s="437" t="s">
        <v>7219</v>
      </c>
      <c r="F99" s="437" t="s">
        <v>7155</v>
      </c>
      <c r="G99" s="437" t="s">
        <v>7155</v>
      </c>
      <c r="H99" s="437">
        <v>16.52</v>
      </c>
    </row>
    <row r="100" spans="1:8">
      <c r="A100" s="437" t="s">
        <v>7175</v>
      </c>
      <c r="B100" s="438" t="s">
        <v>7231</v>
      </c>
      <c r="C100" s="439">
        <v>5.8</v>
      </c>
      <c r="D100" s="437"/>
      <c r="E100" s="437" t="s">
        <v>7219</v>
      </c>
      <c r="F100" s="437" t="s">
        <v>7219</v>
      </c>
      <c r="G100" s="437" t="s">
        <v>7155</v>
      </c>
      <c r="H100" s="437"/>
    </row>
    <row r="101" spans="1:8">
      <c r="A101" s="437" t="s">
        <v>7175</v>
      </c>
      <c r="B101" s="438" t="s">
        <v>7223</v>
      </c>
      <c r="C101" s="439">
        <v>5.3</v>
      </c>
      <c r="D101" s="437"/>
      <c r="E101" s="437" t="s">
        <v>7219</v>
      </c>
      <c r="F101" s="437" t="s">
        <v>7219</v>
      </c>
      <c r="G101" s="437" t="s">
        <v>7219</v>
      </c>
      <c r="H101" s="437"/>
    </row>
    <row r="104" spans="1:8">
      <c r="A104" s="437" t="s">
        <v>268</v>
      </c>
      <c r="B104" s="439">
        <f>SUM(C3:C4)</f>
        <v>16.399999999999999</v>
      </c>
      <c r="C104" s="432" t="s">
        <v>398</v>
      </c>
    </row>
    <row r="105" spans="1:8">
      <c r="A105" s="437" t="s">
        <v>270</v>
      </c>
      <c r="B105" s="439">
        <f>SUM(C5:C7)</f>
        <v>98.960000000000008</v>
      </c>
      <c r="C105" s="432" t="s">
        <v>398</v>
      </c>
    </row>
    <row r="106" spans="1:8">
      <c r="A106" s="437" t="s">
        <v>7145</v>
      </c>
      <c r="B106" s="439">
        <f>SUM(C8:C13)</f>
        <v>95.120799999999988</v>
      </c>
      <c r="C106" s="432" t="s">
        <v>398</v>
      </c>
    </row>
    <row r="107" spans="1:8">
      <c r="A107" s="437" t="s">
        <v>274</v>
      </c>
      <c r="B107" s="439">
        <f>SUM(C14:C19)</f>
        <v>47.099999999999994</v>
      </c>
      <c r="C107" s="432" t="s">
        <v>398</v>
      </c>
    </row>
    <row r="108" spans="1:8">
      <c r="A108" s="437" t="s">
        <v>276</v>
      </c>
      <c r="B108" s="439">
        <f>SUM(C20:C21)</f>
        <v>110.30000000000001</v>
      </c>
      <c r="C108" s="432" t="s">
        <v>398</v>
      </c>
    </row>
    <row r="109" spans="1:8">
      <c r="A109" s="437" t="s">
        <v>278</v>
      </c>
      <c r="B109" s="439">
        <f>SUM(C22:C26)</f>
        <v>712.69999999999993</v>
      </c>
      <c r="C109" s="432" t="s">
        <v>398</v>
      </c>
    </row>
    <row r="110" spans="1:8">
      <c r="A110" s="437" t="s">
        <v>280</v>
      </c>
      <c r="B110" s="439">
        <f>SUM(C27:C30)</f>
        <v>16</v>
      </c>
      <c r="C110" s="432" t="s">
        <v>398</v>
      </c>
    </row>
    <row r="111" spans="1:8">
      <c r="A111" s="437" t="s">
        <v>283</v>
      </c>
      <c r="B111" s="439">
        <f>SUM(C31:C33)</f>
        <v>19</v>
      </c>
      <c r="C111" s="432" t="s">
        <v>398</v>
      </c>
    </row>
    <row r="112" spans="1:8">
      <c r="A112" s="437" t="s">
        <v>286</v>
      </c>
      <c r="B112" s="439">
        <f>SUM(C34:C43)</f>
        <v>182.12</v>
      </c>
      <c r="C112" s="432" t="s">
        <v>398</v>
      </c>
    </row>
    <row r="113" spans="1:3">
      <c r="A113" s="437" t="s">
        <v>289</v>
      </c>
      <c r="B113" s="439">
        <f>SUM(C44:C55)</f>
        <v>661.6</v>
      </c>
      <c r="C113" s="432" t="s">
        <v>398</v>
      </c>
    </row>
    <row r="114" spans="1:3">
      <c r="A114" s="437" t="s">
        <v>292</v>
      </c>
      <c r="B114" s="439">
        <f>SUM(C56:C62)</f>
        <v>841.1</v>
      </c>
      <c r="C114" s="432" t="s">
        <v>398</v>
      </c>
    </row>
    <row r="115" spans="1:3">
      <c r="A115" s="437" t="s">
        <v>294</v>
      </c>
      <c r="B115" s="439">
        <f>SUM(C63:C75)</f>
        <v>44.6</v>
      </c>
      <c r="C115" s="432" t="s">
        <v>398</v>
      </c>
    </row>
    <row r="116" spans="1:3">
      <c r="A116" s="437" t="s">
        <v>296</v>
      </c>
      <c r="B116" s="439">
        <f>SUM(C76:C77)</f>
        <v>11.3</v>
      </c>
      <c r="C116" s="432" t="s">
        <v>398</v>
      </c>
    </row>
    <row r="117" spans="1:3">
      <c r="A117" s="437" t="s">
        <v>298</v>
      </c>
      <c r="B117" s="439">
        <f>SUM(C78:C80)</f>
        <v>228.92000000000002</v>
      </c>
      <c r="C117" s="432" t="s">
        <v>398</v>
      </c>
    </row>
    <row r="118" spans="1:3">
      <c r="A118" s="437" t="s">
        <v>300</v>
      </c>
      <c r="B118" s="439">
        <f>SUM(C81:C83)</f>
        <v>195.1</v>
      </c>
      <c r="C118" s="432" t="s">
        <v>398</v>
      </c>
    </row>
    <row r="119" spans="1:3">
      <c r="A119" s="437" t="s">
        <v>7218</v>
      </c>
      <c r="B119" s="439">
        <f>SUM(C84:C85)</f>
        <v>17.600000000000001</v>
      </c>
      <c r="C119" s="432" t="s">
        <v>398</v>
      </c>
    </row>
    <row r="120" spans="1:3">
      <c r="A120" s="437" t="s">
        <v>7155</v>
      </c>
      <c r="B120" s="439">
        <f>SUM(C86:C87)</f>
        <v>11.6</v>
      </c>
      <c r="C120" s="432" t="s">
        <v>398</v>
      </c>
    </row>
  </sheetData>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498E-9F7E-4817-9481-25F0BE83D18B}">
  <dimension ref="A1:I99"/>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42"/>
    <col min="2" max="2" width="9.33203125" style="441"/>
    <col min="3" max="16384" width="9.33203125" style="442"/>
  </cols>
  <sheetData>
    <row r="1" spans="1:8" ht="27" customHeight="1">
      <c r="A1" s="440" t="s">
        <v>7232</v>
      </c>
    </row>
    <row r="2" spans="1:8">
      <c r="A2" s="443" t="s">
        <v>7132</v>
      </c>
      <c r="B2" s="444" t="s">
        <v>7133</v>
      </c>
      <c r="C2" s="443" t="s">
        <v>398</v>
      </c>
      <c r="D2" s="443" t="s">
        <v>7134</v>
      </c>
      <c r="E2" s="443" t="s">
        <v>7135</v>
      </c>
      <c r="F2" s="443" t="s">
        <v>7136</v>
      </c>
      <c r="G2" s="443" t="s">
        <v>1402</v>
      </c>
      <c r="H2" s="443" t="s">
        <v>7137</v>
      </c>
    </row>
    <row r="3" spans="1:8">
      <c r="A3" s="445" t="s">
        <v>7138</v>
      </c>
      <c r="B3" s="446" t="s">
        <v>7139</v>
      </c>
      <c r="C3" s="445">
        <v>8.1999999999999993</v>
      </c>
      <c r="D3" s="445"/>
      <c r="E3" s="445" t="s">
        <v>268</v>
      </c>
      <c r="F3" s="445" t="s">
        <v>7140</v>
      </c>
      <c r="G3" s="445" t="s">
        <v>7140</v>
      </c>
      <c r="H3" s="445">
        <v>3.4350000000000001</v>
      </c>
    </row>
    <row r="4" spans="1:8">
      <c r="A4" s="445" t="s">
        <v>7138</v>
      </c>
      <c r="B4" s="446" t="s">
        <v>7141</v>
      </c>
      <c r="C4" s="445">
        <v>8.1999999999999993</v>
      </c>
      <c r="D4" s="445"/>
      <c r="E4" s="445" t="s">
        <v>268</v>
      </c>
      <c r="F4" s="445" t="s">
        <v>7140</v>
      </c>
      <c r="G4" s="445" t="s">
        <v>7140</v>
      </c>
      <c r="H4" s="445">
        <v>3.4350000000000001</v>
      </c>
    </row>
    <row r="5" spans="1:8">
      <c r="A5" s="445" t="s">
        <v>7138</v>
      </c>
      <c r="B5" s="446" t="s">
        <v>7142</v>
      </c>
      <c r="C5" s="445">
        <v>33.4</v>
      </c>
      <c r="D5" s="445"/>
      <c r="E5" s="445" t="s">
        <v>7233</v>
      </c>
      <c r="F5" s="445" t="s">
        <v>7140</v>
      </c>
      <c r="G5" s="445" t="s">
        <v>7140</v>
      </c>
      <c r="H5" s="445">
        <v>3.4350000000000001</v>
      </c>
    </row>
    <row r="6" spans="1:8">
      <c r="A6" s="445" t="s">
        <v>7138</v>
      </c>
      <c r="B6" s="446" t="s">
        <v>7143</v>
      </c>
      <c r="C6" s="445">
        <v>33.4</v>
      </c>
      <c r="D6" s="445"/>
      <c r="E6" s="445" t="s">
        <v>7233</v>
      </c>
      <c r="F6" s="445" t="s">
        <v>7140</v>
      </c>
      <c r="G6" s="445" t="s">
        <v>7140</v>
      </c>
      <c r="H6" s="445">
        <v>3.4350000000000001</v>
      </c>
    </row>
    <row r="7" spans="1:8">
      <c r="A7" s="445" t="s">
        <v>7146</v>
      </c>
      <c r="B7" s="446" t="s">
        <v>7147</v>
      </c>
      <c r="C7" s="445">
        <v>42.2</v>
      </c>
      <c r="D7" s="445"/>
      <c r="E7" s="445" t="s">
        <v>7234</v>
      </c>
      <c r="F7" s="445" t="s">
        <v>7140</v>
      </c>
      <c r="G7" s="445" t="s">
        <v>7140</v>
      </c>
      <c r="H7" s="445">
        <v>3.4350000000000001</v>
      </c>
    </row>
    <row r="8" spans="1:8">
      <c r="A8" s="445" t="s">
        <v>7146</v>
      </c>
      <c r="B8" s="446" t="s">
        <v>7178</v>
      </c>
      <c r="C8" s="445">
        <v>42.2</v>
      </c>
      <c r="D8" s="445"/>
      <c r="E8" s="445" t="s">
        <v>7234</v>
      </c>
      <c r="F8" s="445" t="s">
        <v>7140</v>
      </c>
      <c r="G8" s="445" t="s">
        <v>7140</v>
      </c>
      <c r="H8" s="445">
        <v>3.4350000000000001</v>
      </c>
    </row>
    <row r="9" spans="1:8">
      <c r="A9" s="445" t="s">
        <v>7146</v>
      </c>
      <c r="B9" s="446" t="s">
        <v>7210</v>
      </c>
      <c r="C9" s="445">
        <v>6.1</v>
      </c>
      <c r="D9" s="445"/>
      <c r="E9" s="445" t="s">
        <v>296</v>
      </c>
      <c r="F9" s="445" t="s">
        <v>7140</v>
      </c>
      <c r="G9" s="445" t="s">
        <v>7140</v>
      </c>
      <c r="H9" s="445">
        <v>3.4350000000000001</v>
      </c>
    </row>
    <row r="10" spans="1:8">
      <c r="A10" s="445" t="s">
        <v>7149</v>
      </c>
      <c r="B10" s="446" t="s">
        <v>7150</v>
      </c>
      <c r="C10" s="445">
        <v>42.2</v>
      </c>
      <c r="D10" s="445"/>
      <c r="E10" s="445" t="s">
        <v>7235</v>
      </c>
      <c r="F10" s="445" t="s">
        <v>7140</v>
      </c>
      <c r="G10" s="445" t="s">
        <v>7140</v>
      </c>
      <c r="H10" s="445">
        <v>3.4350000000000001</v>
      </c>
    </row>
    <row r="11" spans="1:8">
      <c r="A11" s="445" t="s">
        <v>7149</v>
      </c>
      <c r="B11" s="446" t="s">
        <v>7151</v>
      </c>
      <c r="C11" s="445">
        <v>42.2</v>
      </c>
      <c r="D11" s="445"/>
      <c r="E11" s="445" t="s">
        <v>7235</v>
      </c>
      <c r="F11" s="445" t="s">
        <v>7140</v>
      </c>
      <c r="G11" s="445" t="s">
        <v>7140</v>
      </c>
      <c r="H11" s="445">
        <v>3.4350000000000001</v>
      </c>
    </row>
    <row r="12" spans="1:8">
      <c r="A12" s="445" t="s">
        <v>7149</v>
      </c>
      <c r="B12" s="446" t="s">
        <v>7172</v>
      </c>
      <c r="C12" s="445">
        <v>4.9000000000000004</v>
      </c>
      <c r="D12" s="445"/>
      <c r="E12" s="445" t="s">
        <v>286</v>
      </c>
      <c r="F12" s="445" t="s">
        <v>7140</v>
      </c>
      <c r="G12" s="445" t="s">
        <v>7140</v>
      </c>
      <c r="H12" s="445">
        <v>3.4350000000000001</v>
      </c>
    </row>
    <row r="13" spans="1:8">
      <c r="A13" s="445" t="s">
        <v>7149</v>
      </c>
      <c r="B13" s="446" t="s">
        <v>7195</v>
      </c>
      <c r="C13" s="445">
        <v>7.2</v>
      </c>
      <c r="D13" s="445"/>
      <c r="E13" s="445" t="s">
        <v>292</v>
      </c>
      <c r="F13" s="445" t="s">
        <v>7140</v>
      </c>
      <c r="G13" s="445" t="s">
        <v>7140</v>
      </c>
      <c r="H13" s="445">
        <v>3.4350000000000001</v>
      </c>
    </row>
    <row r="14" spans="1:8">
      <c r="A14" s="445" t="s">
        <v>7149</v>
      </c>
      <c r="B14" s="446" t="s">
        <v>7196</v>
      </c>
      <c r="C14" s="445">
        <v>7.1</v>
      </c>
      <c r="D14" s="445"/>
      <c r="E14" s="445" t="s">
        <v>292</v>
      </c>
      <c r="F14" s="445" t="s">
        <v>7140</v>
      </c>
      <c r="G14" s="445" t="s">
        <v>7140</v>
      </c>
      <c r="H14" s="445">
        <v>3.4350000000000001</v>
      </c>
    </row>
    <row r="15" spans="1:8">
      <c r="A15" s="445" t="s">
        <v>7149</v>
      </c>
      <c r="B15" s="446" t="s">
        <v>7211</v>
      </c>
      <c r="C15" s="445">
        <v>5.2</v>
      </c>
      <c r="D15" s="445"/>
      <c r="E15" s="445" t="s">
        <v>296</v>
      </c>
      <c r="F15" s="445" t="s">
        <v>7140</v>
      </c>
      <c r="G15" s="445" t="s">
        <v>7160</v>
      </c>
      <c r="H15" s="445">
        <v>3.4350000000000001</v>
      </c>
    </row>
    <row r="16" spans="1:8">
      <c r="A16" s="445" t="s">
        <v>7138</v>
      </c>
      <c r="B16" s="446" t="s">
        <v>7168</v>
      </c>
      <c r="C16" s="445">
        <v>11.7</v>
      </c>
      <c r="D16" s="445"/>
      <c r="E16" s="445" t="s">
        <v>283</v>
      </c>
      <c r="F16" s="445" t="s">
        <v>7155</v>
      </c>
      <c r="G16" s="445" t="s">
        <v>7140</v>
      </c>
      <c r="H16" s="445">
        <v>3.45</v>
      </c>
    </row>
    <row r="17" spans="1:8">
      <c r="A17" s="445" t="s">
        <v>7175</v>
      </c>
      <c r="B17" s="446" t="s">
        <v>7213</v>
      </c>
      <c r="C17" s="445">
        <v>171.2</v>
      </c>
      <c r="D17" s="445"/>
      <c r="E17" s="445" t="s">
        <v>300</v>
      </c>
      <c r="F17" s="445" t="s">
        <v>7155</v>
      </c>
      <c r="G17" s="445" t="s">
        <v>7214</v>
      </c>
      <c r="H17" s="445">
        <v>2.36</v>
      </c>
    </row>
    <row r="18" spans="1:8">
      <c r="A18" s="445" t="s">
        <v>7175</v>
      </c>
      <c r="B18" s="446" t="s">
        <v>7215</v>
      </c>
      <c r="C18" s="445">
        <v>10</v>
      </c>
      <c r="D18" s="445"/>
      <c r="E18" s="445" t="s">
        <v>300</v>
      </c>
      <c r="F18" s="445" t="s">
        <v>7155</v>
      </c>
      <c r="G18" s="445" t="s">
        <v>7214</v>
      </c>
      <c r="H18" s="445">
        <v>2.36</v>
      </c>
    </row>
    <row r="19" spans="1:8">
      <c r="A19" s="445" t="s">
        <v>7175</v>
      </c>
      <c r="B19" s="446" t="s">
        <v>7216</v>
      </c>
      <c r="C19" s="445">
        <v>13.9</v>
      </c>
      <c r="D19" s="445"/>
      <c r="E19" s="445" t="s">
        <v>300</v>
      </c>
      <c r="F19" s="445" t="s">
        <v>7155</v>
      </c>
      <c r="G19" s="445" t="s">
        <v>7214</v>
      </c>
      <c r="H19" s="445">
        <v>2.36</v>
      </c>
    </row>
    <row r="20" spans="1:8">
      <c r="A20" s="445" t="s">
        <v>7175</v>
      </c>
      <c r="B20" s="446" t="s">
        <v>7230</v>
      </c>
      <c r="C20" s="445">
        <v>5.8</v>
      </c>
      <c r="D20" s="445"/>
      <c r="E20" s="445" t="s">
        <v>7219</v>
      </c>
      <c r="F20" s="445" t="s">
        <v>7155</v>
      </c>
      <c r="G20" s="445" t="s">
        <v>7155</v>
      </c>
      <c r="H20" s="445">
        <v>16.52</v>
      </c>
    </row>
    <row r="21" spans="1:8">
      <c r="A21" s="445" t="s">
        <v>7175</v>
      </c>
      <c r="B21" s="446" t="s">
        <v>7231</v>
      </c>
      <c r="C21" s="445">
        <v>5.8</v>
      </c>
      <c r="D21" s="445"/>
      <c r="E21" s="445" t="s">
        <v>7219</v>
      </c>
      <c r="F21" s="447" t="s">
        <v>7155</v>
      </c>
      <c r="G21" s="445" t="s">
        <v>7155</v>
      </c>
      <c r="H21" s="445"/>
    </row>
    <row r="22" spans="1:8">
      <c r="A22" s="445" t="s">
        <v>7138</v>
      </c>
      <c r="B22" s="446" t="s">
        <v>7164</v>
      </c>
      <c r="C22" s="445">
        <v>7.4</v>
      </c>
      <c r="D22" s="445"/>
      <c r="E22" s="445" t="s">
        <v>280</v>
      </c>
      <c r="F22" s="445" t="s">
        <v>7165</v>
      </c>
      <c r="G22" s="445" t="s">
        <v>7160</v>
      </c>
      <c r="H22" s="445">
        <v>2.2549999999999999</v>
      </c>
    </row>
    <row r="23" spans="1:8">
      <c r="A23" s="445" t="s">
        <v>7138</v>
      </c>
      <c r="B23" s="446" t="s">
        <v>7166</v>
      </c>
      <c r="C23" s="445">
        <v>4.2</v>
      </c>
      <c r="D23" s="445"/>
      <c r="E23" s="445" t="s">
        <v>283</v>
      </c>
      <c r="F23" s="445" t="s">
        <v>7165</v>
      </c>
      <c r="G23" s="445" t="s">
        <v>7140</v>
      </c>
      <c r="H23" s="445">
        <v>2.2549999999999999</v>
      </c>
    </row>
    <row r="24" spans="1:8">
      <c r="A24" s="445" t="s">
        <v>7138</v>
      </c>
      <c r="B24" s="446" t="s">
        <v>7167</v>
      </c>
      <c r="C24" s="445">
        <v>3.1</v>
      </c>
      <c r="D24" s="445"/>
      <c r="E24" s="445" t="s">
        <v>283</v>
      </c>
      <c r="F24" s="445" t="s">
        <v>7165</v>
      </c>
      <c r="G24" s="445" t="s">
        <v>7140</v>
      </c>
      <c r="H24" s="445">
        <v>2.2549999999999999</v>
      </c>
    </row>
    <row r="25" spans="1:8">
      <c r="A25" s="445" t="s">
        <v>7149</v>
      </c>
      <c r="B25" s="446" t="s">
        <v>7173</v>
      </c>
      <c r="C25" s="445">
        <v>7.1</v>
      </c>
      <c r="D25" s="445"/>
      <c r="E25" s="445" t="s">
        <v>286</v>
      </c>
      <c r="F25" s="445" t="s">
        <v>328</v>
      </c>
      <c r="G25" s="445" t="s">
        <v>7140</v>
      </c>
      <c r="H25" s="445">
        <v>3.4350000000000001</v>
      </c>
    </row>
    <row r="26" spans="1:8">
      <c r="A26" s="445" t="s">
        <v>7138</v>
      </c>
      <c r="B26" s="446" t="s">
        <v>7159</v>
      </c>
      <c r="C26" s="445">
        <v>27.9</v>
      </c>
      <c r="D26" s="445"/>
      <c r="E26" s="445" t="s">
        <v>278</v>
      </c>
      <c r="F26" s="445" t="s">
        <v>328</v>
      </c>
      <c r="G26" s="445" t="s">
        <v>7160</v>
      </c>
      <c r="H26" s="445">
        <v>3.45</v>
      </c>
    </row>
    <row r="27" spans="1:8">
      <c r="A27" s="445" t="s">
        <v>7175</v>
      </c>
      <c r="B27" s="446" t="s">
        <v>7176</v>
      </c>
      <c r="C27" s="445">
        <v>15.6</v>
      </c>
      <c r="D27" s="445"/>
      <c r="E27" s="445" t="s">
        <v>7234</v>
      </c>
      <c r="F27" s="445" t="s">
        <v>328</v>
      </c>
      <c r="G27" s="445" t="s">
        <v>7140</v>
      </c>
      <c r="H27" s="445">
        <v>2.3450000000000002</v>
      </c>
    </row>
    <row r="28" spans="1:8">
      <c r="A28" s="445" t="s">
        <v>7175</v>
      </c>
      <c r="B28" s="446" t="s">
        <v>7177</v>
      </c>
      <c r="C28" s="445">
        <v>15.6</v>
      </c>
      <c r="D28" s="445"/>
      <c r="E28" s="445" t="s">
        <v>7234</v>
      </c>
      <c r="F28" s="445" t="s">
        <v>328</v>
      </c>
      <c r="G28" s="445" t="s">
        <v>7140</v>
      </c>
      <c r="H28" s="445">
        <v>2.3450000000000002</v>
      </c>
    </row>
    <row r="29" spans="1:8">
      <c r="A29" s="445" t="s">
        <v>7138</v>
      </c>
      <c r="B29" s="446" t="s">
        <v>7144</v>
      </c>
      <c r="C29" s="445">
        <v>68.2</v>
      </c>
      <c r="D29" s="445"/>
      <c r="E29" s="445" t="s">
        <v>7233</v>
      </c>
      <c r="F29" s="445" t="s">
        <v>328</v>
      </c>
      <c r="G29" s="445" t="s">
        <v>7140</v>
      </c>
      <c r="H29" s="445">
        <v>2.9</v>
      </c>
    </row>
    <row r="30" spans="1:8">
      <c r="A30" s="445" t="s">
        <v>7138</v>
      </c>
      <c r="B30" s="446" t="s">
        <v>7161</v>
      </c>
      <c r="C30" s="445">
        <v>4.7</v>
      </c>
      <c r="D30" s="445"/>
      <c r="E30" s="445" t="s">
        <v>280</v>
      </c>
      <c r="F30" s="445" t="s">
        <v>328</v>
      </c>
      <c r="G30" s="445" t="s">
        <v>7160</v>
      </c>
      <c r="H30" s="445">
        <v>2.7</v>
      </c>
    </row>
    <row r="31" spans="1:8">
      <c r="A31" s="445" t="s">
        <v>7138</v>
      </c>
      <c r="B31" s="446" t="s">
        <v>7162</v>
      </c>
      <c r="C31" s="445">
        <v>1.5</v>
      </c>
      <c r="D31" s="445"/>
      <c r="E31" s="445" t="s">
        <v>280</v>
      </c>
      <c r="F31" s="445" t="s">
        <v>328</v>
      </c>
      <c r="G31" s="445" t="s">
        <v>7160</v>
      </c>
      <c r="H31" s="445">
        <v>2.7</v>
      </c>
    </row>
    <row r="32" spans="1:8">
      <c r="A32" s="445" t="s">
        <v>7138</v>
      </c>
      <c r="B32" s="446" t="s">
        <v>7163</v>
      </c>
      <c r="C32" s="445">
        <v>2.4</v>
      </c>
      <c r="D32" s="445"/>
      <c r="E32" s="445" t="s">
        <v>280</v>
      </c>
      <c r="F32" s="445" t="s">
        <v>328</v>
      </c>
      <c r="G32" s="445" t="s">
        <v>7160</v>
      </c>
      <c r="H32" s="445">
        <v>2.7</v>
      </c>
    </row>
    <row r="33" spans="1:8">
      <c r="A33" s="445" t="s">
        <v>7146</v>
      </c>
      <c r="B33" s="446" t="s">
        <v>7169</v>
      </c>
      <c r="C33" s="445">
        <v>71.099999999999994</v>
      </c>
      <c r="D33" s="445"/>
      <c r="E33" s="445" t="s">
        <v>286</v>
      </c>
      <c r="F33" s="445" t="s">
        <v>328</v>
      </c>
      <c r="G33" s="445" t="s">
        <v>7140</v>
      </c>
      <c r="H33" s="445">
        <v>2.9</v>
      </c>
    </row>
    <row r="34" spans="1:8">
      <c r="A34" s="445" t="s">
        <v>7146</v>
      </c>
      <c r="B34" s="446" t="s">
        <v>7170</v>
      </c>
      <c r="C34" s="445">
        <v>4.3</v>
      </c>
      <c r="D34" s="445"/>
      <c r="E34" s="445" t="s">
        <v>286</v>
      </c>
      <c r="F34" s="445" t="s">
        <v>328</v>
      </c>
      <c r="G34" s="445" t="s">
        <v>7140</v>
      </c>
      <c r="H34" s="445">
        <v>3</v>
      </c>
    </row>
    <row r="35" spans="1:8">
      <c r="A35" s="445" t="s">
        <v>7146</v>
      </c>
      <c r="B35" s="446" t="s">
        <v>7171</v>
      </c>
      <c r="C35" s="445">
        <v>5.3</v>
      </c>
      <c r="D35" s="445"/>
      <c r="E35" s="445" t="s">
        <v>286</v>
      </c>
      <c r="F35" s="445" t="s">
        <v>328</v>
      </c>
      <c r="G35" s="445" t="s">
        <v>7140</v>
      </c>
      <c r="H35" s="445">
        <v>3</v>
      </c>
    </row>
    <row r="36" spans="1:8">
      <c r="A36" s="445" t="s">
        <v>7146</v>
      </c>
      <c r="B36" s="446" t="s">
        <v>7236</v>
      </c>
      <c r="C36" s="445">
        <v>3.6</v>
      </c>
      <c r="D36" s="445"/>
      <c r="E36" s="445" t="s">
        <v>294</v>
      </c>
      <c r="F36" s="445" t="s">
        <v>328</v>
      </c>
      <c r="G36" s="445" t="s">
        <v>7160</v>
      </c>
      <c r="H36" s="445">
        <v>2.7</v>
      </c>
    </row>
    <row r="37" spans="1:8">
      <c r="A37" s="445" t="s">
        <v>7146</v>
      </c>
      <c r="B37" s="446" t="s">
        <v>7198</v>
      </c>
      <c r="C37" s="445">
        <v>1.8</v>
      </c>
      <c r="D37" s="445"/>
      <c r="E37" s="445" t="s">
        <v>294</v>
      </c>
      <c r="F37" s="445" t="s">
        <v>328</v>
      </c>
      <c r="G37" s="445" t="s">
        <v>7160</v>
      </c>
      <c r="H37" s="445">
        <v>2.7</v>
      </c>
    </row>
    <row r="38" spans="1:8">
      <c r="A38" s="445" t="s">
        <v>7146</v>
      </c>
      <c r="B38" s="446" t="s">
        <v>7199</v>
      </c>
      <c r="C38" s="445">
        <v>4</v>
      </c>
      <c r="D38" s="445"/>
      <c r="E38" s="445" t="s">
        <v>294</v>
      </c>
      <c r="F38" s="445" t="s">
        <v>328</v>
      </c>
      <c r="G38" s="445" t="s">
        <v>7160</v>
      </c>
      <c r="H38" s="445">
        <v>2.7</v>
      </c>
    </row>
    <row r="39" spans="1:8">
      <c r="A39" s="445" t="s">
        <v>7146</v>
      </c>
      <c r="B39" s="446" t="s">
        <v>7200</v>
      </c>
      <c r="C39" s="445">
        <v>1.7</v>
      </c>
      <c r="D39" s="445"/>
      <c r="E39" s="445" t="s">
        <v>294</v>
      </c>
      <c r="F39" s="445" t="s">
        <v>328</v>
      </c>
      <c r="G39" s="445" t="s">
        <v>7160</v>
      </c>
      <c r="H39" s="445">
        <v>2.7</v>
      </c>
    </row>
    <row r="40" spans="1:8">
      <c r="A40" s="445" t="s">
        <v>7146</v>
      </c>
      <c r="B40" s="446" t="s">
        <v>7201</v>
      </c>
      <c r="C40" s="445">
        <v>1.7</v>
      </c>
      <c r="D40" s="445"/>
      <c r="E40" s="445" t="s">
        <v>294</v>
      </c>
      <c r="F40" s="445" t="s">
        <v>328</v>
      </c>
      <c r="G40" s="445" t="s">
        <v>7160</v>
      </c>
      <c r="H40" s="445">
        <v>2.7</v>
      </c>
    </row>
    <row r="41" spans="1:8">
      <c r="A41" s="445" t="s">
        <v>7146</v>
      </c>
      <c r="B41" s="446" t="s">
        <v>7202</v>
      </c>
      <c r="C41" s="445">
        <v>5</v>
      </c>
      <c r="D41" s="445"/>
      <c r="E41" s="445" t="s">
        <v>294</v>
      </c>
      <c r="F41" s="445" t="s">
        <v>328</v>
      </c>
      <c r="G41" s="445" t="s">
        <v>7160</v>
      </c>
      <c r="H41" s="445">
        <v>2.7</v>
      </c>
    </row>
    <row r="42" spans="1:8">
      <c r="A42" s="445" t="s">
        <v>7149</v>
      </c>
      <c r="B42" s="446" t="s">
        <v>7212</v>
      </c>
      <c r="C42" s="445">
        <v>180.1</v>
      </c>
      <c r="D42" s="445"/>
      <c r="E42" s="445" t="s">
        <v>298</v>
      </c>
      <c r="F42" s="445" t="s">
        <v>328</v>
      </c>
      <c r="G42" s="445" t="s">
        <v>7140</v>
      </c>
      <c r="H42" s="445">
        <v>3</v>
      </c>
    </row>
    <row r="43" spans="1:8">
      <c r="A43" s="445" t="s">
        <v>7149</v>
      </c>
      <c r="B43" s="446" t="s">
        <v>7174</v>
      </c>
      <c r="C43" s="445">
        <v>11.6</v>
      </c>
      <c r="D43" s="445"/>
      <c r="E43" s="445" t="s">
        <v>286</v>
      </c>
      <c r="F43" s="445" t="s">
        <v>328</v>
      </c>
      <c r="G43" s="445" t="s">
        <v>7140</v>
      </c>
      <c r="H43" s="445">
        <v>3</v>
      </c>
    </row>
    <row r="44" spans="1:8">
      <c r="A44" s="445" t="s">
        <v>7149</v>
      </c>
      <c r="B44" s="446" t="s">
        <v>7203</v>
      </c>
      <c r="C44" s="445">
        <v>5.7</v>
      </c>
      <c r="D44" s="445"/>
      <c r="E44" s="445" t="s">
        <v>294</v>
      </c>
      <c r="F44" s="445" t="s">
        <v>328</v>
      </c>
      <c r="G44" s="445" t="s">
        <v>7160</v>
      </c>
      <c r="H44" s="445">
        <v>2.7</v>
      </c>
    </row>
    <row r="45" spans="1:8">
      <c r="A45" s="445" t="s">
        <v>7149</v>
      </c>
      <c r="B45" s="446" t="s">
        <v>7204</v>
      </c>
      <c r="C45" s="445">
        <v>2</v>
      </c>
      <c r="D45" s="445"/>
      <c r="E45" s="445" t="s">
        <v>294</v>
      </c>
      <c r="F45" s="445" t="s">
        <v>328</v>
      </c>
      <c r="G45" s="445" t="s">
        <v>7160</v>
      </c>
      <c r="H45" s="445">
        <v>2.7</v>
      </c>
    </row>
    <row r="46" spans="1:8">
      <c r="A46" s="445" t="s">
        <v>7149</v>
      </c>
      <c r="B46" s="446" t="s">
        <v>7205</v>
      </c>
      <c r="C46" s="445">
        <v>4.0999999999999996</v>
      </c>
      <c r="D46" s="445"/>
      <c r="E46" s="445" t="s">
        <v>294</v>
      </c>
      <c r="F46" s="445" t="s">
        <v>328</v>
      </c>
      <c r="G46" s="445" t="s">
        <v>7160</v>
      </c>
      <c r="H46" s="445">
        <v>2.7</v>
      </c>
    </row>
    <row r="47" spans="1:8">
      <c r="A47" s="445" t="s">
        <v>7149</v>
      </c>
      <c r="B47" s="446" t="s">
        <v>7206</v>
      </c>
      <c r="C47" s="445">
        <v>5.7</v>
      </c>
      <c r="D47" s="445"/>
      <c r="E47" s="445" t="s">
        <v>294</v>
      </c>
      <c r="F47" s="445" t="s">
        <v>328</v>
      </c>
      <c r="G47" s="445" t="s">
        <v>7160</v>
      </c>
      <c r="H47" s="445">
        <v>2.7</v>
      </c>
    </row>
    <row r="48" spans="1:8">
      <c r="A48" s="445" t="s">
        <v>7149</v>
      </c>
      <c r="B48" s="446" t="s">
        <v>7207</v>
      </c>
      <c r="C48" s="445">
        <v>1.7</v>
      </c>
      <c r="D48" s="445"/>
      <c r="E48" s="445" t="s">
        <v>294</v>
      </c>
      <c r="F48" s="445" t="s">
        <v>328</v>
      </c>
      <c r="G48" s="445" t="s">
        <v>7160</v>
      </c>
      <c r="H48" s="445">
        <v>2.7</v>
      </c>
    </row>
    <row r="49" spans="1:8">
      <c r="A49" s="445" t="s">
        <v>7149</v>
      </c>
      <c r="B49" s="446" t="s">
        <v>7208</v>
      </c>
      <c r="C49" s="445">
        <v>4.0999999999999996</v>
      </c>
      <c r="D49" s="445"/>
      <c r="E49" s="445" t="s">
        <v>294</v>
      </c>
      <c r="F49" s="445" t="s">
        <v>328</v>
      </c>
      <c r="G49" s="445" t="s">
        <v>7160</v>
      </c>
      <c r="H49" s="445">
        <v>2.7</v>
      </c>
    </row>
    <row r="50" spans="1:8">
      <c r="A50" s="445" t="s">
        <v>7149</v>
      </c>
      <c r="B50" s="446" t="s">
        <v>7209</v>
      </c>
      <c r="C50" s="445">
        <v>3.5</v>
      </c>
      <c r="D50" s="445"/>
      <c r="E50" s="445" t="s">
        <v>294</v>
      </c>
      <c r="F50" s="445" t="s">
        <v>328</v>
      </c>
      <c r="G50" s="445" t="s">
        <v>7160</v>
      </c>
      <c r="H50" s="445">
        <v>2.7</v>
      </c>
    </row>
    <row r="51" spans="1:8">
      <c r="A51" s="445" t="s">
        <v>7138</v>
      </c>
      <c r="B51" s="446" t="s">
        <v>7152</v>
      </c>
      <c r="C51" s="445">
        <v>37.9</v>
      </c>
      <c r="D51" s="445"/>
      <c r="E51" s="445" t="s">
        <v>276</v>
      </c>
      <c r="F51" s="445" t="s">
        <v>330</v>
      </c>
      <c r="G51" s="445" t="s">
        <v>7140</v>
      </c>
      <c r="H51" s="445">
        <v>3</v>
      </c>
    </row>
    <row r="52" spans="1:8">
      <c r="A52" s="445" t="s">
        <v>7138</v>
      </c>
      <c r="B52" s="446" t="s">
        <v>7153</v>
      </c>
      <c r="C52" s="445">
        <v>72.400000000000006</v>
      </c>
      <c r="D52" s="445"/>
      <c r="E52" s="445" t="s">
        <v>276</v>
      </c>
      <c r="F52" s="445" t="s">
        <v>330</v>
      </c>
      <c r="G52" s="445" t="s">
        <v>7140</v>
      </c>
      <c r="H52" s="445">
        <v>3</v>
      </c>
    </row>
    <row r="53" spans="1:8">
      <c r="A53" s="445" t="s">
        <v>7146</v>
      </c>
      <c r="B53" s="446" t="s">
        <v>7178</v>
      </c>
      <c r="C53" s="445">
        <v>31.2</v>
      </c>
      <c r="D53" s="445"/>
      <c r="E53" s="445" t="s">
        <v>289</v>
      </c>
      <c r="F53" s="445" t="s">
        <v>330</v>
      </c>
      <c r="G53" s="445" t="s">
        <v>7160</v>
      </c>
      <c r="H53" s="445">
        <v>3</v>
      </c>
    </row>
    <row r="54" spans="1:8">
      <c r="A54" s="445" t="s">
        <v>7146</v>
      </c>
      <c r="B54" s="446" t="s">
        <v>7179</v>
      </c>
      <c r="C54" s="445">
        <v>31</v>
      </c>
      <c r="D54" s="445"/>
      <c r="E54" s="445" t="s">
        <v>289</v>
      </c>
      <c r="F54" s="445" t="s">
        <v>330</v>
      </c>
      <c r="G54" s="445" t="s">
        <v>7160</v>
      </c>
      <c r="H54" s="445">
        <v>3</v>
      </c>
    </row>
    <row r="55" spans="1:8">
      <c r="A55" s="445" t="s">
        <v>7146</v>
      </c>
      <c r="B55" s="446" t="s">
        <v>7180</v>
      </c>
      <c r="C55" s="445">
        <v>30.9</v>
      </c>
      <c r="D55" s="445"/>
      <c r="E55" s="445" t="s">
        <v>289</v>
      </c>
      <c r="F55" s="445" t="s">
        <v>330</v>
      </c>
      <c r="G55" s="445" t="s">
        <v>7160</v>
      </c>
      <c r="H55" s="445">
        <v>3</v>
      </c>
    </row>
    <row r="56" spans="1:8">
      <c r="A56" s="445" t="s">
        <v>7146</v>
      </c>
      <c r="B56" s="446" t="s">
        <v>7181</v>
      </c>
      <c r="C56" s="445">
        <v>31.2</v>
      </c>
      <c r="D56" s="445"/>
      <c r="E56" s="445" t="s">
        <v>289</v>
      </c>
      <c r="F56" s="445" t="s">
        <v>330</v>
      </c>
      <c r="G56" s="445" t="s">
        <v>7160</v>
      </c>
      <c r="H56" s="445">
        <v>3</v>
      </c>
    </row>
    <row r="57" spans="1:8">
      <c r="A57" s="445" t="s">
        <v>7149</v>
      </c>
      <c r="B57" s="446" t="s">
        <v>7182</v>
      </c>
      <c r="C57" s="445">
        <v>31.1</v>
      </c>
      <c r="D57" s="445"/>
      <c r="E57" s="445" t="s">
        <v>289</v>
      </c>
      <c r="F57" s="445" t="s">
        <v>330</v>
      </c>
      <c r="G57" s="445" t="s">
        <v>7160</v>
      </c>
      <c r="H57" s="445">
        <v>3</v>
      </c>
    </row>
    <row r="58" spans="1:8">
      <c r="A58" s="445" t="s">
        <v>7149</v>
      </c>
      <c r="B58" s="446" t="s">
        <v>7183</v>
      </c>
      <c r="C58" s="445">
        <v>33</v>
      </c>
      <c r="D58" s="445"/>
      <c r="E58" s="445" t="s">
        <v>289</v>
      </c>
      <c r="F58" s="445" t="s">
        <v>330</v>
      </c>
      <c r="G58" s="445" t="s">
        <v>7160</v>
      </c>
      <c r="H58" s="445">
        <v>3</v>
      </c>
    </row>
    <row r="59" spans="1:8">
      <c r="A59" s="445" t="s">
        <v>7149</v>
      </c>
      <c r="B59" s="446" t="s">
        <v>7184</v>
      </c>
      <c r="C59" s="445">
        <v>32</v>
      </c>
      <c r="D59" s="445"/>
      <c r="E59" s="445" t="s">
        <v>289</v>
      </c>
      <c r="F59" s="445" t="s">
        <v>330</v>
      </c>
      <c r="G59" s="445" t="s">
        <v>7160</v>
      </c>
      <c r="H59" s="445">
        <v>3</v>
      </c>
    </row>
    <row r="60" spans="1:8">
      <c r="A60" s="445" t="s">
        <v>7149</v>
      </c>
      <c r="B60" s="446" t="s">
        <v>7185</v>
      </c>
      <c r="C60" s="445">
        <v>43.3</v>
      </c>
      <c r="D60" s="445"/>
      <c r="E60" s="445" t="s">
        <v>289</v>
      </c>
      <c r="F60" s="445" t="s">
        <v>330</v>
      </c>
      <c r="G60" s="445" t="s">
        <v>7165</v>
      </c>
      <c r="H60" s="445">
        <v>3.5</v>
      </c>
    </row>
    <row r="61" spans="1:8">
      <c r="A61" s="445" t="s">
        <v>7149</v>
      </c>
      <c r="B61" s="446" t="s">
        <v>7186</v>
      </c>
      <c r="C61" s="445">
        <v>24.6</v>
      </c>
      <c r="D61" s="445"/>
      <c r="E61" s="445" t="s">
        <v>289</v>
      </c>
      <c r="F61" s="445" t="s">
        <v>330</v>
      </c>
      <c r="G61" s="445" t="s">
        <v>7165</v>
      </c>
      <c r="H61" s="445">
        <v>3.5</v>
      </c>
    </row>
    <row r="62" spans="1:8">
      <c r="A62" s="445" t="s">
        <v>7149</v>
      </c>
      <c r="B62" s="446" t="s">
        <v>7237</v>
      </c>
      <c r="C62" s="445">
        <v>31</v>
      </c>
      <c r="D62" s="445"/>
      <c r="E62" s="445" t="s">
        <v>289</v>
      </c>
      <c r="F62" s="445" t="s">
        <v>330</v>
      </c>
      <c r="G62" s="445" t="s">
        <v>7165</v>
      </c>
      <c r="H62" s="445">
        <v>3.5</v>
      </c>
    </row>
    <row r="63" spans="1:8">
      <c r="A63" s="445" t="s">
        <v>7149</v>
      </c>
      <c r="B63" s="446" t="s">
        <v>7194</v>
      </c>
      <c r="C63" s="445">
        <v>142</v>
      </c>
      <c r="D63" s="445"/>
      <c r="E63" s="445" t="s">
        <v>292</v>
      </c>
      <c r="F63" s="445" t="s">
        <v>330</v>
      </c>
      <c r="G63" s="445" t="s">
        <v>7165</v>
      </c>
      <c r="H63" s="445">
        <v>3.5</v>
      </c>
    </row>
    <row r="64" spans="1:8">
      <c r="A64" s="445" t="s">
        <v>7149</v>
      </c>
      <c r="B64" s="446" t="s">
        <v>7188</v>
      </c>
      <c r="C64" s="445">
        <v>192.7</v>
      </c>
      <c r="D64" s="445"/>
      <c r="E64" s="445" t="s">
        <v>289</v>
      </c>
      <c r="F64" s="445" t="s">
        <v>330</v>
      </c>
      <c r="G64" s="445" t="s">
        <v>7165</v>
      </c>
      <c r="H64" s="445">
        <v>3.5</v>
      </c>
    </row>
    <row r="65" spans="1:8">
      <c r="A65" s="445" t="s">
        <v>7149</v>
      </c>
      <c r="B65" s="446" t="s">
        <v>7189</v>
      </c>
      <c r="C65" s="445">
        <v>149.6</v>
      </c>
      <c r="D65" s="445"/>
      <c r="E65" s="445" t="s">
        <v>289</v>
      </c>
      <c r="F65" s="445" t="s">
        <v>330</v>
      </c>
      <c r="G65" s="445" t="s">
        <v>7165</v>
      </c>
      <c r="H65" s="445">
        <v>3.5</v>
      </c>
    </row>
    <row r="66" spans="1:8">
      <c r="A66" s="445" t="s">
        <v>7138</v>
      </c>
      <c r="B66" s="446" t="s">
        <v>7154</v>
      </c>
      <c r="C66" s="445">
        <v>171.2</v>
      </c>
      <c r="D66" s="445"/>
      <c r="E66" s="445" t="s">
        <v>278</v>
      </c>
      <c r="F66" s="445" t="s">
        <v>7238</v>
      </c>
      <c r="G66" s="445" t="s">
        <v>7155</v>
      </c>
      <c r="H66" s="445">
        <v>3.42</v>
      </c>
    </row>
    <row r="67" spans="1:8">
      <c r="A67" s="445" t="s">
        <v>7138</v>
      </c>
      <c r="B67" s="446" t="s">
        <v>7156</v>
      </c>
      <c r="C67" s="445">
        <v>171.2</v>
      </c>
      <c r="D67" s="445"/>
      <c r="E67" s="445" t="s">
        <v>278</v>
      </c>
      <c r="F67" s="445" t="s">
        <v>7238</v>
      </c>
      <c r="G67" s="445" t="s">
        <v>7155</v>
      </c>
      <c r="H67" s="445">
        <v>3.42</v>
      </c>
    </row>
    <row r="68" spans="1:8">
      <c r="A68" s="445" t="s">
        <v>7138</v>
      </c>
      <c r="B68" s="446" t="s">
        <v>7157</v>
      </c>
      <c r="C68" s="445">
        <v>171.2</v>
      </c>
      <c r="D68" s="445"/>
      <c r="E68" s="445" t="s">
        <v>278</v>
      </c>
      <c r="F68" s="445" t="s">
        <v>7238</v>
      </c>
      <c r="G68" s="445" t="s">
        <v>7155</v>
      </c>
      <c r="H68" s="445">
        <v>3.42</v>
      </c>
    </row>
    <row r="69" spans="1:8">
      <c r="A69" s="445" t="s">
        <v>7138</v>
      </c>
      <c r="B69" s="446" t="s">
        <v>7158</v>
      </c>
      <c r="C69" s="445">
        <v>171.2</v>
      </c>
      <c r="D69" s="445"/>
      <c r="E69" s="445" t="s">
        <v>278</v>
      </c>
      <c r="F69" s="445" t="s">
        <v>7238</v>
      </c>
      <c r="G69" s="445" t="s">
        <v>7155</v>
      </c>
      <c r="H69" s="445">
        <v>3.42</v>
      </c>
    </row>
    <row r="70" spans="1:8">
      <c r="A70" s="445" t="s">
        <v>7146</v>
      </c>
      <c r="B70" s="446" t="s">
        <v>7190</v>
      </c>
      <c r="C70" s="445">
        <v>171.2</v>
      </c>
      <c r="D70" s="445"/>
      <c r="E70" s="445" t="s">
        <v>292</v>
      </c>
      <c r="F70" s="445" t="s">
        <v>7238</v>
      </c>
      <c r="G70" s="445" t="s">
        <v>7155</v>
      </c>
      <c r="H70" s="445">
        <v>3.45</v>
      </c>
    </row>
    <row r="71" spans="1:8">
      <c r="A71" s="445" t="s">
        <v>7146</v>
      </c>
      <c r="B71" s="446" t="s">
        <v>7191</v>
      </c>
      <c r="C71" s="445">
        <v>171.2</v>
      </c>
      <c r="D71" s="445"/>
      <c r="E71" s="445" t="s">
        <v>292</v>
      </c>
      <c r="F71" s="445" t="s">
        <v>7238</v>
      </c>
      <c r="G71" s="445" t="s">
        <v>7155</v>
      </c>
      <c r="H71" s="445">
        <v>3.45</v>
      </c>
    </row>
    <row r="72" spans="1:8">
      <c r="A72" s="445" t="s">
        <v>7146</v>
      </c>
      <c r="B72" s="446" t="s">
        <v>7192</v>
      </c>
      <c r="C72" s="445">
        <v>171.2</v>
      </c>
      <c r="D72" s="445"/>
      <c r="E72" s="445" t="s">
        <v>292</v>
      </c>
      <c r="F72" s="445" t="s">
        <v>7238</v>
      </c>
      <c r="G72" s="445" t="s">
        <v>7155</v>
      </c>
      <c r="H72" s="445">
        <v>3.45</v>
      </c>
    </row>
    <row r="73" spans="1:8">
      <c r="A73" s="445" t="s">
        <v>7146</v>
      </c>
      <c r="B73" s="446" t="s">
        <v>7193</v>
      </c>
      <c r="C73" s="445">
        <v>171.2</v>
      </c>
      <c r="D73" s="445"/>
      <c r="E73" s="445" t="s">
        <v>292</v>
      </c>
      <c r="F73" s="445" t="s">
        <v>7238</v>
      </c>
      <c r="G73" s="445" t="s">
        <v>7155</v>
      </c>
      <c r="H73" s="445">
        <v>3.45</v>
      </c>
    </row>
    <row r="74" spans="1:8">
      <c r="A74" s="445" t="s">
        <v>7138</v>
      </c>
      <c r="B74" s="446" t="s">
        <v>7221</v>
      </c>
      <c r="C74" s="445">
        <v>5.8</v>
      </c>
      <c r="D74" s="445"/>
      <c r="E74" s="445" t="s">
        <v>7155</v>
      </c>
      <c r="F74" s="445" t="s">
        <v>7219</v>
      </c>
      <c r="G74" s="445" t="s">
        <v>7155</v>
      </c>
      <c r="H74" s="445"/>
    </row>
    <row r="75" spans="1:8">
      <c r="A75" s="445" t="s">
        <v>7138</v>
      </c>
      <c r="B75" s="446" t="s">
        <v>7222</v>
      </c>
      <c r="C75" s="445">
        <v>5.8</v>
      </c>
      <c r="D75" s="445"/>
      <c r="E75" s="445" t="s">
        <v>7155</v>
      </c>
      <c r="F75" s="445" t="s">
        <v>7219</v>
      </c>
      <c r="G75" s="445" t="s">
        <v>7155</v>
      </c>
      <c r="H75" s="445"/>
    </row>
    <row r="76" spans="1:8">
      <c r="A76" s="445" t="s">
        <v>7138</v>
      </c>
      <c r="B76" s="446" t="s">
        <v>7223</v>
      </c>
      <c r="C76" s="445">
        <v>2.2000000000000002</v>
      </c>
      <c r="D76" s="445"/>
      <c r="E76" s="445" t="s">
        <v>7219</v>
      </c>
      <c r="F76" s="445" t="s">
        <v>7219</v>
      </c>
      <c r="G76" s="445" t="s">
        <v>7219</v>
      </c>
      <c r="H76" s="445"/>
    </row>
    <row r="77" spans="1:8">
      <c r="A77" s="445" t="s">
        <v>7146</v>
      </c>
      <c r="B77" s="446" t="s">
        <v>7224</v>
      </c>
      <c r="C77" s="445">
        <v>0.5</v>
      </c>
      <c r="D77" s="445"/>
      <c r="E77" s="445" t="s">
        <v>7219</v>
      </c>
      <c r="F77" s="445" t="s">
        <v>7219</v>
      </c>
      <c r="G77" s="445" t="s">
        <v>7140</v>
      </c>
      <c r="H77" s="445"/>
    </row>
    <row r="78" spans="1:8">
      <c r="A78" s="445" t="s">
        <v>7146</v>
      </c>
      <c r="B78" s="446" t="s">
        <v>7225</v>
      </c>
      <c r="C78" s="445">
        <v>0.5</v>
      </c>
      <c r="D78" s="445"/>
      <c r="E78" s="445" t="s">
        <v>7219</v>
      </c>
      <c r="F78" s="445" t="s">
        <v>7219</v>
      </c>
      <c r="G78" s="445" t="s">
        <v>7140</v>
      </c>
      <c r="H78" s="445"/>
    </row>
    <row r="79" spans="1:8">
      <c r="A79" s="445" t="s">
        <v>7146</v>
      </c>
      <c r="B79" s="446" t="s">
        <v>7226</v>
      </c>
      <c r="C79" s="445">
        <v>5.8</v>
      </c>
      <c r="D79" s="445"/>
      <c r="E79" s="445" t="s">
        <v>7219</v>
      </c>
      <c r="F79" s="445" t="s">
        <v>7219</v>
      </c>
      <c r="G79" s="445" t="s">
        <v>7155</v>
      </c>
      <c r="H79" s="445"/>
    </row>
    <row r="80" spans="1:8">
      <c r="A80" s="445" t="s">
        <v>7146</v>
      </c>
      <c r="B80" s="446" t="s">
        <v>7227</v>
      </c>
      <c r="C80" s="445">
        <v>5.8</v>
      </c>
      <c r="D80" s="445"/>
      <c r="E80" s="445" t="s">
        <v>7219</v>
      </c>
      <c r="F80" s="445" t="s">
        <v>7219</v>
      </c>
      <c r="G80" s="445" t="s">
        <v>7155</v>
      </c>
      <c r="H80" s="445"/>
    </row>
    <row r="81" spans="1:9">
      <c r="A81" s="445" t="s">
        <v>7146</v>
      </c>
      <c r="B81" s="446" t="s">
        <v>7223</v>
      </c>
      <c r="C81" s="445">
        <v>6.1</v>
      </c>
      <c r="D81" s="445"/>
      <c r="E81" s="445" t="s">
        <v>7219</v>
      </c>
      <c r="F81" s="445" t="s">
        <v>7219</v>
      </c>
      <c r="G81" s="445" t="s">
        <v>7219</v>
      </c>
      <c r="H81" s="445"/>
    </row>
    <row r="82" spans="1:9">
      <c r="A82" s="445" t="s">
        <v>7149</v>
      </c>
      <c r="B82" s="446" t="s">
        <v>7217</v>
      </c>
      <c r="C82" s="445">
        <v>8.8000000000000007</v>
      </c>
      <c r="D82" s="445"/>
      <c r="E82" s="445" t="s">
        <v>7218</v>
      </c>
      <c r="F82" s="445" t="s">
        <v>7219</v>
      </c>
      <c r="G82" s="445" t="s">
        <v>7219</v>
      </c>
      <c r="H82" s="445"/>
    </row>
    <row r="83" spans="1:9">
      <c r="A83" s="445" t="s">
        <v>7149</v>
      </c>
      <c r="B83" s="446" t="s">
        <v>7220</v>
      </c>
      <c r="C83" s="445">
        <v>8.8000000000000007</v>
      </c>
      <c r="D83" s="445"/>
      <c r="E83" s="445" t="s">
        <v>7218</v>
      </c>
      <c r="F83" s="445" t="s">
        <v>7219</v>
      </c>
      <c r="G83" s="445" t="s">
        <v>7219</v>
      </c>
      <c r="H83" s="445"/>
    </row>
    <row r="84" spans="1:9">
      <c r="A84" s="445" t="s">
        <v>7149</v>
      </c>
      <c r="B84" s="446" t="s">
        <v>7224</v>
      </c>
      <c r="C84" s="445">
        <v>0.5</v>
      </c>
      <c r="D84" s="445"/>
      <c r="E84" s="445" t="s">
        <v>7219</v>
      </c>
      <c r="F84" s="445" t="s">
        <v>7219</v>
      </c>
      <c r="G84" s="445" t="s">
        <v>7140</v>
      </c>
      <c r="H84" s="445"/>
    </row>
    <row r="85" spans="1:9">
      <c r="A85" s="445" t="s">
        <v>7149</v>
      </c>
      <c r="B85" s="446" t="s">
        <v>7225</v>
      </c>
      <c r="C85" s="445">
        <v>0.5</v>
      </c>
      <c r="D85" s="445"/>
      <c r="E85" s="445" t="s">
        <v>7219</v>
      </c>
      <c r="F85" s="445" t="s">
        <v>7219</v>
      </c>
      <c r="G85" s="445" t="s">
        <v>7140</v>
      </c>
      <c r="H85" s="445"/>
    </row>
    <row r="86" spans="1:9">
      <c r="A86" s="445" t="s">
        <v>7149</v>
      </c>
      <c r="B86" s="446" t="s">
        <v>7228</v>
      </c>
      <c r="C86" s="445">
        <v>5.8</v>
      </c>
      <c r="D86" s="445"/>
      <c r="E86" s="445" t="s">
        <v>7219</v>
      </c>
      <c r="F86" s="445" t="s">
        <v>7219</v>
      </c>
      <c r="G86" s="445" t="s">
        <v>7155</v>
      </c>
      <c r="H86" s="445"/>
    </row>
    <row r="87" spans="1:9">
      <c r="A87" s="445" t="s">
        <v>7149</v>
      </c>
      <c r="B87" s="446" t="s">
        <v>7229</v>
      </c>
      <c r="C87" s="445">
        <v>5.8</v>
      </c>
      <c r="D87" s="445"/>
      <c r="E87" s="445" t="s">
        <v>7219</v>
      </c>
      <c r="F87" s="445" t="s">
        <v>7219</v>
      </c>
      <c r="G87" s="445" t="s">
        <v>7155</v>
      </c>
      <c r="H87" s="445"/>
    </row>
    <row r="88" spans="1:9">
      <c r="A88" s="445" t="s">
        <v>7149</v>
      </c>
      <c r="B88" s="446" t="s">
        <v>7223</v>
      </c>
      <c r="C88" s="445">
        <v>5.8</v>
      </c>
      <c r="D88" s="445"/>
      <c r="E88" s="445" t="s">
        <v>7219</v>
      </c>
      <c r="F88" s="445" t="s">
        <v>7219</v>
      </c>
      <c r="G88" s="445" t="s">
        <v>7219</v>
      </c>
      <c r="H88" s="445"/>
    </row>
    <row r="89" spans="1:9">
      <c r="A89" s="445" t="s">
        <v>7175</v>
      </c>
      <c r="B89" s="446" t="s">
        <v>7223</v>
      </c>
      <c r="C89" s="445">
        <v>5.3</v>
      </c>
      <c r="D89" s="445"/>
      <c r="E89" s="445" t="s">
        <v>7219</v>
      </c>
      <c r="F89" s="445" t="s">
        <v>7219</v>
      </c>
      <c r="G89" s="445" t="s">
        <v>7219</v>
      </c>
      <c r="H89" s="445"/>
    </row>
    <row r="92" spans="1:9">
      <c r="B92" s="448" t="s">
        <v>7239</v>
      </c>
      <c r="C92" s="449"/>
      <c r="D92" s="449"/>
      <c r="E92" s="449" t="s">
        <v>7240</v>
      </c>
      <c r="F92" s="449"/>
      <c r="G92" s="449" t="s">
        <v>7241</v>
      </c>
    </row>
    <row r="93" spans="1:9">
      <c r="A93" s="445" t="s">
        <v>7140</v>
      </c>
      <c r="B93" s="450">
        <f>SUM(C3:C15)</f>
        <v>282.49999999999994</v>
      </c>
      <c r="C93" s="442" t="s">
        <v>398</v>
      </c>
      <c r="E93" s="451">
        <v>317.3</v>
      </c>
      <c r="G93" s="442">
        <v>289.59999999999997</v>
      </c>
      <c r="I93" s="452"/>
    </row>
    <row r="94" spans="1:9">
      <c r="A94" s="445" t="s">
        <v>7155</v>
      </c>
      <c r="B94" s="450">
        <f>SUM(C16:C21)</f>
        <v>218.4</v>
      </c>
      <c r="C94" s="442" t="s">
        <v>398</v>
      </c>
      <c r="E94" s="451">
        <v>1615.9</v>
      </c>
      <c r="G94" s="442">
        <v>246.3</v>
      </c>
      <c r="I94" s="452"/>
    </row>
    <row r="95" spans="1:9">
      <c r="A95" s="445" t="s">
        <v>7165</v>
      </c>
      <c r="B95" s="450">
        <f>SUM(C22:C24)</f>
        <v>14.700000000000001</v>
      </c>
      <c r="C95" s="442" t="s">
        <v>398</v>
      </c>
      <c r="E95" s="451">
        <v>14.700000000000001</v>
      </c>
      <c r="G95" s="442">
        <v>14.700000000000001</v>
      </c>
      <c r="I95" s="452"/>
    </row>
    <row r="96" spans="1:9">
      <c r="A96" s="445" t="s">
        <v>328</v>
      </c>
      <c r="B96" s="450">
        <f>SUM(C25:C50)</f>
        <v>460.00000000000006</v>
      </c>
      <c r="C96" s="442" t="s">
        <v>398</v>
      </c>
      <c r="E96" s="451">
        <v>393.8</v>
      </c>
      <c r="G96" s="442">
        <v>425.00000000000006</v>
      </c>
      <c r="I96" s="452"/>
    </row>
    <row r="97" spans="1:9">
      <c r="A97" s="445" t="s">
        <v>330</v>
      </c>
      <c r="B97" s="450">
        <f>SUM(C51:C65)</f>
        <v>913.9</v>
      </c>
      <c r="C97" s="442" t="s">
        <v>398</v>
      </c>
      <c r="E97" s="451">
        <v>913.9</v>
      </c>
      <c r="G97" s="442">
        <v>913.9</v>
      </c>
      <c r="I97" s="452"/>
    </row>
    <row r="98" spans="1:9">
      <c r="A98" s="445" t="s">
        <v>7238</v>
      </c>
      <c r="B98" s="450">
        <f>SUM(C66:C73)</f>
        <v>1369.6000000000001</v>
      </c>
      <c r="C98" s="442" t="s">
        <v>398</v>
      </c>
      <c r="I98" s="452"/>
    </row>
    <row r="99" spans="1:9">
      <c r="I99" s="452"/>
    </row>
  </sheetData>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9C75-04E0-4A65-B930-0D0435DB580B}">
  <dimension ref="A1:R93"/>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2" width="9.33203125" style="433"/>
    <col min="3" max="3" width="9.33203125" style="431"/>
    <col min="4" max="5" width="9.33203125" style="433"/>
    <col min="6" max="7" width="0" style="433" hidden="1" customWidth="1"/>
    <col min="8" max="9" width="9.33203125" style="433"/>
    <col min="10" max="10" width="11.83203125" style="433" customWidth="1"/>
    <col min="11" max="11" width="9.33203125" style="433"/>
    <col min="12" max="16" width="8.6640625" style="433" customWidth="1"/>
    <col min="17" max="16384" width="9.33203125" style="433"/>
  </cols>
  <sheetData>
    <row r="1" spans="1:18" ht="23.25" customHeight="1">
      <c r="A1" s="430" t="s">
        <v>7242</v>
      </c>
    </row>
    <row r="2" spans="1:18">
      <c r="A2" s="433" t="s">
        <v>7243</v>
      </c>
      <c r="B2" s="434" t="s">
        <v>7132</v>
      </c>
      <c r="C2" s="435" t="s">
        <v>7133</v>
      </c>
      <c r="D2" s="434" t="s">
        <v>398</v>
      </c>
      <c r="E2" s="434" t="s">
        <v>7134</v>
      </c>
      <c r="F2" s="434" t="s">
        <v>7135</v>
      </c>
      <c r="G2" s="434" t="s">
        <v>7136</v>
      </c>
      <c r="H2" s="434" t="s">
        <v>1402</v>
      </c>
      <c r="I2" s="434" t="s">
        <v>7137</v>
      </c>
      <c r="J2" s="437" t="s">
        <v>7244</v>
      </c>
      <c r="K2" s="437" t="s">
        <v>7245</v>
      </c>
      <c r="L2" s="434" t="s">
        <v>7246</v>
      </c>
      <c r="M2" s="434" t="s">
        <v>7247</v>
      </c>
      <c r="N2" s="434" t="s">
        <v>7248</v>
      </c>
      <c r="O2" s="434" t="s">
        <v>7249</v>
      </c>
      <c r="P2" s="434" t="s">
        <v>7250</v>
      </c>
    </row>
    <row r="3" spans="1:18">
      <c r="A3" s="433">
        <v>1</v>
      </c>
      <c r="B3" s="437" t="s">
        <v>7138</v>
      </c>
      <c r="C3" s="438" t="s">
        <v>7139</v>
      </c>
      <c r="D3" s="437">
        <v>8.1999999999999993</v>
      </c>
      <c r="E3" s="437">
        <v>8.3000000000000007</v>
      </c>
      <c r="F3" s="437" t="s">
        <v>268</v>
      </c>
      <c r="G3" s="437" t="s">
        <v>7140</v>
      </c>
      <c r="H3" s="437" t="s">
        <v>7140</v>
      </c>
      <c r="I3" s="437">
        <v>3.4350000000000001</v>
      </c>
      <c r="J3" s="439">
        <f>3.5*2.1</f>
        <v>7.3500000000000005</v>
      </c>
      <c r="K3" s="439"/>
      <c r="L3" s="439">
        <f>E3*I3-J3-K3</f>
        <v>21.160500000000003</v>
      </c>
      <c r="M3" s="439"/>
      <c r="N3" s="439"/>
      <c r="O3" s="439"/>
      <c r="P3" s="439"/>
      <c r="R3" s="433">
        <f>E3*I3-J3-K3</f>
        <v>21.160500000000003</v>
      </c>
    </row>
    <row r="4" spans="1:18">
      <c r="A4" s="433">
        <v>2</v>
      </c>
      <c r="B4" s="437" t="s">
        <v>7138</v>
      </c>
      <c r="C4" s="438" t="s">
        <v>7141</v>
      </c>
      <c r="D4" s="437">
        <v>8.1999999999999993</v>
      </c>
      <c r="E4" s="437">
        <v>8.3000000000000007</v>
      </c>
      <c r="F4" s="437" t="s">
        <v>268</v>
      </c>
      <c r="G4" s="437" t="s">
        <v>7140</v>
      </c>
      <c r="H4" s="437" t="s">
        <v>7140</v>
      </c>
      <c r="I4" s="437">
        <v>3.4350000000000001</v>
      </c>
      <c r="J4" s="439">
        <f>3.5*2.1</f>
        <v>7.3500000000000005</v>
      </c>
      <c r="K4" s="439"/>
      <c r="L4" s="439">
        <f t="shared" ref="L4:L6" si="0">E4*I4-J4-K4</f>
        <v>21.160500000000003</v>
      </c>
      <c r="M4" s="439"/>
      <c r="N4" s="439"/>
      <c r="O4" s="439"/>
      <c r="P4" s="439"/>
      <c r="R4" s="433">
        <f t="shared" ref="R4:R67" si="1">E4*I4-J4-K4</f>
        <v>21.160500000000003</v>
      </c>
    </row>
    <row r="5" spans="1:18">
      <c r="A5" s="433">
        <v>3</v>
      </c>
      <c r="B5" s="437" t="s">
        <v>7138</v>
      </c>
      <c r="C5" s="438" t="s">
        <v>7142</v>
      </c>
      <c r="D5" s="437">
        <v>33.4</v>
      </c>
      <c r="E5" s="437">
        <f>3.84*2-1.5+3.5+18.5-1.5</f>
        <v>26.68</v>
      </c>
      <c r="F5" s="437" t="s">
        <v>7233</v>
      </c>
      <c r="G5" s="437" t="s">
        <v>7140</v>
      </c>
      <c r="H5" s="437" t="s">
        <v>7140</v>
      </c>
      <c r="I5" s="437">
        <v>3.4350000000000001</v>
      </c>
      <c r="J5" s="439">
        <f>1.4*2.26+3.5*2.4</f>
        <v>11.564</v>
      </c>
      <c r="K5" s="439"/>
      <c r="L5" s="439">
        <f t="shared" si="0"/>
        <v>80.081799999999987</v>
      </c>
      <c r="M5" s="439"/>
      <c r="N5" s="439"/>
      <c r="O5" s="439"/>
      <c r="P5" s="439"/>
      <c r="R5" s="433">
        <f t="shared" si="1"/>
        <v>80.081799999999987</v>
      </c>
    </row>
    <row r="6" spans="1:18">
      <c r="A6" s="433">
        <v>4</v>
      </c>
      <c r="B6" s="437" t="s">
        <v>7138</v>
      </c>
      <c r="C6" s="438" t="s">
        <v>7143</v>
      </c>
      <c r="D6" s="437">
        <v>33.4</v>
      </c>
      <c r="E6" s="437">
        <f>3.84*2-1.5+3.5+18.5-1.5</f>
        <v>26.68</v>
      </c>
      <c r="F6" s="437" t="s">
        <v>7233</v>
      </c>
      <c r="G6" s="437" t="s">
        <v>7140</v>
      </c>
      <c r="H6" s="437" t="s">
        <v>7140</v>
      </c>
      <c r="I6" s="437">
        <v>3.4350000000000001</v>
      </c>
      <c r="J6" s="439">
        <f>1.4*2.26+3.5*2.4</f>
        <v>11.564</v>
      </c>
      <c r="K6" s="439"/>
      <c r="L6" s="439">
        <f t="shared" si="0"/>
        <v>80.081799999999987</v>
      </c>
      <c r="M6" s="439"/>
      <c r="N6" s="439"/>
      <c r="O6" s="439"/>
      <c r="P6" s="439"/>
      <c r="R6" s="433">
        <f t="shared" si="1"/>
        <v>80.081799999999987</v>
      </c>
    </row>
    <row r="7" spans="1:18">
      <c r="A7" s="433">
        <v>5</v>
      </c>
      <c r="B7" s="437" t="s">
        <v>7138</v>
      </c>
      <c r="C7" s="438" t="s">
        <v>7144</v>
      </c>
      <c r="D7" s="437">
        <v>68.2</v>
      </c>
      <c r="E7" s="437">
        <v>67.5</v>
      </c>
      <c r="F7" s="437" t="s">
        <v>7233</v>
      </c>
      <c r="G7" s="437" t="s">
        <v>328</v>
      </c>
      <c r="H7" s="437" t="s">
        <v>7140</v>
      </c>
      <c r="I7" s="437">
        <v>2.9</v>
      </c>
      <c r="J7" s="439">
        <f>3.5*2.1*2+0.9*2.1+1*2.1*8+0.8*2.1</f>
        <v>35.07</v>
      </c>
      <c r="K7" s="439"/>
      <c r="L7" s="439">
        <f t="shared" ref="L7:L31" si="2">E7*(I7+0.1)-J7-K7</f>
        <v>167.43</v>
      </c>
      <c r="M7" s="439"/>
      <c r="N7" s="439"/>
      <c r="O7" s="439"/>
      <c r="P7" s="439"/>
      <c r="R7" s="433">
        <f t="shared" si="1"/>
        <v>160.68</v>
      </c>
    </row>
    <row r="8" spans="1:18">
      <c r="A8" s="433">
        <v>6</v>
      </c>
      <c r="B8" s="437" t="s">
        <v>7138</v>
      </c>
      <c r="C8" s="438" t="s">
        <v>7152</v>
      </c>
      <c r="D8" s="437">
        <v>37.9</v>
      </c>
      <c r="E8" s="437">
        <v>25.1</v>
      </c>
      <c r="F8" s="437" t="s">
        <v>276</v>
      </c>
      <c r="G8" s="437" t="s">
        <v>330</v>
      </c>
      <c r="H8" s="437" t="s">
        <v>7140</v>
      </c>
      <c r="I8" s="437">
        <v>3</v>
      </c>
      <c r="J8" s="439">
        <f>1*2.1*2</f>
        <v>4.2</v>
      </c>
      <c r="K8" s="439">
        <f>3.2*2.19</f>
        <v>7.008</v>
      </c>
      <c r="L8" s="439">
        <f t="shared" si="2"/>
        <v>66.602000000000004</v>
      </c>
      <c r="M8" s="439"/>
      <c r="N8" s="439"/>
      <c r="O8" s="439"/>
      <c r="P8" s="439"/>
      <c r="R8" s="433">
        <f t="shared" si="1"/>
        <v>64.092000000000013</v>
      </c>
    </row>
    <row r="9" spans="1:18">
      <c r="A9" s="433">
        <v>7</v>
      </c>
      <c r="B9" s="437" t="s">
        <v>7138</v>
      </c>
      <c r="C9" s="438" t="s">
        <v>7153</v>
      </c>
      <c r="D9" s="437">
        <v>72.400000000000006</v>
      </c>
      <c r="E9" s="437">
        <v>37.6</v>
      </c>
      <c r="F9" s="437" t="s">
        <v>276</v>
      </c>
      <c r="G9" s="437" t="s">
        <v>330</v>
      </c>
      <c r="H9" s="437" t="s">
        <v>7140</v>
      </c>
      <c r="I9" s="437">
        <v>3</v>
      </c>
      <c r="J9" s="439">
        <f>1*2.1*3</f>
        <v>6.3000000000000007</v>
      </c>
      <c r="K9" s="439">
        <f>3.2*2.19*2</f>
        <v>14.016</v>
      </c>
      <c r="L9" s="439">
        <f t="shared" si="2"/>
        <v>96.244</v>
      </c>
      <c r="M9" s="439"/>
      <c r="N9" s="439"/>
      <c r="O9" s="439"/>
      <c r="P9" s="439"/>
      <c r="R9" s="433">
        <f t="shared" si="1"/>
        <v>92.484000000000009</v>
      </c>
    </row>
    <row r="10" spans="1:18">
      <c r="A10" s="433">
        <v>17</v>
      </c>
      <c r="B10" s="437" t="s">
        <v>7138</v>
      </c>
      <c r="C10" s="438" t="s">
        <v>7166</v>
      </c>
      <c r="D10" s="437">
        <v>4.2</v>
      </c>
      <c r="E10" s="437">
        <v>8.6999999999999993</v>
      </c>
      <c r="F10" s="437" t="s">
        <v>283</v>
      </c>
      <c r="G10" s="437" t="s">
        <v>7165</v>
      </c>
      <c r="H10" s="437" t="s">
        <v>7140</v>
      </c>
      <c r="I10" s="437">
        <v>2.2549999999999999</v>
      </c>
      <c r="J10" s="439">
        <f>0.8*2.1*2</f>
        <v>3.3600000000000003</v>
      </c>
      <c r="K10" s="439"/>
      <c r="L10" s="439">
        <f t="shared" si="2"/>
        <v>17.128499999999999</v>
      </c>
      <c r="M10" s="439"/>
      <c r="N10" s="439"/>
      <c r="O10" s="439"/>
      <c r="P10" s="439"/>
      <c r="R10" s="433">
        <f t="shared" si="1"/>
        <v>16.258499999999998</v>
      </c>
    </row>
    <row r="11" spans="1:18">
      <c r="A11" s="433">
        <v>18</v>
      </c>
      <c r="B11" s="437" t="s">
        <v>7138</v>
      </c>
      <c r="C11" s="438" t="s">
        <v>7167</v>
      </c>
      <c r="D11" s="437">
        <v>3.1</v>
      </c>
      <c r="E11" s="437">
        <v>7</v>
      </c>
      <c r="F11" s="437" t="s">
        <v>283</v>
      </c>
      <c r="G11" s="437" t="s">
        <v>7165</v>
      </c>
      <c r="H11" s="437" t="s">
        <v>7140</v>
      </c>
      <c r="I11" s="437">
        <v>2.2549999999999999</v>
      </c>
      <c r="J11" s="439">
        <f>0.8*2.1</f>
        <v>1.6800000000000002</v>
      </c>
      <c r="K11" s="439"/>
      <c r="L11" s="439">
        <f t="shared" si="2"/>
        <v>14.805</v>
      </c>
      <c r="M11" s="439"/>
      <c r="N11" s="439"/>
      <c r="O11" s="439"/>
      <c r="P11" s="439"/>
      <c r="R11" s="433">
        <f t="shared" si="1"/>
        <v>14.105</v>
      </c>
    </row>
    <row r="12" spans="1:18">
      <c r="A12" s="433">
        <v>19</v>
      </c>
      <c r="B12" s="437" t="s">
        <v>7138</v>
      </c>
      <c r="C12" s="438" t="s">
        <v>7168</v>
      </c>
      <c r="D12" s="437">
        <v>11.7</v>
      </c>
      <c r="E12" s="437">
        <v>14.7</v>
      </c>
      <c r="F12" s="437" t="s">
        <v>283</v>
      </c>
      <c r="G12" s="437" t="s">
        <v>7155</v>
      </c>
      <c r="H12" s="437" t="s">
        <v>7140</v>
      </c>
      <c r="I12" s="437">
        <v>3.45</v>
      </c>
      <c r="J12" s="439">
        <f>0.9*2.1</f>
        <v>1.8900000000000001</v>
      </c>
      <c r="K12" s="439"/>
      <c r="L12" s="439">
        <f t="shared" si="2"/>
        <v>50.295000000000002</v>
      </c>
      <c r="M12" s="439"/>
      <c r="N12" s="439"/>
      <c r="O12" s="439"/>
      <c r="P12" s="439"/>
      <c r="R12" s="433">
        <f t="shared" si="1"/>
        <v>48.825000000000003</v>
      </c>
    </row>
    <row r="13" spans="1:18">
      <c r="A13" s="433">
        <v>23</v>
      </c>
      <c r="B13" s="437" t="s">
        <v>7146</v>
      </c>
      <c r="C13" s="438" t="s">
        <v>7147</v>
      </c>
      <c r="D13" s="437">
        <v>42.2</v>
      </c>
      <c r="E13" s="437">
        <v>42.8</v>
      </c>
      <c r="F13" s="437" t="s">
        <v>7234</v>
      </c>
      <c r="G13" s="437" t="s">
        <v>7140</v>
      </c>
      <c r="H13" s="437" t="s">
        <v>7140</v>
      </c>
      <c r="I13" s="437">
        <v>3.4350000000000001</v>
      </c>
      <c r="J13" s="439">
        <f>3.5*2.2+0.9*2.1+1.4*2.26</f>
        <v>12.754000000000001</v>
      </c>
      <c r="K13" s="439">
        <f>2.5*2.09</f>
        <v>5.2249999999999996</v>
      </c>
      <c r="L13" s="439">
        <f t="shared" ref="L13:L14" si="3">E13*I13-J13-K13</f>
        <v>129.03900000000002</v>
      </c>
      <c r="M13" s="439"/>
      <c r="N13" s="439"/>
      <c r="O13" s="439"/>
      <c r="P13" s="439"/>
      <c r="R13" s="433">
        <f t="shared" si="1"/>
        <v>129.03900000000002</v>
      </c>
    </row>
    <row r="14" spans="1:18">
      <c r="A14" s="433">
        <v>24</v>
      </c>
      <c r="B14" s="437" t="s">
        <v>7146</v>
      </c>
      <c r="C14" s="438" t="s">
        <v>7148</v>
      </c>
      <c r="D14" s="437">
        <v>42.2</v>
      </c>
      <c r="E14" s="437">
        <v>42.8</v>
      </c>
      <c r="F14" s="437" t="s">
        <v>7234</v>
      </c>
      <c r="G14" s="437" t="s">
        <v>7140</v>
      </c>
      <c r="H14" s="437" t="s">
        <v>7140</v>
      </c>
      <c r="I14" s="437">
        <v>3.4350000000000001</v>
      </c>
      <c r="J14" s="439">
        <f>3.5*2.2+0.9*2.1+1.4*2.26</f>
        <v>12.754000000000001</v>
      </c>
      <c r="K14" s="439">
        <f>2.5*2.09</f>
        <v>5.2249999999999996</v>
      </c>
      <c r="L14" s="439">
        <f t="shared" si="3"/>
        <v>129.03900000000002</v>
      </c>
      <c r="M14" s="439"/>
      <c r="N14" s="439"/>
      <c r="O14" s="439"/>
      <c r="P14" s="439"/>
      <c r="R14" s="433">
        <f t="shared" si="1"/>
        <v>129.03900000000002</v>
      </c>
    </row>
    <row r="15" spans="1:18">
      <c r="A15" s="433">
        <v>25</v>
      </c>
      <c r="B15" s="437" t="s">
        <v>7146</v>
      </c>
      <c r="C15" s="438" t="s">
        <v>7169</v>
      </c>
      <c r="D15" s="437">
        <v>71.099999999999994</v>
      </c>
      <c r="E15" s="437">
        <v>75.900000000000006</v>
      </c>
      <c r="F15" s="437" t="s">
        <v>286</v>
      </c>
      <c r="G15" s="437" t="s">
        <v>328</v>
      </c>
      <c r="H15" s="437" t="s">
        <v>7140</v>
      </c>
      <c r="I15" s="437">
        <v>2.9</v>
      </c>
      <c r="J15" s="439">
        <f>3.5*2.2*2+0.8*2.1*2+1*2.1*8+1.1*2.15*2</f>
        <v>40.290000000000006</v>
      </c>
      <c r="K15" s="439"/>
      <c r="L15" s="439">
        <f t="shared" si="2"/>
        <v>187.41000000000003</v>
      </c>
      <c r="M15" s="439"/>
      <c r="N15" s="439"/>
      <c r="O15" s="439"/>
      <c r="P15" s="439"/>
      <c r="R15" s="433">
        <f t="shared" si="1"/>
        <v>179.82</v>
      </c>
    </row>
    <row r="16" spans="1:18">
      <c r="A16" s="433">
        <v>26</v>
      </c>
      <c r="B16" s="437" t="s">
        <v>7146</v>
      </c>
      <c r="C16" s="438" t="s">
        <v>7170</v>
      </c>
      <c r="D16" s="437">
        <v>4.3</v>
      </c>
      <c r="E16" s="437">
        <v>8.8000000000000007</v>
      </c>
      <c r="F16" s="437" t="s">
        <v>286</v>
      </c>
      <c r="G16" s="437" t="s">
        <v>328</v>
      </c>
      <c r="H16" s="437" t="s">
        <v>7140</v>
      </c>
      <c r="I16" s="437">
        <v>3</v>
      </c>
      <c r="J16" s="439">
        <f>1.1*2.15</f>
        <v>2.3650000000000002</v>
      </c>
      <c r="K16" s="439"/>
      <c r="L16" s="439">
        <f t="shared" si="2"/>
        <v>24.915000000000006</v>
      </c>
      <c r="M16" s="439"/>
      <c r="N16" s="439"/>
      <c r="O16" s="439"/>
      <c r="P16" s="439"/>
      <c r="R16" s="433">
        <f t="shared" si="1"/>
        <v>24.035000000000004</v>
      </c>
    </row>
    <row r="17" spans="1:18">
      <c r="A17" s="433">
        <v>27</v>
      </c>
      <c r="B17" s="437" t="s">
        <v>7146</v>
      </c>
      <c r="C17" s="438" t="s">
        <v>7171</v>
      </c>
      <c r="D17" s="437">
        <v>5.3</v>
      </c>
      <c r="E17" s="437">
        <v>9.9</v>
      </c>
      <c r="F17" s="437" t="s">
        <v>286</v>
      </c>
      <c r="G17" s="437" t="s">
        <v>328</v>
      </c>
      <c r="H17" s="437" t="s">
        <v>7140</v>
      </c>
      <c r="I17" s="437">
        <v>3</v>
      </c>
      <c r="J17" s="439">
        <f>1.1*2.15</f>
        <v>2.3650000000000002</v>
      </c>
      <c r="K17" s="439"/>
      <c r="L17" s="439">
        <f t="shared" si="2"/>
        <v>28.325000000000003</v>
      </c>
      <c r="M17" s="439"/>
      <c r="N17" s="439"/>
      <c r="O17" s="439"/>
      <c r="P17" s="439"/>
      <c r="R17" s="433">
        <f t="shared" si="1"/>
        <v>27.335000000000001</v>
      </c>
    </row>
    <row r="18" spans="1:18">
      <c r="A18" s="433">
        <v>42</v>
      </c>
      <c r="B18" s="437" t="s">
        <v>7146</v>
      </c>
      <c r="C18" s="438" t="s">
        <v>7210</v>
      </c>
      <c r="D18" s="437">
        <v>6.1</v>
      </c>
      <c r="E18" s="437">
        <v>10.4</v>
      </c>
      <c r="F18" s="437" t="s">
        <v>296</v>
      </c>
      <c r="G18" s="437" t="s">
        <v>7140</v>
      </c>
      <c r="H18" s="437" t="s">
        <v>7140</v>
      </c>
      <c r="I18" s="437">
        <v>3.4350000000000001</v>
      </c>
      <c r="J18" s="439">
        <f>0.9*2.1</f>
        <v>1.8900000000000001</v>
      </c>
      <c r="K18" s="439"/>
      <c r="L18" s="439">
        <f t="shared" ref="L18:L30" si="4">E18*I18-J18-K18</f>
        <v>33.834000000000003</v>
      </c>
      <c r="M18" s="439"/>
      <c r="N18" s="439"/>
      <c r="O18" s="439"/>
      <c r="P18" s="439"/>
      <c r="R18" s="433">
        <f t="shared" si="1"/>
        <v>33.834000000000003</v>
      </c>
    </row>
    <row r="19" spans="1:18">
      <c r="A19" s="433">
        <v>43</v>
      </c>
      <c r="B19" s="437" t="s">
        <v>7146</v>
      </c>
      <c r="C19" s="438" t="s">
        <v>7224</v>
      </c>
      <c r="D19" s="437">
        <v>0.5</v>
      </c>
      <c r="E19" s="437">
        <v>2.7</v>
      </c>
      <c r="F19" s="437" t="s">
        <v>7219</v>
      </c>
      <c r="G19" s="437" t="s">
        <v>7219</v>
      </c>
      <c r="H19" s="437" t="s">
        <v>7140</v>
      </c>
      <c r="I19" s="437">
        <v>3.4350000000000001</v>
      </c>
      <c r="J19" s="439"/>
      <c r="K19" s="439">
        <f>0.85*0.85</f>
        <v>0.72249999999999992</v>
      </c>
      <c r="L19" s="439">
        <f t="shared" si="4"/>
        <v>8.5520000000000014</v>
      </c>
      <c r="M19" s="439"/>
      <c r="N19" s="439"/>
      <c r="O19" s="439"/>
      <c r="P19" s="439"/>
      <c r="R19" s="433">
        <f t="shared" si="1"/>
        <v>8.5520000000000014</v>
      </c>
    </row>
    <row r="20" spans="1:18">
      <c r="A20" s="433">
        <v>44</v>
      </c>
      <c r="B20" s="437" t="s">
        <v>7146</v>
      </c>
      <c r="C20" s="438" t="s">
        <v>7225</v>
      </c>
      <c r="D20" s="437">
        <v>0.5</v>
      </c>
      <c r="E20" s="437">
        <v>2.7</v>
      </c>
      <c r="F20" s="437" t="s">
        <v>7219</v>
      </c>
      <c r="G20" s="437" t="s">
        <v>7219</v>
      </c>
      <c r="H20" s="437" t="s">
        <v>7140</v>
      </c>
      <c r="I20" s="437">
        <v>3.4350000000000001</v>
      </c>
      <c r="J20" s="439"/>
      <c r="K20" s="439">
        <f>0.85*0.85</f>
        <v>0.72249999999999992</v>
      </c>
      <c r="L20" s="439">
        <f t="shared" si="4"/>
        <v>8.5520000000000014</v>
      </c>
      <c r="M20" s="439"/>
      <c r="N20" s="439"/>
      <c r="O20" s="439"/>
      <c r="P20" s="439"/>
      <c r="R20" s="433">
        <f t="shared" si="1"/>
        <v>8.5520000000000014</v>
      </c>
    </row>
    <row r="21" spans="1:18">
      <c r="A21" s="433">
        <v>50</v>
      </c>
      <c r="B21" s="437" t="s">
        <v>7149</v>
      </c>
      <c r="C21" s="438" t="s">
        <v>7150</v>
      </c>
      <c r="D21" s="437">
        <v>42.2</v>
      </c>
      <c r="E21" s="437">
        <f>30.1+12.7</f>
        <v>42.8</v>
      </c>
      <c r="F21" s="437" t="s">
        <v>7235</v>
      </c>
      <c r="G21" s="437" t="s">
        <v>7140</v>
      </c>
      <c r="H21" s="437" t="s">
        <v>7140</v>
      </c>
      <c r="I21" s="437">
        <v>3.4350000000000001</v>
      </c>
      <c r="J21" s="439">
        <f>3.5*2.2+0.9*2.1+1.4*2.26</f>
        <v>12.754000000000001</v>
      </c>
      <c r="K21" s="439">
        <f>2.5*2.19</f>
        <v>5.4749999999999996</v>
      </c>
      <c r="L21" s="439">
        <f t="shared" si="4"/>
        <v>128.78900000000002</v>
      </c>
      <c r="M21" s="439"/>
      <c r="N21" s="439"/>
      <c r="O21" s="439"/>
      <c r="P21" s="439"/>
      <c r="R21" s="433">
        <f t="shared" si="1"/>
        <v>128.78900000000002</v>
      </c>
    </row>
    <row r="22" spans="1:18">
      <c r="A22" s="433">
        <v>51</v>
      </c>
      <c r="B22" s="437" t="s">
        <v>7149</v>
      </c>
      <c r="C22" s="438" t="s">
        <v>7151</v>
      </c>
      <c r="D22" s="437">
        <v>42.2</v>
      </c>
      <c r="E22" s="437">
        <f>30.1+12.7</f>
        <v>42.8</v>
      </c>
      <c r="F22" s="437" t="s">
        <v>7235</v>
      </c>
      <c r="G22" s="437" t="s">
        <v>7140</v>
      </c>
      <c r="H22" s="437" t="s">
        <v>7140</v>
      </c>
      <c r="I22" s="437">
        <v>3.4350000000000001</v>
      </c>
      <c r="J22" s="439">
        <f>3.5*2.2+0.9*2.1+1.4*2.26</f>
        <v>12.754000000000001</v>
      </c>
      <c r="K22" s="439">
        <f>2.5*2.19</f>
        <v>5.4749999999999996</v>
      </c>
      <c r="L22" s="439">
        <f t="shared" si="4"/>
        <v>128.78900000000002</v>
      </c>
      <c r="M22" s="439"/>
      <c r="N22" s="439"/>
      <c r="O22" s="439"/>
      <c r="P22" s="439"/>
      <c r="R22" s="433">
        <f t="shared" si="1"/>
        <v>128.78900000000002</v>
      </c>
    </row>
    <row r="23" spans="1:18">
      <c r="A23" s="433">
        <v>52</v>
      </c>
      <c r="B23" s="437" t="s">
        <v>7149</v>
      </c>
      <c r="C23" s="438" t="s">
        <v>7212</v>
      </c>
      <c r="D23" s="437">
        <v>180.1</v>
      </c>
      <c r="E23" s="437">
        <f>81.3-2.775*2</f>
        <v>75.75</v>
      </c>
      <c r="F23" s="437" t="s">
        <v>298</v>
      </c>
      <c r="G23" s="437" t="s">
        <v>328</v>
      </c>
      <c r="H23" s="437" t="s">
        <v>7140</v>
      </c>
      <c r="I23" s="437">
        <v>3</v>
      </c>
      <c r="J23" s="439">
        <f>1.5*2.1+0.9*2.1*2+3.5*2.2*2+0.8*2.1*3+1*2.1*3+19*3.05</f>
        <v>91.62</v>
      </c>
      <c r="K23" s="439"/>
      <c r="L23" s="439">
        <f t="shared" si="2"/>
        <v>143.20500000000001</v>
      </c>
      <c r="M23" s="439"/>
      <c r="N23" s="439"/>
      <c r="O23" s="439"/>
      <c r="P23" s="439"/>
      <c r="R23" s="433">
        <f t="shared" si="1"/>
        <v>135.63</v>
      </c>
    </row>
    <row r="24" spans="1:18">
      <c r="A24" s="433">
        <v>53</v>
      </c>
      <c r="B24" s="437" t="s">
        <v>7149</v>
      </c>
      <c r="C24" s="438" t="s">
        <v>7172</v>
      </c>
      <c r="D24" s="437">
        <v>4.9000000000000004</v>
      </c>
      <c r="E24" s="437">
        <v>9.8000000000000007</v>
      </c>
      <c r="F24" s="437" t="s">
        <v>286</v>
      </c>
      <c r="G24" s="437" t="s">
        <v>7140</v>
      </c>
      <c r="H24" s="437" t="s">
        <v>7140</v>
      </c>
      <c r="I24" s="437">
        <v>3.4350000000000001</v>
      </c>
      <c r="J24" s="439">
        <f>0.8*2.1</f>
        <v>1.6800000000000002</v>
      </c>
      <c r="K24" s="439"/>
      <c r="L24" s="439">
        <f t="shared" si="4"/>
        <v>31.983000000000004</v>
      </c>
      <c r="M24" s="439"/>
      <c r="N24" s="439"/>
      <c r="O24" s="439"/>
      <c r="P24" s="439"/>
      <c r="R24" s="433">
        <f t="shared" si="1"/>
        <v>31.983000000000004</v>
      </c>
    </row>
    <row r="25" spans="1:18">
      <c r="A25" s="433">
        <v>54</v>
      </c>
      <c r="B25" s="437" t="s">
        <v>7149</v>
      </c>
      <c r="C25" s="438" t="s">
        <v>7173</v>
      </c>
      <c r="D25" s="437">
        <v>7.1</v>
      </c>
      <c r="E25" s="437">
        <v>11.1</v>
      </c>
      <c r="F25" s="437" t="s">
        <v>286</v>
      </c>
      <c r="G25" s="437" t="s">
        <v>7140</v>
      </c>
      <c r="H25" s="437" t="s">
        <v>7140</v>
      </c>
      <c r="I25" s="437">
        <v>3.4350000000000001</v>
      </c>
      <c r="J25" s="439">
        <f>0.9*2.1</f>
        <v>1.8900000000000001</v>
      </c>
      <c r="K25" s="439"/>
      <c r="L25" s="439">
        <f t="shared" si="4"/>
        <v>36.238500000000002</v>
      </c>
      <c r="M25" s="439"/>
      <c r="N25" s="439"/>
      <c r="O25" s="439"/>
      <c r="P25" s="439"/>
      <c r="R25" s="433">
        <f t="shared" si="1"/>
        <v>36.238500000000002</v>
      </c>
    </row>
    <row r="26" spans="1:18">
      <c r="A26" s="433">
        <v>55</v>
      </c>
      <c r="B26" s="437" t="s">
        <v>7149</v>
      </c>
      <c r="C26" s="438" t="s">
        <v>7174</v>
      </c>
      <c r="D26" s="437">
        <v>11.6</v>
      </c>
      <c r="E26" s="437">
        <v>16.2</v>
      </c>
      <c r="F26" s="437" t="s">
        <v>286</v>
      </c>
      <c r="G26" s="437" t="s">
        <v>328</v>
      </c>
      <c r="H26" s="437" t="s">
        <v>7140</v>
      </c>
      <c r="I26" s="437">
        <v>3</v>
      </c>
      <c r="J26" s="439">
        <f>1.5*2.1+1*2.1*3</f>
        <v>9.4500000000000011</v>
      </c>
      <c r="K26" s="439"/>
      <c r="L26" s="439">
        <f t="shared" si="2"/>
        <v>40.769999999999996</v>
      </c>
      <c r="M26" s="439"/>
      <c r="N26" s="439"/>
      <c r="O26" s="439"/>
      <c r="P26" s="439"/>
      <c r="R26" s="433">
        <f t="shared" si="1"/>
        <v>39.149999999999991</v>
      </c>
    </row>
    <row r="27" spans="1:18">
      <c r="A27" s="433">
        <v>63</v>
      </c>
      <c r="B27" s="437" t="s">
        <v>7149</v>
      </c>
      <c r="C27" s="438" t="s">
        <v>7195</v>
      </c>
      <c r="D27" s="437">
        <v>7.2</v>
      </c>
      <c r="E27" s="437">
        <v>12.9</v>
      </c>
      <c r="F27" s="437" t="s">
        <v>292</v>
      </c>
      <c r="G27" s="437" t="s">
        <v>7140</v>
      </c>
      <c r="H27" s="437" t="s">
        <v>7140</v>
      </c>
      <c r="I27" s="437">
        <v>3.4350000000000001</v>
      </c>
      <c r="J27" s="439">
        <f>0.7*2.1</f>
        <v>1.47</v>
      </c>
      <c r="K27" s="439">
        <f>2.5*2.19</f>
        <v>5.4749999999999996</v>
      </c>
      <c r="L27" s="439">
        <f t="shared" si="4"/>
        <v>37.366500000000002</v>
      </c>
      <c r="M27" s="439"/>
      <c r="N27" s="439"/>
      <c r="O27" s="439"/>
      <c r="P27" s="439"/>
      <c r="R27" s="433">
        <f t="shared" si="1"/>
        <v>37.366500000000002</v>
      </c>
    </row>
    <row r="28" spans="1:18">
      <c r="A28" s="433">
        <v>64</v>
      </c>
      <c r="B28" s="437" t="s">
        <v>7149</v>
      </c>
      <c r="C28" s="438" t="s">
        <v>7196</v>
      </c>
      <c r="D28" s="437">
        <v>7.1</v>
      </c>
      <c r="E28" s="437">
        <v>11</v>
      </c>
      <c r="F28" s="437" t="s">
        <v>292</v>
      </c>
      <c r="G28" s="437" t="s">
        <v>7140</v>
      </c>
      <c r="H28" s="437" t="s">
        <v>7140</v>
      </c>
      <c r="I28" s="437">
        <v>3.4350000000000001</v>
      </c>
      <c r="J28" s="439">
        <f>0.9*2.1</f>
        <v>1.8900000000000001</v>
      </c>
      <c r="K28" s="439"/>
      <c r="L28" s="439">
        <f t="shared" si="4"/>
        <v>35.895000000000003</v>
      </c>
      <c r="M28" s="439"/>
      <c r="N28" s="439"/>
      <c r="O28" s="439"/>
      <c r="P28" s="439"/>
      <c r="R28" s="433">
        <f t="shared" si="1"/>
        <v>35.895000000000003</v>
      </c>
    </row>
    <row r="29" spans="1:18">
      <c r="A29" s="433">
        <v>73</v>
      </c>
      <c r="B29" s="437" t="s">
        <v>7149</v>
      </c>
      <c r="C29" s="438" t="s">
        <v>7224</v>
      </c>
      <c r="D29" s="437">
        <v>0.5</v>
      </c>
      <c r="E29" s="437">
        <v>2.8</v>
      </c>
      <c r="F29" s="437" t="s">
        <v>7219</v>
      </c>
      <c r="G29" s="437" t="s">
        <v>7219</v>
      </c>
      <c r="H29" s="437" t="s">
        <v>7140</v>
      </c>
      <c r="I29" s="437">
        <v>3.4350000000000001</v>
      </c>
      <c r="J29" s="439"/>
      <c r="K29" s="439">
        <f>0.85*0.85</f>
        <v>0.72249999999999992</v>
      </c>
      <c r="L29" s="439">
        <f t="shared" si="4"/>
        <v>8.8955000000000002</v>
      </c>
      <c r="M29" s="439"/>
      <c r="N29" s="439"/>
      <c r="O29" s="439"/>
      <c r="P29" s="439"/>
      <c r="R29" s="433">
        <f t="shared" si="1"/>
        <v>8.8955000000000002</v>
      </c>
    </row>
    <row r="30" spans="1:18">
      <c r="A30" s="433">
        <v>74</v>
      </c>
      <c r="B30" s="437" t="s">
        <v>7149</v>
      </c>
      <c r="C30" s="438" t="s">
        <v>7225</v>
      </c>
      <c r="D30" s="437">
        <v>0.5</v>
      </c>
      <c r="E30" s="437">
        <v>2.8</v>
      </c>
      <c r="F30" s="437" t="s">
        <v>7219</v>
      </c>
      <c r="G30" s="437" t="s">
        <v>7219</v>
      </c>
      <c r="H30" s="437" t="s">
        <v>7140</v>
      </c>
      <c r="I30" s="437">
        <v>3.4350000000000001</v>
      </c>
      <c r="J30" s="439"/>
      <c r="K30" s="439">
        <f>0.85*0.85</f>
        <v>0.72249999999999992</v>
      </c>
      <c r="L30" s="439">
        <f t="shared" si="4"/>
        <v>8.8955000000000002</v>
      </c>
      <c r="M30" s="439"/>
      <c r="N30" s="439"/>
      <c r="O30" s="439"/>
      <c r="P30" s="439"/>
      <c r="R30" s="433">
        <f t="shared" si="1"/>
        <v>8.8955000000000002</v>
      </c>
    </row>
    <row r="31" spans="1:18">
      <c r="A31" s="433">
        <v>80</v>
      </c>
      <c r="B31" s="437" t="s">
        <v>7175</v>
      </c>
      <c r="C31" s="438" t="s">
        <v>7176</v>
      </c>
      <c r="D31" s="437">
        <v>15.6</v>
      </c>
      <c r="E31" s="437">
        <f>29.7+12.8</f>
        <v>42.5</v>
      </c>
      <c r="F31" s="437" t="s">
        <v>7234</v>
      </c>
      <c r="G31" s="437" t="s">
        <v>7140</v>
      </c>
      <c r="H31" s="437" t="s">
        <v>7140</v>
      </c>
      <c r="I31" s="437">
        <v>2.3450000000000002</v>
      </c>
      <c r="J31" s="439">
        <f>1.8*2.1+1.4*2.26+0.9*2+0.9*2.1</f>
        <v>10.634</v>
      </c>
      <c r="K31" s="439"/>
      <c r="L31" s="439">
        <f t="shared" si="2"/>
        <v>93.278500000000008</v>
      </c>
      <c r="M31" s="439"/>
      <c r="N31" s="439"/>
      <c r="O31" s="439"/>
      <c r="P31" s="439"/>
      <c r="R31" s="433">
        <f t="shared" si="1"/>
        <v>89.028500000000008</v>
      </c>
    </row>
    <row r="32" spans="1:18">
      <c r="A32" s="433">
        <v>81</v>
      </c>
      <c r="B32" s="437" t="s">
        <v>7175</v>
      </c>
      <c r="C32" s="438" t="s">
        <v>7177</v>
      </c>
      <c r="D32" s="437">
        <v>12.1</v>
      </c>
      <c r="E32" s="437">
        <f>26.1+12.8</f>
        <v>38.900000000000006</v>
      </c>
      <c r="F32" s="437" t="s">
        <v>7234</v>
      </c>
      <c r="G32" s="437" t="s">
        <v>7140</v>
      </c>
      <c r="H32" s="437" t="s">
        <v>7140</v>
      </c>
      <c r="I32" s="437">
        <v>2.3450000000000002</v>
      </c>
      <c r="J32" s="439">
        <f>1.8*2.1+1.4*2.26+0.9*2.1</f>
        <v>8.8339999999999996</v>
      </c>
      <c r="K32" s="439"/>
      <c r="L32" s="439">
        <f>E32*(I32+0.1)-J32-K32</f>
        <v>86.276500000000027</v>
      </c>
      <c r="M32" s="439"/>
      <c r="N32" s="439"/>
      <c r="O32" s="439"/>
      <c r="P32" s="439"/>
      <c r="R32" s="433">
        <f t="shared" si="1"/>
        <v>82.386500000000012</v>
      </c>
    </row>
    <row r="33" spans="1:18">
      <c r="A33" s="433">
        <v>12</v>
      </c>
      <c r="B33" s="437" t="s">
        <v>7138</v>
      </c>
      <c r="C33" s="438" t="s">
        <v>7159</v>
      </c>
      <c r="D33" s="437">
        <v>27.9</v>
      </c>
      <c r="E33" s="437">
        <v>21.5</v>
      </c>
      <c r="F33" s="437" t="s">
        <v>278</v>
      </c>
      <c r="G33" s="437" t="s">
        <v>7155</v>
      </c>
      <c r="H33" s="437" t="s">
        <v>7160</v>
      </c>
      <c r="I33" s="437">
        <v>3.45</v>
      </c>
      <c r="J33" s="439">
        <f>1*2.1+0.9*2.1</f>
        <v>3.99</v>
      </c>
      <c r="K33" s="439">
        <f>3.2*2.19</f>
        <v>7.008</v>
      </c>
      <c r="L33" s="439">
        <f>E33*I33-J33-K33-N33</f>
        <v>61.737000000000002</v>
      </c>
      <c r="M33" s="439"/>
      <c r="N33" s="439">
        <f>1.2*1.2</f>
        <v>1.44</v>
      </c>
      <c r="O33" s="439"/>
      <c r="P33" s="439"/>
      <c r="R33" s="433">
        <f t="shared" si="1"/>
        <v>63.177</v>
      </c>
    </row>
    <row r="34" spans="1:18">
      <c r="A34" s="433">
        <v>13</v>
      </c>
      <c r="B34" s="437" t="s">
        <v>7138</v>
      </c>
      <c r="C34" s="438" t="s">
        <v>7161</v>
      </c>
      <c r="D34" s="437">
        <v>4.7</v>
      </c>
      <c r="E34" s="437">
        <v>8.6</v>
      </c>
      <c r="F34" s="437" t="s">
        <v>280</v>
      </c>
      <c r="G34" s="437" t="s">
        <v>328</v>
      </c>
      <c r="H34" s="437" t="s">
        <v>7160</v>
      </c>
      <c r="I34" s="437">
        <v>2.7</v>
      </c>
      <c r="J34" s="439">
        <f>0.8*2.1+0.7*2.1*2</f>
        <v>4.62</v>
      </c>
      <c r="K34" s="439"/>
      <c r="L34" s="439">
        <f>E34*(I34+0.1)-J34-K34-N34</f>
        <v>11.780000000000001</v>
      </c>
      <c r="M34" s="439"/>
      <c r="N34" s="439">
        <f>(E34-0.7*2-0.8)*1.2</f>
        <v>7.6799999999999988</v>
      </c>
      <c r="O34" s="439"/>
      <c r="P34" s="439"/>
      <c r="R34" s="433">
        <f t="shared" si="1"/>
        <v>18.599999999999998</v>
      </c>
    </row>
    <row r="35" spans="1:18">
      <c r="A35" s="433">
        <v>14</v>
      </c>
      <c r="B35" s="437" t="s">
        <v>7138</v>
      </c>
      <c r="C35" s="438" t="s">
        <v>7162</v>
      </c>
      <c r="D35" s="437">
        <v>1.5</v>
      </c>
      <c r="E35" s="437">
        <v>5.0999999999999996</v>
      </c>
      <c r="F35" s="437" t="s">
        <v>280</v>
      </c>
      <c r="G35" s="437" t="s">
        <v>328</v>
      </c>
      <c r="H35" s="437" t="s">
        <v>7160</v>
      </c>
      <c r="I35" s="437">
        <v>2.7</v>
      </c>
      <c r="J35" s="439">
        <f>0.7*2.1</f>
        <v>1.47</v>
      </c>
      <c r="K35" s="439"/>
      <c r="L35" s="439">
        <f t="shared" ref="L35:L57" si="5">E35*(I35+0.1)-J35-K35-N35</f>
        <v>7.5300000000000011</v>
      </c>
      <c r="M35" s="439"/>
      <c r="N35" s="439">
        <f>(E35-0.7)*1.2</f>
        <v>5.2799999999999994</v>
      </c>
      <c r="O35" s="439"/>
      <c r="P35" s="439"/>
      <c r="R35" s="433">
        <f t="shared" si="1"/>
        <v>12.299999999999999</v>
      </c>
    </row>
    <row r="36" spans="1:18">
      <c r="A36" s="433">
        <v>15</v>
      </c>
      <c r="B36" s="437" t="s">
        <v>7138</v>
      </c>
      <c r="C36" s="438" t="s">
        <v>7163</v>
      </c>
      <c r="D36" s="437">
        <v>2.4</v>
      </c>
      <c r="E36" s="437">
        <v>6.3</v>
      </c>
      <c r="F36" s="437" t="s">
        <v>280</v>
      </c>
      <c r="G36" s="437" t="s">
        <v>328</v>
      </c>
      <c r="H36" s="437" t="s">
        <v>7160</v>
      </c>
      <c r="I36" s="437">
        <v>2.7</v>
      </c>
      <c r="J36" s="439">
        <f>0.7*2.1</f>
        <v>1.47</v>
      </c>
      <c r="K36" s="439"/>
      <c r="L36" s="439">
        <f t="shared" si="5"/>
        <v>9.4500000000000028</v>
      </c>
      <c r="M36" s="439"/>
      <c r="N36" s="439">
        <f>(E36-0.7)*1.2</f>
        <v>6.72</v>
      </c>
      <c r="O36" s="439"/>
      <c r="P36" s="439"/>
      <c r="R36" s="433">
        <f t="shared" si="1"/>
        <v>15.540000000000001</v>
      </c>
    </row>
    <row r="37" spans="1:18">
      <c r="A37" s="433">
        <v>16</v>
      </c>
      <c r="B37" s="437" t="s">
        <v>7138</v>
      </c>
      <c r="C37" s="438" t="s">
        <v>7164</v>
      </c>
      <c r="D37" s="437">
        <v>7.4</v>
      </c>
      <c r="E37" s="437">
        <v>12.9</v>
      </c>
      <c r="F37" s="437" t="s">
        <v>280</v>
      </c>
      <c r="G37" s="437" t="s">
        <v>7165</v>
      </c>
      <c r="H37" s="437" t="s">
        <v>7160</v>
      </c>
      <c r="I37" s="437">
        <v>2.2549999999999999</v>
      </c>
      <c r="J37" s="439">
        <f>0.8*2.1</f>
        <v>1.6800000000000002</v>
      </c>
      <c r="K37" s="439"/>
      <c r="L37" s="439">
        <f t="shared" si="5"/>
        <v>14.179500000000001</v>
      </c>
      <c r="M37" s="439"/>
      <c r="N37" s="439">
        <f>(E37-0.8)*1.2</f>
        <v>14.52</v>
      </c>
      <c r="O37" s="439"/>
      <c r="P37" s="439"/>
      <c r="R37" s="433">
        <f t="shared" si="1"/>
        <v>27.409500000000001</v>
      </c>
    </row>
    <row r="38" spans="1:18">
      <c r="A38" s="433">
        <v>28</v>
      </c>
      <c r="B38" s="437" t="s">
        <v>7146</v>
      </c>
      <c r="C38" s="438" t="s">
        <v>7178</v>
      </c>
      <c r="D38" s="437">
        <v>31.2</v>
      </c>
      <c r="E38" s="437">
        <v>23.1</v>
      </c>
      <c r="F38" s="437" t="s">
        <v>289</v>
      </c>
      <c r="G38" s="437" t="s">
        <v>330</v>
      </c>
      <c r="H38" s="437" t="s">
        <v>7160</v>
      </c>
      <c r="I38" s="437">
        <v>3</v>
      </c>
      <c r="J38" s="439">
        <f>1*2.1*2</f>
        <v>4.2</v>
      </c>
      <c r="K38" s="439">
        <f>2.5*2.09</f>
        <v>5.2249999999999996</v>
      </c>
      <c r="L38" s="439">
        <f t="shared" si="5"/>
        <v>61.104999999999997</v>
      </c>
      <c r="M38" s="439"/>
      <c r="N38" s="439">
        <f>0.9*1.2</f>
        <v>1.08</v>
      </c>
      <c r="O38" s="439"/>
      <c r="P38" s="439"/>
      <c r="R38" s="433">
        <f t="shared" si="1"/>
        <v>59.875000000000007</v>
      </c>
    </row>
    <row r="39" spans="1:18">
      <c r="A39" s="433">
        <v>29</v>
      </c>
      <c r="B39" s="437" t="s">
        <v>7146</v>
      </c>
      <c r="C39" s="438" t="s">
        <v>7179</v>
      </c>
      <c r="D39" s="437">
        <v>31</v>
      </c>
      <c r="E39" s="437">
        <v>23.2</v>
      </c>
      <c r="F39" s="437" t="s">
        <v>289</v>
      </c>
      <c r="G39" s="437" t="s">
        <v>330</v>
      </c>
      <c r="H39" s="437" t="s">
        <v>7160</v>
      </c>
      <c r="I39" s="437">
        <v>3</v>
      </c>
      <c r="J39" s="439">
        <f>1*2.1*2</f>
        <v>4.2</v>
      </c>
      <c r="K39" s="439">
        <f>2.5*2.09</f>
        <v>5.2249999999999996</v>
      </c>
      <c r="L39" s="439">
        <f t="shared" si="5"/>
        <v>61.414999999999999</v>
      </c>
      <c r="M39" s="439"/>
      <c r="N39" s="439">
        <f t="shared" ref="N39:N41" si="6">0.9*1.2</f>
        <v>1.08</v>
      </c>
      <c r="O39" s="439"/>
      <c r="P39" s="439"/>
      <c r="R39" s="433">
        <f t="shared" si="1"/>
        <v>60.17499999999999</v>
      </c>
    </row>
    <row r="40" spans="1:18">
      <c r="A40" s="433">
        <v>30</v>
      </c>
      <c r="B40" s="437" t="s">
        <v>7146</v>
      </c>
      <c r="C40" s="438" t="s">
        <v>7180</v>
      </c>
      <c r="D40" s="437">
        <v>30.9</v>
      </c>
      <c r="E40" s="437">
        <v>23.2</v>
      </c>
      <c r="F40" s="437" t="s">
        <v>289</v>
      </c>
      <c r="G40" s="437" t="s">
        <v>330</v>
      </c>
      <c r="H40" s="437" t="s">
        <v>7160</v>
      </c>
      <c r="I40" s="437">
        <v>3</v>
      </c>
      <c r="J40" s="439">
        <f>1*2.1*2</f>
        <v>4.2</v>
      </c>
      <c r="K40" s="439">
        <f>2.5*2.09</f>
        <v>5.2249999999999996</v>
      </c>
      <c r="L40" s="439">
        <f t="shared" si="5"/>
        <v>61.414999999999999</v>
      </c>
      <c r="M40" s="439"/>
      <c r="N40" s="439">
        <f t="shared" si="6"/>
        <v>1.08</v>
      </c>
      <c r="O40" s="439"/>
      <c r="P40" s="439"/>
      <c r="R40" s="433">
        <f t="shared" si="1"/>
        <v>60.17499999999999</v>
      </c>
    </row>
    <row r="41" spans="1:18">
      <c r="A41" s="433">
        <v>31</v>
      </c>
      <c r="B41" s="437" t="s">
        <v>7146</v>
      </c>
      <c r="C41" s="438" t="s">
        <v>7181</v>
      </c>
      <c r="D41" s="437">
        <v>31.2</v>
      </c>
      <c r="E41" s="437">
        <v>22.9</v>
      </c>
      <c r="F41" s="437" t="s">
        <v>289</v>
      </c>
      <c r="G41" s="437" t="s">
        <v>330</v>
      </c>
      <c r="H41" s="437" t="s">
        <v>7160</v>
      </c>
      <c r="I41" s="437">
        <v>3</v>
      </c>
      <c r="J41" s="439">
        <f>1*2.1*2</f>
        <v>4.2</v>
      </c>
      <c r="K41" s="439">
        <f>2.5*2.09</f>
        <v>5.2249999999999996</v>
      </c>
      <c r="L41" s="439">
        <f t="shared" si="5"/>
        <v>60.484999999999992</v>
      </c>
      <c r="M41" s="439"/>
      <c r="N41" s="439">
        <f t="shared" si="6"/>
        <v>1.08</v>
      </c>
      <c r="O41" s="439"/>
      <c r="P41" s="439"/>
      <c r="R41" s="433">
        <f t="shared" si="1"/>
        <v>59.274999999999984</v>
      </c>
    </row>
    <row r="42" spans="1:18">
      <c r="A42" s="433">
        <v>36</v>
      </c>
      <c r="B42" s="437" t="s">
        <v>7146</v>
      </c>
      <c r="C42" s="438" t="s">
        <v>7197</v>
      </c>
      <c r="D42" s="437">
        <v>3.6</v>
      </c>
      <c r="E42" s="437">
        <v>7.4</v>
      </c>
      <c r="F42" s="437" t="s">
        <v>294</v>
      </c>
      <c r="G42" s="437" t="s">
        <v>328</v>
      </c>
      <c r="H42" s="437" t="s">
        <v>7160</v>
      </c>
      <c r="I42" s="437">
        <v>2.7</v>
      </c>
      <c r="J42" s="439">
        <f>0.8*2.1+0.7*2.1</f>
        <v>3.1500000000000004</v>
      </c>
      <c r="K42" s="439"/>
      <c r="L42" s="439">
        <f t="shared" si="5"/>
        <v>10.49</v>
      </c>
      <c r="M42" s="439"/>
      <c r="N42" s="439">
        <f>(E42-0.8-0.7)*1.2</f>
        <v>7.08</v>
      </c>
      <c r="O42" s="439"/>
      <c r="P42" s="439"/>
      <c r="R42" s="433">
        <f t="shared" si="1"/>
        <v>16.830000000000005</v>
      </c>
    </row>
    <row r="43" spans="1:18">
      <c r="A43" s="433">
        <v>37</v>
      </c>
      <c r="B43" s="437" t="s">
        <v>7146</v>
      </c>
      <c r="C43" s="438" t="s">
        <v>7198</v>
      </c>
      <c r="D43" s="437">
        <v>1.8</v>
      </c>
      <c r="E43" s="437">
        <v>5.9</v>
      </c>
      <c r="F43" s="437" t="s">
        <v>294</v>
      </c>
      <c r="G43" s="437" t="s">
        <v>328</v>
      </c>
      <c r="H43" s="437" t="s">
        <v>7160</v>
      </c>
      <c r="I43" s="437">
        <v>2.7</v>
      </c>
      <c r="J43" s="439">
        <f>0.7*2.1</f>
        <v>1.47</v>
      </c>
      <c r="K43" s="439"/>
      <c r="L43" s="439">
        <f t="shared" si="5"/>
        <v>8.8100000000000023</v>
      </c>
      <c r="M43" s="439"/>
      <c r="N43" s="439">
        <f>(E43-0.7)*1.2</f>
        <v>6.24</v>
      </c>
      <c r="O43" s="439"/>
      <c r="P43" s="439"/>
      <c r="R43" s="433">
        <f t="shared" si="1"/>
        <v>14.46</v>
      </c>
    </row>
    <row r="44" spans="1:18">
      <c r="A44" s="433">
        <v>38</v>
      </c>
      <c r="B44" s="437" t="s">
        <v>7146</v>
      </c>
      <c r="C44" s="438" t="s">
        <v>7199</v>
      </c>
      <c r="D44" s="437">
        <v>4</v>
      </c>
      <c r="E44" s="437">
        <v>7.9</v>
      </c>
      <c r="F44" s="437" t="s">
        <v>294</v>
      </c>
      <c r="G44" s="437" t="s">
        <v>328</v>
      </c>
      <c r="H44" s="437" t="s">
        <v>7160</v>
      </c>
      <c r="I44" s="437">
        <v>2.7</v>
      </c>
      <c r="J44" s="439">
        <f>0.8*2.1+0.7*2.1*2</f>
        <v>4.62</v>
      </c>
      <c r="K44" s="439"/>
      <c r="L44" s="439">
        <f t="shared" si="5"/>
        <v>10.660000000000004</v>
      </c>
      <c r="M44" s="439"/>
      <c r="N44" s="439">
        <f>(E44-0.7*2-0.8)*1.2</f>
        <v>6.84</v>
      </c>
      <c r="O44" s="439"/>
      <c r="P44" s="439"/>
      <c r="R44" s="433">
        <f t="shared" si="1"/>
        <v>16.71</v>
      </c>
    </row>
    <row r="45" spans="1:18">
      <c r="A45" s="433">
        <v>39</v>
      </c>
      <c r="B45" s="437" t="s">
        <v>7146</v>
      </c>
      <c r="C45" s="438" t="s">
        <v>7200</v>
      </c>
      <c r="D45" s="437">
        <v>1.7</v>
      </c>
      <c r="E45" s="437">
        <v>5.4</v>
      </c>
      <c r="F45" s="437" t="s">
        <v>294</v>
      </c>
      <c r="G45" s="437" t="s">
        <v>328</v>
      </c>
      <c r="H45" s="437" t="s">
        <v>7160</v>
      </c>
      <c r="I45" s="437">
        <v>2.7</v>
      </c>
      <c r="J45" s="439">
        <f>0.7*2.1</f>
        <v>1.47</v>
      </c>
      <c r="K45" s="439"/>
      <c r="L45" s="439">
        <f t="shared" si="5"/>
        <v>8.0100000000000016</v>
      </c>
      <c r="M45" s="439"/>
      <c r="N45" s="439">
        <f t="shared" ref="N45:N46" si="7">(E45-0.7)*1.2</f>
        <v>5.64</v>
      </c>
      <c r="O45" s="439"/>
      <c r="P45" s="439"/>
      <c r="R45" s="433">
        <f t="shared" si="1"/>
        <v>13.110000000000001</v>
      </c>
    </row>
    <row r="46" spans="1:18">
      <c r="A46" s="433">
        <v>40</v>
      </c>
      <c r="B46" s="437" t="s">
        <v>7146</v>
      </c>
      <c r="C46" s="438" t="s">
        <v>7201</v>
      </c>
      <c r="D46" s="437">
        <v>1.7</v>
      </c>
      <c r="E46" s="437">
        <v>5.4</v>
      </c>
      <c r="F46" s="437" t="s">
        <v>294</v>
      </c>
      <c r="G46" s="437" t="s">
        <v>328</v>
      </c>
      <c r="H46" s="437" t="s">
        <v>7160</v>
      </c>
      <c r="I46" s="437">
        <v>2.7</v>
      </c>
      <c r="J46" s="439">
        <f>0.7*2.1</f>
        <v>1.47</v>
      </c>
      <c r="K46" s="439"/>
      <c r="L46" s="439">
        <f t="shared" si="5"/>
        <v>8.0100000000000016</v>
      </c>
      <c r="M46" s="439"/>
      <c r="N46" s="439">
        <f t="shared" si="7"/>
        <v>5.64</v>
      </c>
      <c r="O46" s="439"/>
      <c r="P46" s="439"/>
      <c r="R46" s="433">
        <f t="shared" si="1"/>
        <v>13.110000000000001</v>
      </c>
    </row>
    <row r="47" spans="1:18">
      <c r="A47" s="433">
        <v>41</v>
      </c>
      <c r="B47" s="437" t="s">
        <v>7146</v>
      </c>
      <c r="C47" s="438" t="s">
        <v>7202</v>
      </c>
      <c r="D47" s="437">
        <v>5</v>
      </c>
      <c r="E47" s="437">
        <v>9</v>
      </c>
      <c r="F47" s="437" t="s">
        <v>294</v>
      </c>
      <c r="G47" s="437" t="s">
        <v>328</v>
      </c>
      <c r="H47" s="437" t="s">
        <v>7160</v>
      </c>
      <c r="I47" s="437">
        <v>2.7</v>
      </c>
      <c r="J47" s="439">
        <f>0.9*2.1</f>
        <v>1.8900000000000001</v>
      </c>
      <c r="K47" s="439"/>
      <c r="L47" s="439">
        <f t="shared" si="5"/>
        <v>13.590000000000003</v>
      </c>
      <c r="M47" s="439"/>
      <c r="N47" s="439">
        <f>(E47-0.9)*1.2</f>
        <v>9.7199999999999989</v>
      </c>
      <c r="O47" s="439"/>
      <c r="P47" s="439"/>
      <c r="R47" s="433">
        <f t="shared" si="1"/>
        <v>22.41</v>
      </c>
    </row>
    <row r="48" spans="1:18">
      <c r="A48" s="433">
        <v>56</v>
      </c>
      <c r="B48" s="437" t="s">
        <v>7149</v>
      </c>
      <c r="C48" s="438" t="s">
        <v>7182</v>
      </c>
      <c r="D48" s="437">
        <v>31.1</v>
      </c>
      <c r="E48" s="437">
        <v>23.1</v>
      </c>
      <c r="F48" s="437" t="s">
        <v>289</v>
      </c>
      <c r="G48" s="437" t="s">
        <v>330</v>
      </c>
      <c r="H48" s="437" t="s">
        <v>7160</v>
      </c>
      <c r="I48" s="437">
        <v>3</v>
      </c>
      <c r="J48" s="439">
        <f>1*2.1*2</f>
        <v>4.2</v>
      </c>
      <c r="K48" s="439">
        <f>2.5*2.19</f>
        <v>5.4749999999999996</v>
      </c>
      <c r="L48" s="439">
        <f t="shared" si="5"/>
        <v>60.854999999999997</v>
      </c>
      <c r="M48" s="439"/>
      <c r="N48" s="439">
        <f>0.9*1.2</f>
        <v>1.08</v>
      </c>
      <c r="O48" s="439"/>
      <c r="P48" s="439"/>
      <c r="R48" s="433">
        <f t="shared" si="1"/>
        <v>59.625000000000007</v>
      </c>
    </row>
    <row r="49" spans="1:18">
      <c r="A49" s="433">
        <v>57</v>
      </c>
      <c r="B49" s="437" t="s">
        <v>7149</v>
      </c>
      <c r="C49" s="438" t="s">
        <v>7183</v>
      </c>
      <c r="D49" s="437">
        <v>33</v>
      </c>
      <c r="E49" s="437">
        <v>24.1</v>
      </c>
      <c r="F49" s="437" t="s">
        <v>289</v>
      </c>
      <c r="G49" s="437" t="s">
        <v>330</v>
      </c>
      <c r="H49" s="437" t="s">
        <v>7160</v>
      </c>
      <c r="I49" s="437">
        <v>3</v>
      </c>
      <c r="J49" s="439">
        <f>1*2.1*3</f>
        <v>6.3000000000000007</v>
      </c>
      <c r="K49" s="439">
        <f>2.5*2.19</f>
        <v>5.4749999999999996</v>
      </c>
      <c r="L49" s="439">
        <f t="shared" si="5"/>
        <v>61.855000000000011</v>
      </c>
      <c r="M49" s="439"/>
      <c r="N49" s="439">
        <f>0.9*1.2</f>
        <v>1.08</v>
      </c>
      <c r="O49" s="439"/>
      <c r="P49" s="439"/>
      <c r="R49" s="433">
        <f t="shared" si="1"/>
        <v>60.525000000000013</v>
      </c>
    </row>
    <row r="50" spans="1:18">
      <c r="A50" s="433">
        <v>58</v>
      </c>
      <c r="B50" s="437" t="s">
        <v>7149</v>
      </c>
      <c r="C50" s="438" t="s">
        <v>7184</v>
      </c>
      <c r="D50" s="437">
        <v>32</v>
      </c>
      <c r="E50" s="437">
        <v>23.9</v>
      </c>
      <c r="F50" s="437" t="s">
        <v>289</v>
      </c>
      <c r="G50" s="437" t="s">
        <v>330</v>
      </c>
      <c r="H50" s="437" t="s">
        <v>7160</v>
      </c>
      <c r="I50" s="437">
        <v>3</v>
      </c>
      <c r="J50" s="439">
        <f>1*2.1*2+0.7*2.1</f>
        <v>5.67</v>
      </c>
      <c r="K50" s="439">
        <f>2.5*2.19</f>
        <v>5.4749999999999996</v>
      </c>
      <c r="L50" s="439">
        <f t="shared" si="5"/>
        <v>61.865000000000002</v>
      </c>
      <c r="M50" s="439"/>
      <c r="N50" s="439">
        <f>0.9*1.2</f>
        <v>1.08</v>
      </c>
      <c r="O50" s="439"/>
      <c r="P50" s="439"/>
      <c r="R50" s="433">
        <f t="shared" si="1"/>
        <v>60.554999999999986</v>
      </c>
    </row>
    <row r="51" spans="1:18">
      <c r="A51" s="433">
        <v>65</v>
      </c>
      <c r="B51" s="437" t="s">
        <v>7149</v>
      </c>
      <c r="C51" s="438" t="s">
        <v>7203</v>
      </c>
      <c r="D51" s="437">
        <v>5.7</v>
      </c>
      <c r="E51" s="437">
        <v>9.65</v>
      </c>
      <c r="F51" s="437" t="s">
        <v>294</v>
      </c>
      <c r="G51" s="437" t="s">
        <v>328</v>
      </c>
      <c r="H51" s="437" t="s">
        <v>7160</v>
      </c>
      <c r="I51" s="437">
        <v>2.7</v>
      </c>
      <c r="J51" s="439">
        <f>0.8*2.1*2+0.7*2.1</f>
        <v>4.83</v>
      </c>
      <c r="K51" s="439"/>
      <c r="L51" s="439">
        <f t="shared" si="5"/>
        <v>13.370000000000003</v>
      </c>
      <c r="M51" s="439"/>
      <c r="N51" s="439">
        <f>(E51-0.7-0.8*2)*1.2</f>
        <v>8.8200000000000021</v>
      </c>
      <c r="O51" s="439"/>
      <c r="P51" s="439"/>
      <c r="R51" s="433">
        <f t="shared" si="1"/>
        <v>21.225000000000001</v>
      </c>
    </row>
    <row r="52" spans="1:18">
      <c r="A52" s="433">
        <v>66</v>
      </c>
      <c r="B52" s="437" t="s">
        <v>7149</v>
      </c>
      <c r="C52" s="438" t="s">
        <v>7204</v>
      </c>
      <c r="D52" s="437">
        <v>2</v>
      </c>
      <c r="E52" s="437">
        <v>6.2</v>
      </c>
      <c r="F52" s="437" t="s">
        <v>294</v>
      </c>
      <c r="G52" s="437" t="s">
        <v>328</v>
      </c>
      <c r="H52" s="437" t="s">
        <v>7160</v>
      </c>
      <c r="I52" s="437">
        <v>2.7</v>
      </c>
      <c r="J52" s="439">
        <f>0.7*2.1</f>
        <v>1.47</v>
      </c>
      <c r="K52" s="439"/>
      <c r="L52" s="439">
        <f t="shared" si="5"/>
        <v>9.2900000000000027</v>
      </c>
      <c r="M52" s="439"/>
      <c r="N52" s="439">
        <f t="shared" ref="N52:N55" si="8">(E52-0.7)*1.2</f>
        <v>6.6</v>
      </c>
      <c r="O52" s="439"/>
      <c r="P52" s="439"/>
      <c r="R52" s="433">
        <f t="shared" si="1"/>
        <v>15.270000000000001</v>
      </c>
    </row>
    <row r="53" spans="1:18">
      <c r="A53" s="433">
        <v>67</v>
      </c>
      <c r="B53" s="437" t="s">
        <v>7149</v>
      </c>
      <c r="C53" s="438" t="s">
        <v>7205</v>
      </c>
      <c r="D53" s="437">
        <v>4.0999999999999996</v>
      </c>
      <c r="E53" s="437">
        <v>7.9</v>
      </c>
      <c r="F53" s="437" t="s">
        <v>294</v>
      </c>
      <c r="G53" s="437" t="s">
        <v>328</v>
      </c>
      <c r="H53" s="437" t="s">
        <v>7160</v>
      </c>
      <c r="I53" s="437">
        <v>2.7</v>
      </c>
      <c r="J53" s="439">
        <f>0.8*2.1</f>
        <v>1.6800000000000002</v>
      </c>
      <c r="K53" s="439"/>
      <c r="L53" s="439">
        <f t="shared" si="5"/>
        <v>11.920000000000005</v>
      </c>
      <c r="M53" s="439"/>
      <c r="N53" s="439">
        <f>(E53-0.8)*1.2</f>
        <v>8.52</v>
      </c>
      <c r="O53" s="439"/>
      <c r="P53" s="439"/>
      <c r="R53" s="433">
        <f t="shared" si="1"/>
        <v>19.650000000000002</v>
      </c>
    </row>
    <row r="54" spans="1:18">
      <c r="A54" s="433">
        <v>68</v>
      </c>
      <c r="B54" s="437" t="s">
        <v>7149</v>
      </c>
      <c r="C54" s="438" t="s">
        <v>7206</v>
      </c>
      <c r="D54" s="437">
        <v>5.7</v>
      </c>
      <c r="E54" s="437">
        <v>9.65</v>
      </c>
      <c r="F54" s="437" t="s">
        <v>294</v>
      </c>
      <c r="G54" s="437" t="s">
        <v>328</v>
      </c>
      <c r="H54" s="437" t="s">
        <v>7160</v>
      </c>
      <c r="I54" s="437">
        <v>2.7</v>
      </c>
      <c r="J54" s="439">
        <f>0.8*2.1*2+0.7*2.1</f>
        <v>4.83</v>
      </c>
      <c r="K54" s="439"/>
      <c r="L54" s="439">
        <f t="shared" si="5"/>
        <v>13.370000000000003</v>
      </c>
      <c r="M54" s="439"/>
      <c r="N54" s="439">
        <f>(E54-0.7-0.8*2)*1.2</f>
        <v>8.8200000000000021</v>
      </c>
      <c r="O54" s="439"/>
      <c r="P54" s="439"/>
      <c r="R54" s="433">
        <f t="shared" si="1"/>
        <v>21.225000000000001</v>
      </c>
    </row>
    <row r="55" spans="1:18">
      <c r="A55" s="433">
        <v>69</v>
      </c>
      <c r="B55" s="437" t="s">
        <v>7149</v>
      </c>
      <c r="C55" s="438" t="s">
        <v>7207</v>
      </c>
      <c r="D55" s="437">
        <v>1.7</v>
      </c>
      <c r="E55" s="437">
        <v>5.5</v>
      </c>
      <c r="F55" s="437" t="s">
        <v>294</v>
      </c>
      <c r="G55" s="437" t="s">
        <v>328</v>
      </c>
      <c r="H55" s="437" t="s">
        <v>7160</v>
      </c>
      <c r="I55" s="437">
        <v>2.7</v>
      </c>
      <c r="J55" s="439">
        <f>0.7*2.1</f>
        <v>1.47</v>
      </c>
      <c r="K55" s="439"/>
      <c r="L55" s="439">
        <f t="shared" si="5"/>
        <v>8.1700000000000017</v>
      </c>
      <c r="M55" s="439"/>
      <c r="N55" s="439">
        <f t="shared" si="8"/>
        <v>5.76</v>
      </c>
      <c r="O55" s="439"/>
      <c r="P55" s="439"/>
      <c r="R55" s="433">
        <f t="shared" si="1"/>
        <v>13.38</v>
      </c>
    </row>
    <row r="56" spans="1:18">
      <c r="A56" s="433">
        <v>70</v>
      </c>
      <c r="B56" s="437" t="s">
        <v>7149</v>
      </c>
      <c r="C56" s="438" t="s">
        <v>7208</v>
      </c>
      <c r="D56" s="437">
        <v>4.0999999999999996</v>
      </c>
      <c r="E56" s="437">
        <v>7.9</v>
      </c>
      <c r="F56" s="437" t="s">
        <v>294</v>
      </c>
      <c r="G56" s="437" t="s">
        <v>328</v>
      </c>
      <c r="H56" s="437" t="s">
        <v>7160</v>
      </c>
      <c r="I56" s="437">
        <v>2.7</v>
      </c>
      <c r="J56" s="439">
        <f>0.8*2.1</f>
        <v>1.6800000000000002</v>
      </c>
      <c r="K56" s="439"/>
      <c r="L56" s="439">
        <f t="shared" si="5"/>
        <v>11.920000000000005</v>
      </c>
      <c r="M56" s="439"/>
      <c r="N56" s="439">
        <f>(E56-0.8)*1.2</f>
        <v>8.52</v>
      </c>
      <c r="O56" s="439"/>
      <c r="P56" s="439"/>
      <c r="R56" s="433">
        <f t="shared" si="1"/>
        <v>19.650000000000002</v>
      </c>
    </row>
    <row r="57" spans="1:18">
      <c r="A57" s="433">
        <v>71</v>
      </c>
      <c r="B57" s="437" t="s">
        <v>7149</v>
      </c>
      <c r="C57" s="438" t="s">
        <v>7209</v>
      </c>
      <c r="D57" s="437">
        <v>3.5</v>
      </c>
      <c r="E57" s="437">
        <v>7.9</v>
      </c>
      <c r="F57" s="437" t="s">
        <v>294</v>
      </c>
      <c r="G57" s="437" t="s">
        <v>328</v>
      </c>
      <c r="H57" s="437" t="s">
        <v>7160</v>
      </c>
      <c r="I57" s="437">
        <v>2.7</v>
      </c>
      <c r="J57" s="439">
        <f>0.9*2.1</f>
        <v>1.8900000000000001</v>
      </c>
      <c r="K57" s="439"/>
      <c r="L57" s="439">
        <f t="shared" si="5"/>
        <v>11.830000000000004</v>
      </c>
      <c r="M57" s="439"/>
      <c r="N57" s="439">
        <f>(E57-0.9)*1.2</f>
        <v>8.4</v>
      </c>
      <c r="O57" s="439"/>
      <c r="P57" s="439"/>
      <c r="R57" s="433">
        <f t="shared" si="1"/>
        <v>19.440000000000001</v>
      </c>
    </row>
    <row r="58" spans="1:18">
      <c r="A58" s="433">
        <v>72</v>
      </c>
      <c r="B58" s="437" t="s">
        <v>7149</v>
      </c>
      <c r="C58" s="438" t="s">
        <v>7211</v>
      </c>
      <c r="D58" s="437">
        <v>5.2</v>
      </c>
      <c r="E58" s="437">
        <v>9.9</v>
      </c>
      <c r="F58" s="437" t="s">
        <v>296</v>
      </c>
      <c r="G58" s="437" t="s">
        <v>7140</v>
      </c>
      <c r="H58" s="437" t="s">
        <v>7160</v>
      </c>
      <c r="I58" s="437">
        <v>3.4350000000000001</v>
      </c>
      <c r="J58" s="439">
        <f>0.9*2.1</f>
        <v>1.8900000000000001</v>
      </c>
      <c r="K58" s="439"/>
      <c r="L58" s="439">
        <f>E58*I58-J58-K58-N58</f>
        <v>32.116500000000002</v>
      </c>
      <c r="M58" s="439"/>
      <c r="N58" s="436"/>
      <c r="O58" s="439"/>
      <c r="P58" s="439"/>
      <c r="R58" s="433">
        <f t="shared" si="1"/>
        <v>32.116500000000002</v>
      </c>
    </row>
    <row r="59" spans="1:18">
      <c r="A59" s="433">
        <v>8</v>
      </c>
      <c r="B59" s="437" t="s">
        <v>7138</v>
      </c>
      <c r="C59" s="438" t="s">
        <v>7154</v>
      </c>
      <c r="D59" s="437">
        <v>171.2</v>
      </c>
      <c r="E59" s="437">
        <f>53.6+0.4*4*3</f>
        <v>58.400000000000006</v>
      </c>
      <c r="F59" s="437" t="s">
        <v>278</v>
      </c>
      <c r="G59" s="437" t="s">
        <v>7155</v>
      </c>
      <c r="H59" s="437" t="s">
        <v>7238</v>
      </c>
      <c r="I59" s="437">
        <v>3.42</v>
      </c>
      <c r="J59" s="439">
        <v>2.1</v>
      </c>
      <c r="K59" s="439"/>
      <c r="L59" s="439"/>
      <c r="M59" s="439"/>
      <c r="N59" s="439"/>
      <c r="O59" s="439"/>
      <c r="P59" s="439"/>
      <c r="R59" s="433">
        <f t="shared" si="1"/>
        <v>197.62800000000001</v>
      </c>
    </row>
    <row r="60" spans="1:18">
      <c r="A60" s="433">
        <v>9</v>
      </c>
      <c r="B60" s="437" t="s">
        <v>7138</v>
      </c>
      <c r="C60" s="438" t="s">
        <v>7156</v>
      </c>
      <c r="D60" s="437">
        <v>171.2</v>
      </c>
      <c r="E60" s="437">
        <f>53.6+0.4*4*3</f>
        <v>58.400000000000006</v>
      </c>
      <c r="F60" s="437" t="s">
        <v>278</v>
      </c>
      <c r="G60" s="437" t="s">
        <v>7155</v>
      </c>
      <c r="H60" s="437" t="s">
        <v>7238</v>
      </c>
      <c r="I60" s="437">
        <v>3.42</v>
      </c>
      <c r="J60" s="439">
        <v>2.1</v>
      </c>
      <c r="K60" s="439"/>
      <c r="L60" s="439"/>
      <c r="M60" s="439"/>
      <c r="N60" s="439"/>
      <c r="O60" s="439"/>
      <c r="P60" s="439"/>
      <c r="R60" s="433">
        <f t="shared" si="1"/>
        <v>197.62800000000001</v>
      </c>
    </row>
    <row r="61" spans="1:18">
      <c r="A61" s="433">
        <v>10</v>
      </c>
      <c r="B61" s="437" t="s">
        <v>7138</v>
      </c>
      <c r="C61" s="438" t="s">
        <v>7157</v>
      </c>
      <c r="D61" s="437">
        <v>171.2</v>
      </c>
      <c r="E61" s="437">
        <f>53.6+0.4*4*3</f>
        <v>58.400000000000006</v>
      </c>
      <c r="F61" s="437" t="s">
        <v>278</v>
      </c>
      <c r="G61" s="437" t="s">
        <v>7155</v>
      </c>
      <c r="H61" s="437" t="s">
        <v>7238</v>
      </c>
      <c r="I61" s="437">
        <v>3.42</v>
      </c>
      <c r="J61" s="439">
        <v>2.1</v>
      </c>
      <c r="K61" s="439"/>
      <c r="L61" s="439"/>
      <c r="M61" s="439"/>
      <c r="N61" s="439"/>
      <c r="O61" s="439"/>
      <c r="P61" s="439"/>
      <c r="R61" s="433">
        <f t="shared" si="1"/>
        <v>197.62800000000001</v>
      </c>
    </row>
    <row r="62" spans="1:18">
      <c r="A62" s="433">
        <v>11</v>
      </c>
      <c r="B62" s="437" t="s">
        <v>7138</v>
      </c>
      <c r="C62" s="438" t="s">
        <v>7158</v>
      </c>
      <c r="D62" s="437">
        <v>171.2</v>
      </c>
      <c r="E62" s="437">
        <f>53.6+0.4*4*3</f>
        <v>58.400000000000006</v>
      </c>
      <c r="F62" s="437" t="s">
        <v>278</v>
      </c>
      <c r="G62" s="437" t="s">
        <v>7155</v>
      </c>
      <c r="H62" s="437" t="s">
        <v>7238</v>
      </c>
      <c r="I62" s="437">
        <v>3.42</v>
      </c>
      <c r="J62" s="439">
        <v>2.1</v>
      </c>
      <c r="K62" s="439"/>
      <c r="L62" s="439"/>
      <c r="M62" s="439"/>
      <c r="N62" s="439"/>
      <c r="O62" s="439"/>
      <c r="P62" s="439"/>
      <c r="R62" s="433">
        <f t="shared" si="1"/>
        <v>197.62800000000001</v>
      </c>
    </row>
    <row r="63" spans="1:18">
      <c r="A63" s="433">
        <v>20</v>
      </c>
      <c r="B63" s="437" t="s">
        <v>7138</v>
      </c>
      <c r="C63" s="438" t="s">
        <v>7221</v>
      </c>
      <c r="D63" s="437">
        <v>5.8</v>
      </c>
      <c r="E63" s="437">
        <v>0</v>
      </c>
      <c r="F63" s="437" t="s">
        <v>7155</v>
      </c>
      <c r="G63" s="437" t="s">
        <v>7219</v>
      </c>
      <c r="H63" s="437" t="s">
        <v>7155</v>
      </c>
      <c r="I63" s="437"/>
      <c r="J63" s="439"/>
      <c r="K63" s="439"/>
      <c r="L63" s="439"/>
      <c r="M63" s="439">
        <f t="shared" ref="M63:M74" si="9">E63*I63-J63-K63</f>
        <v>0</v>
      </c>
      <c r="N63" s="439"/>
      <c r="O63" s="439"/>
      <c r="P63" s="439"/>
      <c r="R63" s="433">
        <f t="shared" si="1"/>
        <v>0</v>
      </c>
    </row>
    <row r="64" spans="1:18">
      <c r="A64" s="433">
        <v>21</v>
      </c>
      <c r="B64" s="437" t="s">
        <v>7138</v>
      </c>
      <c r="C64" s="438" t="s">
        <v>7222</v>
      </c>
      <c r="D64" s="437">
        <v>5.8</v>
      </c>
      <c r="E64" s="437">
        <v>0</v>
      </c>
      <c r="F64" s="437" t="s">
        <v>7155</v>
      </c>
      <c r="G64" s="437" t="s">
        <v>7219</v>
      </c>
      <c r="H64" s="437" t="s">
        <v>7155</v>
      </c>
      <c r="I64" s="437"/>
      <c r="J64" s="439"/>
      <c r="K64" s="439"/>
      <c r="L64" s="439"/>
      <c r="M64" s="439">
        <f t="shared" si="9"/>
        <v>0</v>
      </c>
      <c r="N64" s="439"/>
      <c r="O64" s="439"/>
      <c r="P64" s="439"/>
      <c r="R64" s="433">
        <f t="shared" si="1"/>
        <v>0</v>
      </c>
    </row>
    <row r="65" spans="1:18">
      <c r="A65" s="433">
        <v>32</v>
      </c>
      <c r="B65" s="437" t="s">
        <v>7146</v>
      </c>
      <c r="C65" s="438" t="s">
        <v>7190</v>
      </c>
      <c r="D65" s="437">
        <v>171.2</v>
      </c>
      <c r="E65" s="437">
        <f>53.6+0.4*4*3</f>
        <v>58.400000000000006</v>
      </c>
      <c r="F65" s="437" t="s">
        <v>292</v>
      </c>
      <c r="G65" s="437" t="s">
        <v>7155</v>
      </c>
      <c r="H65" s="437" t="s">
        <v>7238</v>
      </c>
      <c r="I65" s="437">
        <v>3.45</v>
      </c>
      <c r="J65" s="439">
        <f>1*2.1</f>
        <v>2.1</v>
      </c>
      <c r="K65" s="439"/>
      <c r="L65" s="439"/>
      <c r="M65" s="439"/>
      <c r="N65" s="439"/>
      <c r="O65" s="439"/>
      <c r="P65" s="439"/>
      <c r="R65" s="433">
        <f t="shared" si="1"/>
        <v>199.38000000000002</v>
      </c>
    </row>
    <row r="66" spans="1:18">
      <c r="A66" s="433">
        <v>33</v>
      </c>
      <c r="B66" s="437" t="s">
        <v>7146</v>
      </c>
      <c r="C66" s="438" t="s">
        <v>7191</v>
      </c>
      <c r="D66" s="437">
        <v>171.2</v>
      </c>
      <c r="E66" s="437">
        <f>53.6+0.4*4*3</f>
        <v>58.400000000000006</v>
      </c>
      <c r="F66" s="437" t="s">
        <v>292</v>
      </c>
      <c r="G66" s="437" t="s">
        <v>7155</v>
      </c>
      <c r="H66" s="437" t="s">
        <v>7238</v>
      </c>
      <c r="I66" s="437">
        <v>3.45</v>
      </c>
      <c r="J66" s="439">
        <f>1*2.1</f>
        <v>2.1</v>
      </c>
      <c r="K66" s="439"/>
      <c r="L66" s="439"/>
      <c r="M66" s="439"/>
      <c r="N66" s="439"/>
      <c r="O66" s="439"/>
      <c r="P66" s="439"/>
      <c r="R66" s="433">
        <f t="shared" si="1"/>
        <v>199.38000000000002</v>
      </c>
    </row>
    <row r="67" spans="1:18">
      <c r="A67" s="433">
        <v>34</v>
      </c>
      <c r="B67" s="437" t="s">
        <v>7146</v>
      </c>
      <c r="C67" s="438" t="s">
        <v>7192</v>
      </c>
      <c r="D67" s="437">
        <v>171.2</v>
      </c>
      <c r="E67" s="437">
        <f>53.6+0.4*4*3</f>
        <v>58.400000000000006</v>
      </c>
      <c r="F67" s="437" t="s">
        <v>292</v>
      </c>
      <c r="G67" s="437" t="s">
        <v>7155</v>
      </c>
      <c r="H67" s="437" t="s">
        <v>7238</v>
      </c>
      <c r="I67" s="437">
        <v>3.45</v>
      </c>
      <c r="J67" s="439">
        <f>1*2.1</f>
        <v>2.1</v>
      </c>
      <c r="K67" s="439"/>
      <c r="L67" s="439"/>
      <c r="M67" s="439"/>
      <c r="N67" s="439"/>
      <c r="O67" s="439"/>
      <c r="P67" s="439"/>
      <c r="R67" s="433">
        <f t="shared" si="1"/>
        <v>199.38000000000002</v>
      </c>
    </row>
    <row r="68" spans="1:18">
      <c r="A68" s="433">
        <v>35</v>
      </c>
      <c r="B68" s="437" t="s">
        <v>7146</v>
      </c>
      <c r="C68" s="438" t="s">
        <v>7193</v>
      </c>
      <c r="D68" s="437">
        <v>171.2</v>
      </c>
      <c r="E68" s="437">
        <f>53.6+0.4*4*3</f>
        <v>58.400000000000006</v>
      </c>
      <c r="F68" s="437" t="s">
        <v>292</v>
      </c>
      <c r="G68" s="437" t="s">
        <v>7155</v>
      </c>
      <c r="H68" s="437" t="s">
        <v>7238</v>
      </c>
      <c r="I68" s="437">
        <v>3.45</v>
      </c>
      <c r="J68" s="439">
        <f>1*2.1</f>
        <v>2.1</v>
      </c>
      <c r="K68" s="439"/>
      <c r="L68" s="439"/>
      <c r="M68" s="439"/>
      <c r="N68" s="439"/>
      <c r="O68" s="439"/>
      <c r="P68" s="439"/>
      <c r="R68" s="433">
        <f t="shared" ref="R68:R89" si="10">E68*I68-J68-K68</f>
        <v>199.38000000000002</v>
      </c>
    </row>
    <row r="69" spans="1:18">
      <c r="A69" s="433">
        <v>45</v>
      </c>
      <c r="B69" s="437" t="s">
        <v>7146</v>
      </c>
      <c r="C69" s="438" t="s">
        <v>7226</v>
      </c>
      <c r="D69" s="437">
        <v>5.8</v>
      </c>
      <c r="E69" s="437">
        <v>0</v>
      </c>
      <c r="F69" s="437" t="s">
        <v>7219</v>
      </c>
      <c r="G69" s="437" t="s">
        <v>7219</v>
      </c>
      <c r="H69" s="437" t="s">
        <v>7155</v>
      </c>
      <c r="I69" s="437"/>
      <c r="J69" s="439"/>
      <c r="K69" s="439"/>
      <c r="L69" s="439"/>
      <c r="M69" s="439">
        <f t="shared" si="9"/>
        <v>0</v>
      </c>
      <c r="N69" s="439"/>
      <c r="O69" s="439"/>
      <c r="P69" s="439"/>
      <c r="R69" s="433">
        <f t="shared" si="10"/>
        <v>0</v>
      </c>
    </row>
    <row r="70" spans="1:18">
      <c r="A70" s="433">
        <v>46</v>
      </c>
      <c r="B70" s="437" t="s">
        <v>7146</v>
      </c>
      <c r="C70" s="438" t="s">
        <v>7227</v>
      </c>
      <c r="D70" s="437">
        <v>5.8</v>
      </c>
      <c r="E70" s="437">
        <v>0</v>
      </c>
      <c r="F70" s="437" t="s">
        <v>7219</v>
      </c>
      <c r="G70" s="437" t="s">
        <v>7219</v>
      </c>
      <c r="H70" s="437" t="s">
        <v>7155</v>
      </c>
      <c r="I70" s="437"/>
      <c r="J70" s="439"/>
      <c r="K70" s="439"/>
      <c r="L70" s="439"/>
      <c r="M70" s="439">
        <f t="shared" si="9"/>
        <v>0</v>
      </c>
      <c r="N70" s="439"/>
      <c r="O70" s="439"/>
      <c r="P70" s="439"/>
      <c r="R70" s="433">
        <f t="shared" si="10"/>
        <v>0</v>
      </c>
    </row>
    <row r="71" spans="1:18">
      <c r="A71" s="433">
        <v>77</v>
      </c>
      <c r="B71" s="437" t="s">
        <v>7149</v>
      </c>
      <c r="C71" s="438" t="s">
        <v>7228</v>
      </c>
      <c r="D71" s="437">
        <v>5.8</v>
      </c>
      <c r="E71" s="437">
        <v>0</v>
      </c>
      <c r="F71" s="437" t="s">
        <v>7219</v>
      </c>
      <c r="G71" s="437" t="s">
        <v>7219</v>
      </c>
      <c r="H71" s="437" t="s">
        <v>7155</v>
      </c>
      <c r="I71" s="437"/>
      <c r="J71" s="439"/>
      <c r="K71" s="439"/>
      <c r="L71" s="439"/>
      <c r="M71" s="439">
        <f t="shared" si="9"/>
        <v>0</v>
      </c>
      <c r="N71" s="439"/>
      <c r="O71" s="439"/>
      <c r="P71" s="439"/>
      <c r="R71" s="433">
        <f t="shared" si="10"/>
        <v>0</v>
      </c>
    </row>
    <row r="72" spans="1:18">
      <c r="A72" s="433">
        <v>78</v>
      </c>
      <c r="B72" s="437" t="s">
        <v>7149</v>
      </c>
      <c r="C72" s="438" t="s">
        <v>7229</v>
      </c>
      <c r="D72" s="437">
        <v>5.8</v>
      </c>
      <c r="E72" s="437">
        <v>0</v>
      </c>
      <c r="F72" s="437" t="s">
        <v>7219</v>
      </c>
      <c r="G72" s="437" t="s">
        <v>7219</v>
      </c>
      <c r="H72" s="437" t="s">
        <v>7155</v>
      </c>
      <c r="I72" s="437"/>
      <c r="J72" s="439"/>
      <c r="K72" s="439"/>
      <c r="L72" s="439"/>
      <c r="M72" s="439">
        <f t="shared" si="9"/>
        <v>0</v>
      </c>
      <c r="N72" s="439"/>
      <c r="O72" s="439"/>
      <c r="P72" s="439"/>
      <c r="R72" s="433">
        <f t="shared" si="10"/>
        <v>0</v>
      </c>
    </row>
    <row r="73" spans="1:18">
      <c r="A73" s="433">
        <v>85</v>
      </c>
      <c r="B73" s="437" t="s">
        <v>7175</v>
      </c>
      <c r="C73" s="438" t="s">
        <v>7230</v>
      </c>
      <c r="D73" s="437">
        <v>5.8</v>
      </c>
      <c r="E73" s="437">
        <v>10.5</v>
      </c>
      <c r="F73" s="437" t="s">
        <v>7219</v>
      </c>
      <c r="G73" s="437" t="s">
        <v>7155</v>
      </c>
      <c r="H73" s="437" t="s">
        <v>7155</v>
      </c>
      <c r="I73" s="437">
        <v>16.52</v>
      </c>
      <c r="J73" s="439">
        <f>1.4*2.26*4</f>
        <v>12.655999999999999</v>
      </c>
      <c r="K73" s="439"/>
      <c r="L73" s="439"/>
      <c r="M73" s="439">
        <f t="shared" si="9"/>
        <v>160.804</v>
      </c>
      <c r="N73" s="439"/>
      <c r="O73" s="439"/>
      <c r="P73" s="439"/>
      <c r="R73" s="433">
        <f t="shared" si="10"/>
        <v>160.804</v>
      </c>
    </row>
    <row r="74" spans="1:18">
      <c r="A74" s="433">
        <v>86</v>
      </c>
      <c r="B74" s="437" t="s">
        <v>7175</v>
      </c>
      <c r="C74" s="438" t="s">
        <v>7231</v>
      </c>
      <c r="D74" s="437">
        <v>5.8</v>
      </c>
      <c r="E74" s="437">
        <v>10.5</v>
      </c>
      <c r="F74" s="437" t="s">
        <v>7219</v>
      </c>
      <c r="G74" s="437" t="s">
        <v>7219</v>
      </c>
      <c r="H74" s="437" t="s">
        <v>7155</v>
      </c>
      <c r="I74" s="437">
        <v>16.52</v>
      </c>
      <c r="J74" s="439">
        <f>1.4*2.26*4</f>
        <v>12.655999999999999</v>
      </c>
      <c r="K74" s="439"/>
      <c r="L74" s="439"/>
      <c r="M74" s="439">
        <f t="shared" si="9"/>
        <v>160.804</v>
      </c>
      <c r="N74" s="439"/>
      <c r="O74" s="439"/>
      <c r="P74" s="439"/>
      <c r="R74" s="433">
        <f t="shared" si="10"/>
        <v>160.804</v>
      </c>
    </row>
    <row r="75" spans="1:18">
      <c r="A75" s="433">
        <v>59</v>
      </c>
      <c r="B75" s="437" t="s">
        <v>7149</v>
      </c>
      <c r="C75" s="438" t="s">
        <v>7185</v>
      </c>
      <c r="D75" s="437">
        <v>43.3</v>
      </c>
      <c r="E75" s="437">
        <f>26.4+0.4*2+0.3*2-2.625-4.75-5.125</f>
        <v>15.3</v>
      </c>
      <c r="F75" s="437" t="s">
        <v>289</v>
      </c>
      <c r="G75" s="437" t="s">
        <v>330</v>
      </c>
      <c r="H75" s="437" t="s">
        <v>7165</v>
      </c>
      <c r="I75" s="437">
        <v>3.5</v>
      </c>
      <c r="J75" s="439">
        <f>1*2.1</f>
        <v>2.1</v>
      </c>
      <c r="K75" s="439"/>
      <c r="L75" s="439"/>
      <c r="M75" s="439"/>
      <c r="N75" s="439"/>
      <c r="O75" s="439">
        <f>E75*I75-J75-K75</f>
        <v>51.45</v>
      </c>
      <c r="P75" s="439"/>
      <c r="R75" s="433">
        <f t="shared" si="10"/>
        <v>51.45</v>
      </c>
    </row>
    <row r="76" spans="1:18">
      <c r="A76" s="433">
        <v>60</v>
      </c>
      <c r="B76" s="437" t="s">
        <v>7149</v>
      </c>
      <c r="C76" s="438" t="s">
        <v>7186</v>
      </c>
      <c r="D76" s="437">
        <v>24.6</v>
      </c>
      <c r="E76" s="437">
        <f>20.5+0.4+0.3*2+0.4*2-5.4-2.6</f>
        <v>14.299999999999999</v>
      </c>
      <c r="F76" s="437" t="s">
        <v>289</v>
      </c>
      <c r="G76" s="437" t="s">
        <v>330</v>
      </c>
      <c r="H76" s="437" t="s">
        <v>7165</v>
      </c>
      <c r="I76" s="437">
        <v>3.5</v>
      </c>
      <c r="J76" s="439">
        <f>1*2.1</f>
        <v>2.1</v>
      </c>
      <c r="K76" s="439"/>
      <c r="L76" s="439"/>
      <c r="M76" s="439"/>
      <c r="N76" s="439"/>
      <c r="O76" s="439">
        <f t="shared" ref="O76:O80" si="11">E76*I76-J76-K76</f>
        <v>47.949999999999996</v>
      </c>
      <c r="P76" s="439"/>
      <c r="R76" s="433">
        <f t="shared" si="10"/>
        <v>47.949999999999996</v>
      </c>
    </row>
    <row r="77" spans="1:18">
      <c r="A77" s="433">
        <v>61</v>
      </c>
      <c r="B77" s="437" t="s">
        <v>7149</v>
      </c>
      <c r="C77" s="438" t="s">
        <v>7237</v>
      </c>
      <c r="D77" s="437">
        <v>31</v>
      </c>
      <c r="E77" s="437">
        <f>0.4*4+0.4*2+0.3*2+0.4*4+2.4+2.6</f>
        <v>9.6</v>
      </c>
      <c r="F77" s="437" t="s">
        <v>289</v>
      </c>
      <c r="G77" s="437" t="s">
        <v>330</v>
      </c>
      <c r="H77" s="437" t="s">
        <v>7165</v>
      </c>
      <c r="I77" s="437">
        <v>3.5</v>
      </c>
      <c r="J77" s="439">
        <f>2.6*3.05</f>
        <v>7.93</v>
      </c>
      <c r="K77" s="439"/>
      <c r="L77" s="439"/>
      <c r="M77" s="439"/>
      <c r="N77" s="439"/>
      <c r="O77" s="439">
        <f t="shared" si="11"/>
        <v>25.67</v>
      </c>
      <c r="P77" s="439"/>
      <c r="R77" s="433">
        <f t="shared" si="10"/>
        <v>25.67</v>
      </c>
    </row>
    <row r="78" spans="1:18">
      <c r="A78" s="433">
        <v>62</v>
      </c>
      <c r="B78" s="437" t="s">
        <v>7149</v>
      </c>
      <c r="C78" s="438" t="s">
        <v>7194</v>
      </c>
      <c r="D78" s="437">
        <v>142</v>
      </c>
      <c r="E78" s="437">
        <f>47.2+0.4*2+0.3*2-4.9*2</f>
        <v>38.799999999999997</v>
      </c>
      <c r="F78" s="437" t="s">
        <v>292</v>
      </c>
      <c r="G78" s="437" t="s">
        <v>330</v>
      </c>
      <c r="H78" s="437" t="s">
        <v>7165</v>
      </c>
      <c r="I78" s="437">
        <v>3.5</v>
      </c>
      <c r="J78" s="439">
        <f>1*2.1</f>
        <v>2.1</v>
      </c>
      <c r="K78" s="439"/>
      <c r="L78" s="439"/>
      <c r="M78" s="439"/>
      <c r="N78" s="439"/>
      <c r="O78" s="439">
        <f t="shared" si="11"/>
        <v>133.69999999999999</v>
      </c>
      <c r="P78" s="439"/>
      <c r="R78" s="433">
        <f t="shared" si="10"/>
        <v>133.69999999999999</v>
      </c>
    </row>
    <row r="79" spans="1:18">
      <c r="A79" s="433">
        <v>75</v>
      </c>
      <c r="B79" s="437" t="s">
        <v>7149</v>
      </c>
      <c r="C79" s="438" t="s">
        <v>7188</v>
      </c>
      <c r="D79" s="437">
        <v>192.7</v>
      </c>
      <c r="E79" s="437">
        <f>10.3+13.75+0.4*2*4+0.3*2*4</f>
        <v>29.65</v>
      </c>
      <c r="F79" s="437" t="s">
        <v>289</v>
      </c>
      <c r="G79" s="437" t="s">
        <v>330</v>
      </c>
      <c r="H79" s="437" t="s">
        <v>7165</v>
      </c>
      <c r="I79" s="437">
        <v>3.5</v>
      </c>
      <c r="J79" s="439">
        <f>9.3*3.05</f>
        <v>28.365000000000002</v>
      </c>
      <c r="K79" s="439"/>
      <c r="L79" s="439"/>
      <c r="M79" s="439"/>
      <c r="N79" s="439"/>
      <c r="O79" s="439">
        <f t="shared" si="11"/>
        <v>75.41</v>
      </c>
      <c r="P79" s="439"/>
      <c r="R79" s="433">
        <f t="shared" si="10"/>
        <v>75.41</v>
      </c>
    </row>
    <row r="80" spans="1:18">
      <c r="A80" s="433">
        <v>76</v>
      </c>
      <c r="B80" s="437" t="s">
        <v>7149</v>
      </c>
      <c r="C80" s="438" t="s">
        <v>7189</v>
      </c>
      <c r="D80" s="437">
        <v>149.6</v>
      </c>
      <c r="E80" s="437">
        <f>49.2+0.4*4+0.3*2</f>
        <v>51.400000000000006</v>
      </c>
      <c r="F80" s="437" t="s">
        <v>289</v>
      </c>
      <c r="G80" s="437" t="s">
        <v>330</v>
      </c>
      <c r="H80" s="437" t="s">
        <v>7165</v>
      </c>
      <c r="I80" s="437">
        <v>3.5</v>
      </c>
      <c r="J80" s="439">
        <f>9.3*3.05</f>
        <v>28.365000000000002</v>
      </c>
      <c r="K80" s="439"/>
      <c r="L80" s="439"/>
      <c r="M80" s="439"/>
      <c r="N80" s="439"/>
      <c r="O80" s="439">
        <f t="shared" si="11"/>
        <v>151.53500000000003</v>
      </c>
      <c r="P80" s="439"/>
      <c r="R80" s="433">
        <f t="shared" si="10"/>
        <v>151.53500000000003</v>
      </c>
    </row>
    <row r="81" spans="1:18">
      <c r="A81" s="433">
        <v>82</v>
      </c>
      <c r="B81" s="437" t="s">
        <v>7175</v>
      </c>
      <c r="C81" s="438" t="s">
        <v>7213</v>
      </c>
      <c r="D81" s="437">
        <v>171.2</v>
      </c>
      <c r="E81" s="437">
        <f>69.2+0.55*10</f>
        <v>74.7</v>
      </c>
      <c r="F81" s="437" t="s">
        <v>300</v>
      </c>
      <c r="G81" s="437" t="s">
        <v>7155</v>
      </c>
      <c r="H81" s="437" t="s">
        <v>7214</v>
      </c>
      <c r="I81" s="437">
        <v>2.36</v>
      </c>
      <c r="J81" s="439">
        <f>1.8*2.1*2</f>
        <v>7.5600000000000005</v>
      </c>
      <c r="K81" s="439"/>
      <c r="L81" s="439"/>
      <c r="M81" s="439"/>
      <c r="N81" s="439"/>
      <c r="O81" s="439"/>
      <c r="P81" s="439">
        <f>E81*(I81+0)-J81-K81</f>
        <v>168.732</v>
      </c>
      <c r="R81" s="433">
        <f t="shared" si="10"/>
        <v>168.732</v>
      </c>
    </row>
    <row r="82" spans="1:18">
      <c r="A82" s="433">
        <v>83</v>
      </c>
      <c r="B82" s="437" t="s">
        <v>7175</v>
      </c>
      <c r="C82" s="438" t="s">
        <v>7215</v>
      </c>
      <c r="D82" s="437">
        <v>10</v>
      </c>
      <c r="E82" s="437">
        <v>14.1</v>
      </c>
      <c r="F82" s="437" t="s">
        <v>300</v>
      </c>
      <c r="G82" s="437" t="s">
        <v>7155</v>
      </c>
      <c r="H82" s="437" t="s">
        <v>7214</v>
      </c>
      <c r="I82" s="437">
        <v>2.36</v>
      </c>
      <c r="J82" s="439">
        <f>0.9*2.1</f>
        <v>1.8900000000000001</v>
      </c>
      <c r="K82" s="439"/>
      <c r="L82" s="439"/>
      <c r="M82" s="439"/>
      <c r="N82" s="439"/>
      <c r="O82" s="439"/>
      <c r="P82" s="439">
        <f t="shared" ref="P82:P83" si="12">E82*(I82+0)-J82-K82</f>
        <v>31.385999999999996</v>
      </c>
      <c r="R82" s="433">
        <f t="shared" si="10"/>
        <v>31.385999999999996</v>
      </c>
    </row>
    <row r="83" spans="1:18">
      <c r="A83" s="433">
        <v>84</v>
      </c>
      <c r="B83" s="437" t="s">
        <v>7175</v>
      </c>
      <c r="C83" s="438" t="s">
        <v>7216</v>
      </c>
      <c r="D83" s="437">
        <v>13.9</v>
      </c>
      <c r="E83" s="437">
        <v>17.899999999999999</v>
      </c>
      <c r="F83" s="437" t="s">
        <v>300</v>
      </c>
      <c r="G83" s="437" t="s">
        <v>7155</v>
      </c>
      <c r="H83" s="437" t="s">
        <v>7214</v>
      </c>
      <c r="I83" s="437">
        <v>2.36</v>
      </c>
      <c r="J83" s="439">
        <f>0.9*2.1</f>
        <v>1.8900000000000001</v>
      </c>
      <c r="K83" s="439"/>
      <c r="L83" s="439"/>
      <c r="M83" s="439"/>
      <c r="N83" s="439"/>
      <c r="O83" s="439"/>
      <c r="P83" s="439">
        <f t="shared" si="12"/>
        <v>40.353999999999992</v>
      </c>
      <c r="R83" s="433">
        <f t="shared" si="10"/>
        <v>40.353999999999992</v>
      </c>
    </row>
    <row r="84" spans="1:18">
      <c r="A84" s="433">
        <v>22</v>
      </c>
      <c r="B84" s="437" t="s">
        <v>7138</v>
      </c>
      <c r="C84" s="438" t="s">
        <v>7223</v>
      </c>
      <c r="D84" s="437">
        <v>2.2000000000000002</v>
      </c>
      <c r="E84" s="437">
        <v>0</v>
      </c>
      <c r="F84" s="437" t="s">
        <v>7219</v>
      </c>
      <c r="G84" s="437" t="s">
        <v>7219</v>
      </c>
      <c r="H84" s="437" t="s">
        <v>7219</v>
      </c>
      <c r="I84" s="437"/>
      <c r="J84" s="439"/>
      <c r="K84" s="439"/>
      <c r="L84" s="439"/>
      <c r="M84" s="439"/>
      <c r="N84" s="439"/>
      <c r="O84" s="439"/>
      <c r="P84" s="439"/>
      <c r="R84" s="433">
        <f t="shared" si="10"/>
        <v>0</v>
      </c>
    </row>
    <row r="85" spans="1:18">
      <c r="A85" s="433">
        <v>47</v>
      </c>
      <c r="B85" s="437" t="s">
        <v>7146</v>
      </c>
      <c r="C85" s="438" t="s">
        <v>7223</v>
      </c>
      <c r="D85" s="437">
        <v>6.1</v>
      </c>
      <c r="E85" s="437">
        <v>0</v>
      </c>
      <c r="F85" s="437" t="s">
        <v>7219</v>
      </c>
      <c r="G85" s="437" t="s">
        <v>7219</v>
      </c>
      <c r="H85" s="437" t="s">
        <v>7219</v>
      </c>
      <c r="I85" s="437"/>
      <c r="J85" s="439"/>
      <c r="K85" s="439"/>
      <c r="L85" s="439"/>
      <c r="M85" s="439"/>
      <c r="N85" s="439"/>
      <c r="O85" s="439"/>
      <c r="P85" s="439"/>
      <c r="R85" s="433">
        <f t="shared" si="10"/>
        <v>0</v>
      </c>
    </row>
    <row r="86" spans="1:18">
      <c r="A86" s="433">
        <v>48</v>
      </c>
      <c r="B86" s="437" t="s">
        <v>7149</v>
      </c>
      <c r="C86" s="438" t="s">
        <v>7217</v>
      </c>
      <c r="D86" s="437">
        <v>8.8000000000000007</v>
      </c>
      <c r="E86" s="437">
        <v>0</v>
      </c>
      <c r="F86" s="437" t="s">
        <v>7218</v>
      </c>
      <c r="G86" s="437" t="s">
        <v>7219</v>
      </c>
      <c r="H86" s="437" t="s">
        <v>7219</v>
      </c>
      <c r="I86" s="437"/>
      <c r="J86" s="439"/>
      <c r="K86" s="439"/>
      <c r="L86" s="439"/>
      <c r="M86" s="439"/>
      <c r="N86" s="439"/>
      <c r="O86" s="439"/>
      <c r="P86" s="439"/>
      <c r="R86" s="433">
        <f t="shared" si="10"/>
        <v>0</v>
      </c>
    </row>
    <row r="87" spans="1:18">
      <c r="A87" s="433">
        <v>49</v>
      </c>
      <c r="B87" s="437" t="s">
        <v>7149</v>
      </c>
      <c r="C87" s="438" t="s">
        <v>7220</v>
      </c>
      <c r="D87" s="437">
        <v>8.8000000000000007</v>
      </c>
      <c r="E87" s="437">
        <v>0</v>
      </c>
      <c r="F87" s="437" t="s">
        <v>7218</v>
      </c>
      <c r="G87" s="437" t="s">
        <v>7219</v>
      </c>
      <c r="H87" s="437" t="s">
        <v>7219</v>
      </c>
      <c r="I87" s="437"/>
      <c r="J87" s="439"/>
      <c r="K87" s="439"/>
      <c r="L87" s="439"/>
      <c r="M87" s="439"/>
      <c r="N87" s="439"/>
      <c r="O87" s="439"/>
      <c r="P87" s="439"/>
      <c r="R87" s="433">
        <f t="shared" si="10"/>
        <v>0</v>
      </c>
    </row>
    <row r="88" spans="1:18">
      <c r="A88" s="433">
        <v>79</v>
      </c>
      <c r="B88" s="437" t="s">
        <v>7149</v>
      </c>
      <c r="C88" s="438" t="s">
        <v>7223</v>
      </c>
      <c r="D88" s="437">
        <v>5.8</v>
      </c>
      <c r="E88" s="437">
        <v>0</v>
      </c>
      <c r="F88" s="437" t="s">
        <v>7219</v>
      </c>
      <c r="G88" s="437" t="s">
        <v>7219</v>
      </c>
      <c r="H88" s="437" t="s">
        <v>7219</v>
      </c>
      <c r="I88" s="437"/>
      <c r="J88" s="439"/>
      <c r="K88" s="439"/>
      <c r="L88" s="439"/>
      <c r="M88" s="439"/>
      <c r="N88" s="439"/>
      <c r="O88" s="439"/>
      <c r="P88" s="439"/>
      <c r="R88" s="433">
        <f t="shared" si="10"/>
        <v>0</v>
      </c>
    </row>
    <row r="89" spans="1:18">
      <c r="A89" s="433">
        <v>87</v>
      </c>
      <c r="B89" s="437" t="s">
        <v>7175</v>
      </c>
      <c r="C89" s="438" t="s">
        <v>7223</v>
      </c>
      <c r="D89" s="437">
        <v>5.3</v>
      </c>
      <c r="E89" s="437">
        <v>0</v>
      </c>
      <c r="F89" s="437" t="s">
        <v>7219</v>
      </c>
      <c r="G89" s="437" t="s">
        <v>7219</v>
      </c>
      <c r="H89" s="437" t="s">
        <v>7219</v>
      </c>
      <c r="I89" s="437"/>
      <c r="J89" s="439"/>
      <c r="K89" s="439"/>
      <c r="L89" s="439"/>
      <c r="M89" s="439"/>
      <c r="N89" s="439"/>
      <c r="O89" s="439"/>
      <c r="P89" s="439"/>
      <c r="R89" s="433">
        <f t="shared" si="10"/>
        <v>0</v>
      </c>
    </row>
    <row r="90" spans="1:18">
      <c r="K90" s="433" t="s">
        <v>398</v>
      </c>
      <c r="L90" s="453">
        <f>SUM(L3:L89)</f>
        <v>2650.2650999999996</v>
      </c>
      <c r="M90" s="453">
        <f t="shared" ref="M90:P90" si="13">SUM(M3:M89)</f>
        <v>321.608</v>
      </c>
      <c r="N90" s="453">
        <f t="shared" si="13"/>
        <v>139.80000000000001</v>
      </c>
      <c r="O90" s="453">
        <f t="shared" si="13"/>
        <v>485.71499999999997</v>
      </c>
      <c r="P90" s="453">
        <f t="shared" si="13"/>
        <v>240.47199999999998</v>
      </c>
    </row>
    <row r="91" spans="1:18">
      <c r="L91" s="434" t="s">
        <v>7246</v>
      </c>
      <c r="M91" s="434" t="s">
        <v>7247</v>
      </c>
      <c r="N91" s="434" t="s">
        <v>7248</v>
      </c>
      <c r="O91" s="434" t="s">
        <v>7249</v>
      </c>
      <c r="P91" s="434" t="s">
        <v>7250</v>
      </c>
    </row>
    <row r="93" spans="1:18">
      <c r="B93" s="454" t="s">
        <v>7251</v>
      </c>
      <c r="D93" s="432">
        <f>SUM(N33:N57)/1.2</f>
        <v>116.50000000000001</v>
      </c>
      <c r="E93" s="433" t="s">
        <v>7134</v>
      </c>
    </row>
  </sheetData>
  <pageMargins left="0.7" right="0.7" top="0.78740157499999996" bottom="0.78740157499999996"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3C1-4E5B-45AE-8A62-092EA0976377}">
  <dimension ref="A1:K73"/>
  <sheetViews>
    <sheetView view="pageBreakPreview" zoomScaleNormal="100" zoomScaleSheetLayoutView="100" workbookViewId="0">
      <pane ySplit="2" topLeftCell="A3" activePane="bottomLeft" state="frozen"/>
      <selection activeCell="C31" sqref="C31"/>
      <selection pane="bottomLeft" activeCell="C31" sqref="C31"/>
    </sheetView>
  </sheetViews>
  <sheetFormatPr defaultRowHeight="15"/>
  <cols>
    <col min="1" max="1" width="5.1640625" style="433" customWidth="1"/>
    <col min="2" max="2" width="9.33203125" style="433"/>
    <col min="3" max="3" width="9.33203125" style="431"/>
    <col min="4" max="6" width="9.33203125" style="433"/>
    <col min="7" max="7" width="8.5" style="433" customWidth="1"/>
    <col min="8" max="8" width="15.1640625" style="433" customWidth="1"/>
    <col min="9" max="9" width="7.5" style="433" customWidth="1"/>
    <col min="10" max="10" width="1" style="433" customWidth="1"/>
    <col min="11" max="16384" width="9.33203125" style="433"/>
  </cols>
  <sheetData>
    <row r="1" spans="1:11" ht="34.5" customHeight="1">
      <c r="A1" s="430" t="s">
        <v>7252</v>
      </c>
    </row>
    <row r="2" spans="1:11">
      <c r="A2" s="433" t="s">
        <v>7243</v>
      </c>
      <c r="B2" s="434" t="s">
        <v>7132</v>
      </c>
      <c r="C2" s="435" t="s">
        <v>7133</v>
      </c>
      <c r="D2" s="434" t="s">
        <v>7134</v>
      </c>
      <c r="E2" s="434" t="s">
        <v>7135</v>
      </c>
      <c r="F2" s="434" t="s">
        <v>7136</v>
      </c>
      <c r="G2" s="437" t="s">
        <v>7244</v>
      </c>
      <c r="H2" s="437" t="s">
        <v>7253</v>
      </c>
      <c r="I2" s="434" t="s">
        <v>7248</v>
      </c>
      <c r="K2" s="434" t="s">
        <v>452</v>
      </c>
    </row>
    <row r="3" spans="1:11">
      <c r="A3" s="433">
        <v>4</v>
      </c>
      <c r="B3" s="437" t="s">
        <v>7138</v>
      </c>
      <c r="C3" s="438" t="s">
        <v>7254</v>
      </c>
      <c r="D3" s="437">
        <f>2.4*6</f>
        <v>14.399999999999999</v>
      </c>
      <c r="E3" s="437" t="s">
        <v>7145</v>
      </c>
      <c r="F3" s="437" t="s">
        <v>7140</v>
      </c>
      <c r="G3" s="439"/>
      <c r="H3" s="439" t="s">
        <v>7255</v>
      </c>
      <c r="I3" s="439"/>
      <c r="K3" s="436">
        <f t="shared" ref="K3:K37" si="0">D3-G3</f>
        <v>14.399999999999999</v>
      </c>
    </row>
    <row r="4" spans="1:11">
      <c r="A4" s="433">
        <v>17</v>
      </c>
      <c r="B4" s="437" t="s">
        <v>7138</v>
      </c>
      <c r="C4" s="438" t="s">
        <v>7166</v>
      </c>
      <c r="D4" s="437">
        <v>8.6999999999999993</v>
      </c>
      <c r="E4" s="437" t="s">
        <v>283</v>
      </c>
      <c r="F4" s="437" t="s">
        <v>7165</v>
      </c>
      <c r="G4" s="439">
        <f>0.8*2</f>
        <v>1.6</v>
      </c>
      <c r="H4" s="439" t="s">
        <v>7255</v>
      </c>
      <c r="I4" s="439"/>
      <c r="K4" s="436">
        <f t="shared" si="0"/>
        <v>7.1</v>
      </c>
    </row>
    <row r="5" spans="1:11">
      <c r="A5" s="433">
        <v>18</v>
      </c>
      <c r="B5" s="437" t="s">
        <v>7138</v>
      </c>
      <c r="C5" s="438" t="s">
        <v>7167</v>
      </c>
      <c r="D5" s="437">
        <v>7</v>
      </c>
      <c r="E5" s="437" t="s">
        <v>283</v>
      </c>
      <c r="F5" s="437" t="s">
        <v>7165</v>
      </c>
      <c r="G5" s="439">
        <f>0.8</f>
        <v>0.8</v>
      </c>
      <c r="H5" s="439" t="s">
        <v>7255</v>
      </c>
      <c r="I5" s="439"/>
      <c r="K5" s="436">
        <f t="shared" si="0"/>
        <v>6.2</v>
      </c>
    </row>
    <row r="6" spans="1:11">
      <c r="A6" s="433">
        <v>19</v>
      </c>
      <c r="B6" s="437" t="s">
        <v>7138</v>
      </c>
      <c r="C6" s="438" t="s">
        <v>7168</v>
      </c>
      <c r="D6" s="437">
        <v>14.7</v>
      </c>
      <c r="E6" s="437" t="s">
        <v>283</v>
      </c>
      <c r="F6" s="437" t="s">
        <v>7155</v>
      </c>
      <c r="G6" s="439">
        <f>0.9</f>
        <v>0.9</v>
      </c>
      <c r="H6" s="439" t="s">
        <v>7255</v>
      </c>
      <c r="I6" s="439"/>
      <c r="K6" s="436">
        <f t="shared" si="0"/>
        <v>13.799999999999999</v>
      </c>
    </row>
    <row r="7" spans="1:11">
      <c r="A7" s="433">
        <v>23</v>
      </c>
      <c r="B7" s="437" t="s">
        <v>7146</v>
      </c>
      <c r="C7" s="438" t="s">
        <v>7147</v>
      </c>
      <c r="D7" s="437">
        <f>2.4*6</f>
        <v>14.399999999999999</v>
      </c>
      <c r="E7" s="437" t="s">
        <v>7256</v>
      </c>
      <c r="F7" s="437" t="s">
        <v>7140</v>
      </c>
      <c r="G7" s="439"/>
      <c r="H7" s="439" t="s">
        <v>7255</v>
      </c>
      <c r="I7" s="439"/>
      <c r="K7" s="436">
        <f t="shared" si="0"/>
        <v>14.399999999999999</v>
      </c>
    </row>
    <row r="8" spans="1:11">
      <c r="A8" s="433">
        <v>80</v>
      </c>
      <c r="B8" s="437" t="s">
        <v>7175</v>
      </c>
      <c r="C8" s="438" t="s">
        <v>7176</v>
      </c>
      <c r="D8" s="437">
        <f>2.4*6</f>
        <v>14.399999999999999</v>
      </c>
      <c r="E8" s="437" t="s">
        <v>7256</v>
      </c>
      <c r="F8" s="437" t="s">
        <v>7140</v>
      </c>
      <c r="G8" s="439"/>
      <c r="H8" s="439" t="s">
        <v>7255</v>
      </c>
      <c r="I8" s="439"/>
      <c r="K8" s="436">
        <f t="shared" si="0"/>
        <v>14.399999999999999</v>
      </c>
    </row>
    <row r="9" spans="1:11">
      <c r="A9" s="433">
        <v>42</v>
      </c>
      <c r="B9" s="437" t="s">
        <v>7146</v>
      </c>
      <c r="C9" s="438" t="s">
        <v>7210</v>
      </c>
      <c r="D9" s="437">
        <v>10.4</v>
      </c>
      <c r="E9" s="437" t="s">
        <v>296</v>
      </c>
      <c r="F9" s="437" t="s">
        <v>7140</v>
      </c>
      <c r="G9" s="439">
        <f>0.9</f>
        <v>0.9</v>
      </c>
      <c r="H9" s="439" t="s">
        <v>7255</v>
      </c>
      <c r="I9" s="439"/>
      <c r="K9" s="436">
        <f t="shared" si="0"/>
        <v>9.5</v>
      </c>
    </row>
    <row r="10" spans="1:11">
      <c r="A10" s="433">
        <v>72</v>
      </c>
      <c r="B10" s="437" t="s">
        <v>7149</v>
      </c>
      <c r="C10" s="438" t="s">
        <v>7211</v>
      </c>
      <c r="D10" s="437">
        <v>9.9</v>
      </c>
      <c r="E10" s="437" t="s">
        <v>296</v>
      </c>
      <c r="F10" s="437" t="s">
        <v>7140</v>
      </c>
      <c r="G10" s="439">
        <f>0.9</f>
        <v>0.9</v>
      </c>
      <c r="H10" s="439" t="s">
        <v>7255</v>
      </c>
      <c r="I10" s="436"/>
      <c r="K10" s="436">
        <f t="shared" si="0"/>
        <v>9</v>
      </c>
    </row>
    <row r="11" spans="1:11">
      <c r="A11" s="433">
        <v>50</v>
      </c>
      <c r="B11" s="437" t="s">
        <v>7149</v>
      </c>
      <c r="C11" s="438" t="s">
        <v>7150</v>
      </c>
      <c r="D11" s="437">
        <f>2.4*6</f>
        <v>14.399999999999999</v>
      </c>
      <c r="E11" s="437" t="s">
        <v>7256</v>
      </c>
      <c r="F11" s="437" t="s">
        <v>7140</v>
      </c>
      <c r="G11" s="439"/>
      <c r="H11" s="439" t="s">
        <v>7255</v>
      </c>
      <c r="I11" s="439"/>
      <c r="K11" s="436">
        <f t="shared" si="0"/>
        <v>14.399999999999999</v>
      </c>
    </row>
    <row r="12" spans="1:11">
      <c r="A12" s="433">
        <v>82</v>
      </c>
      <c r="B12" s="437" t="s">
        <v>7175</v>
      </c>
      <c r="C12" s="438" t="s">
        <v>7213</v>
      </c>
      <c r="D12" s="437">
        <f>69.2+0.55*10</f>
        <v>74.7</v>
      </c>
      <c r="E12" s="437" t="s">
        <v>300</v>
      </c>
      <c r="F12" s="437" t="s">
        <v>7155</v>
      </c>
      <c r="G12" s="439">
        <f>1.8*2</f>
        <v>3.6</v>
      </c>
      <c r="H12" s="439" t="s">
        <v>7255</v>
      </c>
      <c r="I12" s="439"/>
      <c r="K12" s="436">
        <f t="shared" si="0"/>
        <v>71.100000000000009</v>
      </c>
    </row>
    <row r="13" spans="1:11">
      <c r="A13" s="433">
        <v>83</v>
      </c>
      <c r="B13" s="437" t="s">
        <v>7175</v>
      </c>
      <c r="C13" s="438" t="s">
        <v>7215</v>
      </c>
      <c r="D13" s="437">
        <v>14.1</v>
      </c>
      <c r="E13" s="437" t="s">
        <v>300</v>
      </c>
      <c r="F13" s="437" t="s">
        <v>7155</v>
      </c>
      <c r="G13" s="439">
        <f>0.9</f>
        <v>0.9</v>
      </c>
      <c r="H13" s="439" t="s">
        <v>7255</v>
      </c>
      <c r="I13" s="439"/>
      <c r="K13" s="436">
        <f t="shared" si="0"/>
        <v>13.2</v>
      </c>
    </row>
    <row r="14" spans="1:11">
      <c r="A14" s="433">
        <v>84</v>
      </c>
      <c r="B14" s="437" t="s">
        <v>7175</v>
      </c>
      <c r="C14" s="438" t="s">
        <v>7216</v>
      </c>
      <c r="D14" s="437">
        <v>17.899999999999999</v>
      </c>
      <c r="E14" s="437" t="s">
        <v>300</v>
      </c>
      <c r="F14" s="437" t="s">
        <v>7155</v>
      </c>
      <c r="G14" s="439">
        <f>0.9</f>
        <v>0.9</v>
      </c>
      <c r="H14" s="439" t="s">
        <v>7255</v>
      </c>
      <c r="I14" s="439"/>
      <c r="K14" s="436">
        <f t="shared" si="0"/>
        <v>17</v>
      </c>
    </row>
    <row r="15" spans="1:11">
      <c r="A15" s="433">
        <v>3</v>
      </c>
      <c r="B15" s="437" t="s">
        <v>7138</v>
      </c>
      <c r="C15" s="438" t="s">
        <v>7254</v>
      </c>
      <c r="D15" s="437">
        <f>120.86-14.4</f>
        <v>106.46</v>
      </c>
      <c r="E15" s="437" t="s">
        <v>270</v>
      </c>
      <c r="F15" s="437" t="s">
        <v>7140</v>
      </c>
      <c r="G15" s="439">
        <f>1.4*2+3.5*2+3.5*2+0.9+1*8+0.8</f>
        <v>26.5</v>
      </c>
      <c r="H15" s="439" t="s">
        <v>7257</v>
      </c>
      <c r="I15" s="439"/>
      <c r="K15" s="436">
        <f t="shared" si="0"/>
        <v>79.959999999999994</v>
      </c>
    </row>
    <row r="16" spans="1:11">
      <c r="A16" s="433">
        <v>12</v>
      </c>
      <c r="B16" s="437" t="s">
        <v>7138</v>
      </c>
      <c r="C16" s="438" t="s">
        <v>7159</v>
      </c>
      <c r="D16" s="437">
        <v>21.5</v>
      </c>
      <c r="E16" s="437" t="s">
        <v>278</v>
      </c>
      <c r="F16" s="437" t="s">
        <v>7155</v>
      </c>
      <c r="G16" s="439">
        <f>1+0.9</f>
        <v>1.9</v>
      </c>
      <c r="H16" s="439" t="s">
        <v>7257</v>
      </c>
      <c r="I16" s="439"/>
      <c r="K16" s="436">
        <f t="shared" si="0"/>
        <v>19.600000000000001</v>
      </c>
    </row>
    <row r="17" spans="1:11">
      <c r="A17" s="433">
        <v>8</v>
      </c>
      <c r="B17" s="437" t="s">
        <v>7138</v>
      </c>
      <c r="C17" s="438" t="s">
        <v>7154</v>
      </c>
      <c r="D17" s="437">
        <f>53.6+0.4*4*3</f>
        <v>58.400000000000006</v>
      </c>
      <c r="E17" s="437" t="s">
        <v>278</v>
      </c>
      <c r="F17" s="437" t="s">
        <v>7155</v>
      </c>
      <c r="G17" s="439">
        <v>1</v>
      </c>
      <c r="H17" s="439" t="s">
        <v>7257</v>
      </c>
      <c r="I17" s="439"/>
      <c r="K17" s="436">
        <f t="shared" si="0"/>
        <v>57.400000000000006</v>
      </c>
    </row>
    <row r="18" spans="1:11">
      <c r="A18" s="433">
        <v>9</v>
      </c>
      <c r="B18" s="437" t="s">
        <v>7138</v>
      </c>
      <c r="C18" s="438" t="s">
        <v>7156</v>
      </c>
      <c r="D18" s="437">
        <f>53.6+0.4*4*3</f>
        <v>58.400000000000006</v>
      </c>
      <c r="E18" s="437" t="s">
        <v>278</v>
      </c>
      <c r="F18" s="437" t="s">
        <v>7155</v>
      </c>
      <c r="G18" s="439">
        <v>1</v>
      </c>
      <c r="H18" s="439" t="s">
        <v>7257</v>
      </c>
      <c r="I18" s="439"/>
      <c r="K18" s="436">
        <f t="shared" si="0"/>
        <v>57.400000000000006</v>
      </c>
    </row>
    <row r="19" spans="1:11">
      <c r="A19" s="433">
        <v>10</v>
      </c>
      <c r="B19" s="437" t="s">
        <v>7138</v>
      </c>
      <c r="C19" s="438" t="s">
        <v>7157</v>
      </c>
      <c r="D19" s="437">
        <f>53.6+0.4*4*3</f>
        <v>58.400000000000006</v>
      </c>
      <c r="E19" s="437" t="s">
        <v>278</v>
      </c>
      <c r="F19" s="437" t="s">
        <v>7155</v>
      </c>
      <c r="G19" s="439">
        <v>1</v>
      </c>
      <c r="H19" s="439" t="s">
        <v>7257</v>
      </c>
      <c r="I19" s="439"/>
      <c r="K19" s="436">
        <f t="shared" si="0"/>
        <v>57.400000000000006</v>
      </c>
    </row>
    <row r="20" spans="1:11">
      <c r="A20" s="433">
        <v>11</v>
      </c>
      <c r="B20" s="437" t="s">
        <v>7138</v>
      </c>
      <c r="C20" s="438" t="s">
        <v>7158</v>
      </c>
      <c r="D20" s="437">
        <f>53.6+0.4*4*3</f>
        <v>58.400000000000006</v>
      </c>
      <c r="E20" s="437" t="s">
        <v>278</v>
      </c>
      <c r="F20" s="437" t="s">
        <v>7155</v>
      </c>
      <c r="G20" s="439">
        <v>1</v>
      </c>
      <c r="H20" s="439" t="s">
        <v>7257</v>
      </c>
      <c r="I20" s="439"/>
      <c r="K20" s="436">
        <f t="shared" si="0"/>
        <v>57.400000000000006</v>
      </c>
    </row>
    <row r="21" spans="1:11">
      <c r="A21" s="433">
        <v>25</v>
      </c>
      <c r="B21" s="437" t="s">
        <v>7146</v>
      </c>
      <c r="C21" s="438" t="s">
        <v>7169</v>
      </c>
      <c r="D21" s="437">
        <v>75.900000000000006</v>
      </c>
      <c r="E21" s="437" t="s">
        <v>286</v>
      </c>
      <c r="F21" s="437" t="s">
        <v>328</v>
      </c>
      <c r="G21" s="439">
        <f>3.5*2+0.8*2+1*8+1.1*2</f>
        <v>18.8</v>
      </c>
      <c r="H21" s="439" t="s">
        <v>7257</v>
      </c>
      <c r="I21" s="439"/>
      <c r="K21" s="436">
        <f t="shared" si="0"/>
        <v>57.100000000000009</v>
      </c>
    </row>
    <row r="22" spans="1:11">
      <c r="A22" s="433">
        <v>26</v>
      </c>
      <c r="B22" s="437" t="s">
        <v>7146</v>
      </c>
      <c r="C22" s="438" t="s">
        <v>7170</v>
      </c>
      <c r="D22" s="437">
        <v>8.8000000000000007</v>
      </c>
      <c r="E22" s="437" t="s">
        <v>286</v>
      </c>
      <c r="F22" s="437" t="s">
        <v>328</v>
      </c>
      <c r="G22" s="439">
        <f>1.1</f>
        <v>1.1000000000000001</v>
      </c>
      <c r="H22" s="439" t="s">
        <v>7257</v>
      </c>
      <c r="I22" s="439"/>
      <c r="K22" s="436">
        <f t="shared" si="0"/>
        <v>7.7000000000000011</v>
      </c>
    </row>
    <row r="23" spans="1:11">
      <c r="A23" s="433">
        <v>27</v>
      </c>
      <c r="B23" s="437" t="s">
        <v>7146</v>
      </c>
      <c r="C23" s="438" t="s">
        <v>7171</v>
      </c>
      <c r="D23" s="437">
        <v>9.9</v>
      </c>
      <c r="E23" s="437" t="s">
        <v>286</v>
      </c>
      <c r="F23" s="437" t="s">
        <v>328</v>
      </c>
      <c r="G23" s="439">
        <f>1.1</f>
        <v>1.1000000000000001</v>
      </c>
      <c r="H23" s="439" t="s">
        <v>7257</v>
      </c>
      <c r="I23" s="439"/>
      <c r="K23" s="436">
        <f t="shared" si="0"/>
        <v>8.8000000000000007</v>
      </c>
    </row>
    <row r="24" spans="1:11">
      <c r="A24" s="433">
        <v>53</v>
      </c>
      <c r="B24" s="437" t="s">
        <v>7149</v>
      </c>
      <c r="C24" s="438" t="s">
        <v>7172</v>
      </c>
      <c r="D24" s="437">
        <v>9.8000000000000007</v>
      </c>
      <c r="E24" s="437" t="s">
        <v>286</v>
      </c>
      <c r="F24" s="437" t="s">
        <v>7140</v>
      </c>
      <c r="G24" s="439">
        <f>0.8</f>
        <v>0.8</v>
      </c>
      <c r="H24" s="439" t="s">
        <v>7257</v>
      </c>
      <c r="I24" s="439"/>
      <c r="K24" s="436">
        <f t="shared" si="0"/>
        <v>9</v>
      </c>
    </row>
    <row r="25" spans="1:11">
      <c r="A25" s="433">
        <v>54</v>
      </c>
      <c r="B25" s="437" t="s">
        <v>7149</v>
      </c>
      <c r="C25" s="438" t="s">
        <v>7173</v>
      </c>
      <c r="D25" s="437">
        <v>11.1</v>
      </c>
      <c r="E25" s="437" t="s">
        <v>286</v>
      </c>
      <c r="F25" s="437" t="s">
        <v>7140</v>
      </c>
      <c r="G25" s="439">
        <f>0.9</f>
        <v>0.9</v>
      </c>
      <c r="H25" s="439" t="s">
        <v>7257</v>
      </c>
      <c r="I25" s="439"/>
      <c r="K25" s="436">
        <f t="shared" si="0"/>
        <v>10.199999999999999</v>
      </c>
    </row>
    <row r="26" spans="1:11">
      <c r="A26" s="433">
        <v>55</v>
      </c>
      <c r="B26" s="437" t="s">
        <v>7149</v>
      </c>
      <c r="C26" s="438" t="s">
        <v>7174</v>
      </c>
      <c r="D26" s="437">
        <v>16.2</v>
      </c>
      <c r="E26" s="437" t="s">
        <v>286</v>
      </c>
      <c r="F26" s="437" t="s">
        <v>328</v>
      </c>
      <c r="G26" s="439">
        <f>1.5+1*3</f>
        <v>4.5</v>
      </c>
      <c r="H26" s="439" t="s">
        <v>7257</v>
      </c>
      <c r="I26" s="439"/>
      <c r="K26" s="436">
        <f t="shared" si="0"/>
        <v>11.7</v>
      </c>
    </row>
    <row r="27" spans="1:11">
      <c r="A27" s="433">
        <v>24</v>
      </c>
      <c r="B27" s="437" t="s">
        <v>7146</v>
      </c>
      <c r="C27" s="438" t="s">
        <v>7148</v>
      </c>
      <c r="D27" s="437">
        <f>85.6-14.4</f>
        <v>71.199999999999989</v>
      </c>
      <c r="E27" s="437" t="s">
        <v>7258</v>
      </c>
      <c r="F27" s="437" t="s">
        <v>7140</v>
      </c>
      <c r="G27" s="439">
        <f>(3.5+0.9+1.4)*2</f>
        <v>11.600000000000001</v>
      </c>
      <c r="H27" s="439" t="s">
        <v>7257</v>
      </c>
      <c r="I27" s="439"/>
      <c r="K27" s="436">
        <f t="shared" si="0"/>
        <v>59.599999999999987</v>
      </c>
    </row>
    <row r="28" spans="1:11">
      <c r="A28" s="433">
        <v>81</v>
      </c>
      <c r="B28" s="437" t="s">
        <v>7175</v>
      </c>
      <c r="C28" s="438" t="s">
        <v>7177</v>
      </c>
      <c r="D28" s="437">
        <f>81.4-14.4</f>
        <v>67</v>
      </c>
      <c r="E28" s="437" t="s">
        <v>7258</v>
      </c>
      <c r="F28" s="437" t="s">
        <v>7140</v>
      </c>
      <c r="G28" s="439">
        <f>1.8+1.4+0.9+1.8+1.4+0.9+0.9</f>
        <v>9.1000000000000014</v>
      </c>
      <c r="H28" s="439" t="s">
        <v>7257</v>
      </c>
      <c r="I28" s="439"/>
      <c r="K28" s="436">
        <f t="shared" si="0"/>
        <v>57.9</v>
      </c>
    </row>
    <row r="29" spans="1:11">
      <c r="A29" s="433">
        <v>63</v>
      </c>
      <c r="B29" s="437" t="s">
        <v>7149</v>
      </c>
      <c r="C29" s="438" t="s">
        <v>7195</v>
      </c>
      <c r="D29" s="437">
        <v>12.9</v>
      </c>
      <c r="E29" s="437" t="s">
        <v>292</v>
      </c>
      <c r="F29" s="437" t="s">
        <v>7140</v>
      </c>
      <c r="G29" s="439">
        <f>0.7</f>
        <v>0.7</v>
      </c>
      <c r="H29" s="439" t="s">
        <v>7257</v>
      </c>
      <c r="I29" s="439"/>
      <c r="K29" s="436">
        <f t="shared" si="0"/>
        <v>12.200000000000001</v>
      </c>
    </row>
    <row r="30" spans="1:11">
      <c r="A30" s="433">
        <v>64</v>
      </c>
      <c r="B30" s="437" t="s">
        <v>7149</v>
      </c>
      <c r="C30" s="438" t="s">
        <v>7196</v>
      </c>
      <c r="D30" s="437">
        <v>11</v>
      </c>
      <c r="E30" s="437" t="s">
        <v>292</v>
      </c>
      <c r="F30" s="437" t="s">
        <v>7140</v>
      </c>
      <c r="G30" s="439">
        <f>0.9</f>
        <v>0.9</v>
      </c>
      <c r="H30" s="439" t="s">
        <v>7257</v>
      </c>
      <c r="I30" s="439"/>
      <c r="K30" s="436">
        <f t="shared" si="0"/>
        <v>10.1</v>
      </c>
    </row>
    <row r="31" spans="1:11">
      <c r="A31" s="433">
        <v>32</v>
      </c>
      <c r="B31" s="437" t="s">
        <v>7146</v>
      </c>
      <c r="C31" s="438" t="s">
        <v>7190</v>
      </c>
      <c r="D31" s="437">
        <f>53.6+0.4*4*3</f>
        <v>58.400000000000006</v>
      </c>
      <c r="E31" s="437" t="s">
        <v>292</v>
      </c>
      <c r="F31" s="437" t="s">
        <v>7155</v>
      </c>
      <c r="G31" s="439">
        <f>1</f>
        <v>1</v>
      </c>
      <c r="H31" s="439" t="s">
        <v>7257</v>
      </c>
      <c r="I31" s="439"/>
      <c r="K31" s="436">
        <f t="shared" si="0"/>
        <v>57.400000000000006</v>
      </c>
    </row>
    <row r="32" spans="1:11">
      <c r="A32" s="433">
        <v>33</v>
      </c>
      <c r="B32" s="437" t="s">
        <v>7146</v>
      </c>
      <c r="C32" s="438" t="s">
        <v>7191</v>
      </c>
      <c r="D32" s="437">
        <f>53.6+0.4*4*3</f>
        <v>58.400000000000006</v>
      </c>
      <c r="E32" s="437" t="s">
        <v>292</v>
      </c>
      <c r="F32" s="437" t="s">
        <v>7155</v>
      </c>
      <c r="G32" s="439">
        <f>1</f>
        <v>1</v>
      </c>
      <c r="H32" s="439" t="s">
        <v>7257</v>
      </c>
      <c r="I32" s="439"/>
      <c r="K32" s="436">
        <f t="shared" si="0"/>
        <v>57.400000000000006</v>
      </c>
    </row>
    <row r="33" spans="1:11">
      <c r="A33" s="433">
        <v>34</v>
      </c>
      <c r="B33" s="437" t="s">
        <v>7146</v>
      </c>
      <c r="C33" s="438" t="s">
        <v>7192</v>
      </c>
      <c r="D33" s="437">
        <f>53.6+0.4*4*3</f>
        <v>58.400000000000006</v>
      </c>
      <c r="E33" s="437" t="s">
        <v>292</v>
      </c>
      <c r="F33" s="437" t="s">
        <v>7155</v>
      </c>
      <c r="G33" s="439">
        <f>1</f>
        <v>1</v>
      </c>
      <c r="H33" s="439" t="s">
        <v>7257</v>
      </c>
      <c r="I33" s="439"/>
      <c r="K33" s="436">
        <f t="shared" si="0"/>
        <v>57.400000000000006</v>
      </c>
    </row>
    <row r="34" spans="1:11">
      <c r="A34" s="433">
        <v>35</v>
      </c>
      <c r="B34" s="437" t="s">
        <v>7146</v>
      </c>
      <c r="C34" s="438" t="s">
        <v>7193</v>
      </c>
      <c r="D34" s="437">
        <f>53.6+0.4*4*3</f>
        <v>58.400000000000006</v>
      </c>
      <c r="E34" s="437" t="s">
        <v>292</v>
      </c>
      <c r="F34" s="437" t="s">
        <v>7155</v>
      </c>
      <c r="G34" s="439">
        <v>1</v>
      </c>
      <c r="H34" s="439" t="s">
        <v>7257</v>
      </c>
      <c r="I34" s="439"/>
      <c r="K34" s="436">
        <f t="shared" si="0"/>
        <v>57.400000000000006</v>
      </c>
    </row>
    <row r="35" spans="1:11">
      <c r="A35" s="433">
        <v>62</v>
      </c>
      <c r="B35" s="437" t="s">
        <v>7149</v>
      </c>
      <c r="C35" s="438" t="s">
        <v>7194</v>
      </c>
      <c r="D35" s="437">
        <f>47.2+0.4*2+0.3*2-4.9*2</f>
        <v>38.799999999999997</v>
      </c>
      <c r="E35" s="437" t="s">
        <v>292</v>
      </c>
      <c r="F35" s="437" t="s">
        <v>330</v>
      </c>
      <c r="G35" s="439">
        <v>1</v>
      </c>
      <c r="H35" s="439" t="s">
        <v>7257</v>
      </c>
      <c r="I35" s="439"/>
      <c r="K35" s="436">
        <f t="shared" si="0"/>
        <v>37.799999999999997</v>
      </c>
    </row>
    <row r="36" spans="1:11">
      <c r="A36" s="433">
        <v>52</v>
      </c>
      <c r="B36" s="437" t="s">
        <v>7149</v>
      </c>
      <c r="C36" s="438" t="s">
        <v>7212</v>
      </c>
      <c r="D36" s="437">
        <f>81.3-2.775*2</f>
        <v>75.75</v>
      </c>
      <c r="E36" s="437" t="s">
        <v>298</v>
      </c>
      <c r="F36" s="437" t="s">
        <v>328</v>
      </c>
      <c r="G36" s="439">
        <f>1.5+0.9*2+3.5*2+0.8*3+1*3+19</f>
        <v>34.700000000000003</v>
      </c>
      <c r="H36" s="439" t="s">
        <v>7257</v>
      </c>
      <c r="I36" s="439"/>
      <c r="K36" s="436">
        <f t="shared" si="0"/>
        <v>41.05</v>
      </c>
    </row>
    <row r="37" spans="1:11">
      <c r="A37" s="433">
        <v>51</v>
      </c>
      <c r="B37" s="437" t="s">
        <v>7149</v>
      </c>
      <c r="C37" s="438" t="s">
        <v>7151</v>
      </c>
      <c r="D37" s="437">
        <f>85.6-14.4</f>
        <v>71.199999999999989</v>
      </c>
      <c r="E37" s="437" t="s">
        <v>7259</v>
      </c>
      <c r="F37" s="437" t="s">
        <v>7140</v>
      </c>
      <c r="G37" s="439">
        <f>(3.5+0.9+1.4)*2</f>
        <v>11.600000000000001</v>
      </c>
      <c r="H37" s="439" t="s">
        <v>7257</v>
      </c>
      <c r="I37" s="439"/>
      <c r="K37" s="436">
        <f t="shared" si="0"/>
        <v>59.599999999999987</v>
      </c>
    </row>
    <row r="38" spans="1:11">
      <c r="A38" s="433">
        <v>13</v>
      </c>
      <c r="B38" s="437" t="s">
        <v>7138</v>
      </c>
      <c r="C38" s="438" t="s">
        <v>7161</v>
      </c>
      <c r="D38" s="437">
        <v>8.6</v>
      </c>
      <c r="E38" s="437" t="s">
        <v>280</v>
      </c>
      <c r="F38" s="437" t="s">
        <v>328</v>
      </c>
      <c r="G38" s="439">
        <f>0.8+0.7*2</f>
        <v>2.2000000000000002</v>
      </c>
      <c r="H38" s="439" t="s">
        <v>7260</v>
      </c>
      <c r="I38" s="439">
        <f>(D38-0.7*2-0.8)*1.2</f>
        <v>7.6799999999999988</v>
      </c>
      <c r="K38" s="436"/>
    </row>
    <row r="39" spans="1:11">
      <c r="A39" s="433">
        <v>14</v>
      </c>
      <c r="B39" s="437" t="s">
        <v>7138</v>
      </c>
      <c r="C39" s="438" t="s">
        <v>7162</v>
      </c>
      <c r="D39" s="437">
        <v>5.0999999999999996</v>
      </c>
      <c r="E39" s="437" t="s">
        <v>280</v>
      </c>
      <c r="F39" s="437" t="s">
        <v>328</v>
      </c>
      <c r="G39" s="439">
        <f>0.7</f>
        <v>0.7</v>
      </c>
      <c r="H39" s="439" t="s">
        <v>7260</v>
      </c>
      <c r="I39" s="439">
        <f>(D39-0.7)*1.2</f>
        <v>5.2799999999999994</v>
      </c>
      <c r="K39" s="436"/>
    </row>
    <row r="40" spans="1:11">
      <c r="A40" s="433">
        <v>15</v>
      </c>
      <c r="B40" s="437" t="s">
        <v>7138</v>
      </c>
      <c r="C40" s="438" t="s">
        <v>7163</v>
      </c>
      <c r="D40" s="437">
        <v>6.3</v>
      </c>
      <c r="E40" s="437" t="s">
        <v>280</v>
      </c>
      <c r="F40" s="437" t="s">
        <v>328</v>
      </c>
      <c r="G40" s="439">
        <f>0.7</f>
        <v>0.7</v>
      </c>
      <c r="H40" s="439" t="s">
        <v>7260</v>
      </c>
      <c r="I40" s="439">
        <f>(D40-0.7)*1.2</f>
        <v>6.72</v>
      </c>
      <c r="K40" s="436"/>
    </row>
    <row r="41" spans="1:11">
      <c r="A41" s="433">
        <v>16</v>
      </c>
      <c r="B41" s="437" t="s">
        <v>7138</v>
      </c>
      <c r="C41" s="438" t="s">
        <v>7164</v>
      </c>
      <c r="D41" s="437">
        <v>12.9</v>
      </c>
      <c r="E41" s="437" t="s">
        <v>280</v>
      </c>
      <c r="F41" s="437" t="s">
        <v>7165</v>
      </c>
      <c r="G41" s="439">
        <f>0.8</f>
        <v>0.8</v>
      </c>
      <c r="H41" s="439" t="s">
        <v>7260</v>
      </c>
      <c r="I41" s="439">
        <f>(D41-0.8)*1.2</f>
        <v>14.52</v>
      </c>
      <c r="K41" s="436"/>
    </row>
    <row r="42" spans="1:11">
      <c r="A42" s="433">
        <v>36</v>
      </c>
      <c r="B42" s="437" t="s">
        <v>7146</v>
      </c>
      <c r="C42" s="438" t="s">
        <v>7197</v>
      </c>
      <c r="D42" s="437">
        <v>7.4</v>
      </c>
      <c r="E42" s="437" t="s">
        <v>294</v>
      </c>
      <c r="F42" s="437" t="s">
        <v>328</v>
      </c>
      <c r="G42" s="439">
        <f>0.8+0.7</f>
        <v>1.5</v>
      </c>
      <c r="H42" s="439" t="s">
        <v>7260</v>
      </c>
      <c r="I42" s="439">
        <f>(D42-0.8-0.7)*1.2</f>
        <v>7.08</v>
      </c>
      <c r="K42" s="436"/>
    </row>
    <row r="43" spans="1:11">
      <c r="A43" s="433">
        <v>37</v>
      </c>
      <c r="B43" s="437" t="s">
        <v>7146</v>
      </c>
      <c r="C43" s="438" t="s">
        <v>7198</v>
      </c>
      <c r="D43" s="437">
        <v>5.9</v>
      </c>
      <c r="E43" s="437" t="s">
        <v>294</v>
      </c>
      <c r="F43" s="437" t="s">
        <v>328</v>
      </c>
      <c r="G43" s="439">
        <f>0.7</f>
        <v>0.7</v>
      </c>
      <c r="H43" s="439" t="s">
        <v>7260</v>
      </c>
      <c r="I43" s="439">
        <f>(D43-0.7)*1.2</f>
        <v>6.24</v>
      </c>
      <c r="K43" s="436"/>
    </row>
    <row r="44" spans="1:11">
      <c r="A44" s="433">
        <v>38</v>
      </c>
      <c r="B44" s="437" t="s">
        <v>7146</v>
      </c>
      <c r="C44" s="438" t="s">
        <v>7199</v>
      </c>
      <c r="D44" s="437">
        <v>7.9</v>
      </c>
      <c r="E44" s="437" t="s">
        <v>294</v>
      </c>
      <c r="F44" s="437" t="s">
        <v>328</v>
      </c>
      <c r="G44" s="439">
        <f>0.8+0.7*2</f>
        <v>2.2000000000000002</v>
      </c>
      <c r="H44" s="439" t="s">
        <v>7260</v>
      </c>
      <c r="I44" s="439">
        <f>(D44-0.7*2-0.8)*1.2</f>
        <v>6.84</v>
      </c>
      <c r="K44" s="436"/>
    </row>
    <row r="45" spans="1:11">
      <c r="A45" s="433">
        <v>39</v>
      </c>
      <c r="B45" s="437" t="s">
        <v>7146</v>
      </c>
      <c r="C45" s="438" t="s">
        <v>7200</v>
      </c>
      <c r="D45" s="437">
        <v>5.4</v>
      </c>
      <c r="E45" s="437" t="s">
        <v>294</v>
      </c>
      <c r="F45" s="437" t="s">
        <v>328</v>
      </c>
      <c r="G45" s="439">
        <f>0.7</f>
        <v>0.7</v>
      </c>
      <c r="H45" s="439" t="s">
        <v>7260</v>
      </c>
      <c r="I45" s="439">
        <f>(D45-0.7)*1.2</f>
        <v>5.64</v>
      </c>
      <c r="K45" s="436"/>
    </row>
    <row r="46" spans="1:11">
      <c r="A46" s="433">
        <v>40</v>
      </c>
      <c r="B46" s="437" t="s">
        <v>7146</v>
      </c>
      <c r="C46" s="438" t="s">
        <v>7201</v>
      </c>
      <c r="D46" s="437">
        <v>5.4</v>
      </c>
      <c r="E46" s="437" t="s">
        <v>294</v>
      </c>
      <c r="F46" s="437" t="s">
        <v>328</v>
      </c>
      <c r="G46" s="439">
        <f>0.7</f>
        <v>0.7</v>
      </c>
      <c r="H46" s="439" t="s">
        <v>7260</v>
      </c>
      <c r="I46" s="439">
        <f>(D46-0.7)*1.2</f>
        <v>5.64</v>
      </c>
      <c r="K46" s="436"/>
    </row>
    <row r="47" spans="1:11">
      <c r="A47" s="433">
        <v>41</v>
      </c>
      <c r="B47" s="437" t="s">
        <v>7146</v>
      </c>
      <c r="C47" s="438" t="s">
        <v>7202</v>
      </c>
      <c r="D47" s="437">
        <v>9</v>
      </c>
      <c r="E47" s="437" t="s">
        <v>294</v>
      </c>
      <c r="F47" s="437" t="s">
        <v>328</v>
      </c>
      <c r="G47" s="439">
        <f>0.9</f>
        <v>0.9</v>
      </c>
      <c r="H47" s="439" t="s">
        <v>7260</v>
      </c>
      <c r="I47" s="439">
        <f>(D47-0.9)*1.2</f>
        <v>9.7199999999999989</v>
      </c>
      <c r="K47" s="436"/>
    </row>
    <row r="48" spans="1:11">
      <c r="A48" s="433">
        <v>65</v>
      </c>
      <c r="B48" s="437" t="s">
        <v>7149</v>
      </c>
      <c r="C48" s="438" t="s">
        <v>7203</v>
      </c>
      <c r="D48" s="437">
        <v>9.65</v>
      </c>
      <c r="E48" s="437" t="s">
        <v>294</v>
      </c>
      <c r="F48" s="437" t="s">
        <v>328</v>
      </c>
      <c r="G48" s="439">
        <f>0.8*2+0.7</f>
        <v>2.2999999999999998</v>
      </c>
      <c r="H48" s="439" t="s">
        <v>7260</v>
      </c>
      <c r="I48" s="439">
        <f>(D48-0.7-0.8*2)*1.2</f>
        <v>8.8200000000000021</v>
      </c>
      <c r="K48" s="436"/>
    </row>
    <row r="49" spans="1:11">
      <c r="A49" s="433">
        <v>66</v>
      </c>
      <c r="B49" s="437" t="s">
        <v>7149</v>
      </c>
      <c r="C49" s="438" t="s">
        <v>7204</v>
      </c>
      <c r="D49" s="437">
        <v>6.2</v>
      </c>
      <c r="E49" s="437" t="s">
        <v>294</v>
      </c>
      <c r="F49" s="437" t="s">
        <v>328</v>
      </c>
      <c r="G49" s="439">
        <f>0.7</f>
        <v>0.7</v>
      </c>
      <c r="H49" s="439" t="s">
        <v>7260</v>
      </c>
      <c r="I49" s="439">
        <f>(D49-0.7)*1.2</f>
        <v>6.6</v>
      </c>
      <c r="K49" s="436"/>
    </row>
    <row r="50" spans="1:11">
      <c r="A50" s="433">
        <v>67</v>
      </c>
      <c r="B50" s="437" t="s">
        <v>7149</v>
      </c>
      <c r="C50" s="438" t="s">
        <v>7205</v>
      </c>
      <c r="D50" s="437">
        <v>7.9</v>
      </c>
      <c r="E50" s="437" t="s">
        <v>294</v>
      </c>
      <c r="F50" s="437" t="s">
        <v>328</v>
      </c>
      <c r="G50" s="439">
        <f>0.8</f>
        <v>0.8</v>
      </c>
      <c r="H50" s="439" t="s">
        <v>7260</v>
      </c>
      <c r="I50" s="439">
        <f>(D50-0.8)*1.2</f>
        <v>8.52</v>
      </c>
      <c r="K50" s="436"/>
    </row>
    <row r="51" spans="1:11">
      <c r="A51" s="433">
        <v>68</v>
      </c>
      <c r="B51" s="437" t="s">
        <v>7149</v>
      </c>
      <c r="C51" s="438" t="s">
        <v>7206</v>
      </c>
      <c r="D51" s="437">
        <v>9.65</v>
      </c>
      <c r="E51" s="437" t="s">
        <v>294</v>
      </c>
      <c r="F51" s="437" t="s">
        <v>328</v>
      </c>
      <c r="G51" s="439">
        <f>0.8*2+0.7</f>
        <v>2.2999999999999998</v>
      </c>
      <c r="H51" s="439" t="s">
        <v>7260</v>
      </c>
      <c r="I51" s="439">
        <f>(D51-0.7-0.8*2)*1.2</f>
        <v>8.8200000000000021</v>
      </c>
      <c r="K51" s="436"/>
    </row>
    <row r="52" spans="1:11">
      <c r="A52" s="433">
        <v>69</v>
      </c>
      <c r="B52" s="437" t="s">
        <v>7149</v>
      </c>
      <c r="C52" s="438" t="s">
        <v>7207</v>
      </c>
      <c r="D52" s="437">
        <v>5.5</v>
      </c>
      <c r="E52" s="437" t="s">
        <v>294</v>
      </c>
      <c r="F52" s="437" t="s">
        <v>328</v>
      </c>
      <c r="G52" s="439">
        <f>0.7</f>
        <v>0.7</v>
      </c>
      <c r="H52" s="439" t="s">
        <v>7260</v>
      </c>
      <c r="I52" s="439">
        <f>(D52-0.7)*1.2</f>
        <v>5.76</v>
      </c>
      <c r="K52" s="436"/>
    </row>
    <row r="53" spans="1:11">
      <c r="A53" s="433">
        <v>70</v>
      </c>
      <c r="B53" s="437" t="s">
        <v>7149</v>
      </c>
      <c r="C53" s="438" t="s">
        <v>7208</v>
      </c>
      <c r="D53" s="437">
        <v>7.9</v>
      </c>
      <c r="E53" s="437" t="s">
        <v>294</v>
      </c>
      <c r="F53" s="437" t="s">
        <v>328</v>
      </c>
      <c r="G53" s="439">
        <f>0.8</f>
        <v>0.8</v>
      </c>
      <c r="H53" s="439" t="s">
        <v>7260</v>
      </c>
      <c r="I53" s="439">
        <f>(D53-0.8)*1.2</f>
        <v>8.52</v>
      </c>
      <c r="K53" s="436"/>
    </row>
    <row r="54" spans="1:11">
      <c r="A54" s="433">
        <v>71</v>
      </c>
      <c r="B54" s="437" t="s">
        <v>7149</v>
      </c>
      <c r="C54" s="438" t="s">
        <v>7209</v>
      </c>
      <c r="D54" s="437">
        <v>7.9</v>
      </c>
      <c r="E54" s="437" t="s">
        <v>294</v>
      </c>
      <c r="F54" s="437" t="s">
        <v>328</v>
      </c>
      <c r="G54" s="439">
        <f>0.9</f>
        <v>0.9</v>
      </c>
      <c r="H54" s="439" t="s">
        <v>7260</v>
      </c>
      <c r="I54" s="439">
        <f>(D54-0.9)*1.2</f>
        <v>8.4</v>
      </c>
      <c r="K54" s="436"/>
    </row>
    <row r="55" spans="1:11">
      <c r="A55" s="433">
        <v>6</v>
      </c>
      <c r="B55" s="437" t="s">
        <v>7138</v>
      </c>
      <c r="C55" s="438" t="s">
        <v>7152</v>
      </c>
      <c r="D55" s="437">
        <v>25.1</v>
      </c>
      <c r="E55" s="437" t="s">
        <v>276</v>
      </c>
      <c r="F55" s="437" t="s">
        <v>330</v>
      </c>
      <c r="G55" s="439">
        <f>1*2</f>
        <v>2</v>
      </c>
      <c r="H55" s="439" t="s">
        <v>7261</v>
      </c>
      <c r="I55" s="439"/>
      <c r="K55" s="436">
        <f t="shared" ref="K55:K68" si="1">D55-G55</f>
        <v>23.1</v>
      </c>
    </row>
    <row r="56" spans="1:11">
      <c r="A56" s="433">
        <v>7</v>
      </c>
      <c r="B56" s="437" t="s">
        <v>7138</v>
      </c>
      <c r="C56" s="438" t="s">
        <v>7153</v>
      </c>
      <c r="D56" s="437">
        <v>37.6</v>
      </c>
      <c r="E56" s="437" t="s">
        <v>276</v>
      </c>
      <c r="F56" s="437" t="s">
        <v>330</v>
      </c>
      <c r="G56" s="439">
        <f>1*3</f>
        <v>3</v>
      </c>
      <c r="H56" s="439" t="s">
        <v>7261</v>
      </c>
      <c r="I56" s="439"/>
      <c r="K56" s="436">
        <f t="shared" si="1"/>
        <v>34.6</v>
      </c>
    </row>
    <row r="57" spans="1:11">
      <c r="A57" s="433">
        <v>28</v>
      </c>
      <c r="B57" s="437" t="s">
        <v>7146</v>
      </c>
      <c r="C57" s="438" t="s">
        <v>7178</v>
      </c>
      <c r="D57" s="437">
        <v>23.1</v>
      </c>
      <c r="E57" s="437" t="s">
        <v>289</v>
      </c>
      <c r="F57" s="437" t="s">
        <v>330</v>
      </c>
      <c r="G57" s="439">
        <f>1*2</f>
        <v>2</v>
      </c>
      <c r="H57" s="439" t="s">
        <v>7261</v>
      </c>
      <c r="I57" s="439"/>
      <c r="K57" s="436">
        <f t="shared" si="1"/>
        <v>21.1</v>
      </c>
    </row>
    <row r="58" spans="1:11">
      <c r="A58" s="433">
        <v>29</v>
      </c>
      <c r="B58" s="437" t="s">
        <v>7146</v>
      </c>
      <c r="C58" s="438" t="s">
        <v>7179</v>
      </c>
      <c r="D58" s="437">
        <v>23.2</v>
      </c>
      <c r="E58" s="437" t="s">
        <v>289</v>
      </c>
      <c r="F58" s="437" t="s">
        <v>330</v>
      </c>
      <c r="G58" s="439">
        <v>2</v>
      </c>
      <c r="H58" s="439" t="s">
        <v>7261</v>
      </c>
      <c r="I58" s="439"/>
      <c r="K58" s="436">
        <f t="shared" si="1"/>
        <v>21.2</v>
      </c>
    </row>
    <row r="59" spans="1:11">
      <c r="A59" s="433">
        <v>30</v>
      </c>
      <c r="B59" s="437" t="s">
        <v>7146</v>
      </c>
      <c r="C59" s="438" t="s">
        <v>7180</v>
      </c>
      <c r="D59" s="437">
        <v>23.2</v>
      </c>
      <c r="E59" s="437" t="s">
        <v>289</v>
      </c>
      <c r="F59" s="437" t="s">
        <v>330</v>
      </c>
      <c r="G59" s="439">
        <v>2</v>
      </c>
      <c r="H59" s="439" t="s">
        <v>7261</v>
      </c>
      <c r="I59" s="439"/>
      <c r="K59" s="436">
        <f t="shared" si="1"/>
        <v>21.2</v>
      </c>
    </row>
    <row r="60" spans="1:11">
      <c r="A60" s="433">
        <v>31</v>
      </c>
      <c r="B60" s="437" t="s">
        <v>7146</v>
      </c>
      <c r="C60" s="438" t="s">
        <v>7181</v>
      </c>
      <c r="D60" s="437">
        <v>22.9</v>
      </c>
      <c r="E60" s="437" t="s">
        <v>289</v>
      </c>
      <c r="F60" s="437" t="s">
        <v>330</v>
      </c>
      <c r="G60" s="439">
        <v>2</v>
      </c>
      <c r="H60" s="439" t="s">
        <v>7261</v>
      </c>
      <c r="I60" s="439"/>
      <c r="K60" s="436">
        <f t="shared" si="1"/>
        <v>20.9</v>
      </c>
    </row>
    <row r="61" spans="1:11">
      <c r="A61" s="433">
        <v>56</v>
      </c>
      <c r="B61" s="437" t="s">
        <v>7149</v>
      </c>
      <c r="C61" s="438" t="s">
        <v>7182</v>
      </c>
      <c r="D61" s="437">
        <v>23.1</v>
      </c>
      <c r="E61" s="437" t="s">
        <v>289</v>
      </c>
      <c r="F61" s="437" t="s">
        <v>330</v>
      </c>
      <c r="G61" s="439">
        <v>2</v>
      </c>
      <c r="H61" s="439" t="s">
        <v>7261</v>
      </c>
      <c r="I61" s="439"/>
      <c r="K61" s="436">
        <f t="shared" si="1"/>
        <v>21.1</v>
      </c>
    </row>
    <row r="62" spans="1:11">
      <c r="A62" s="433">
        <v>57</v>
      </c>
      <c r="B62" s="437" t="s">
        <v>7149</v>
      </c>
      <c r="C62" s="438" t="s">
        <v>7183</v>
      </c>
      <c r="D62" s="437">
        <v>24.1</v>
      </c>
      <c r="E62" s="437" t="s">
        <v>289</v>
      </c>
      <c r="F62" s="437" t="s">
        <v>330</v>
      </c>
      <c r="G62" s="439">
        <f>1*3</f>
        <v>3</v>
      </c>
      <c r="H62" s="439" t="s">
        <v>7261</v>
      </c>
      <c r="I62" s="439"/>
      <c r="K62" s="436">
        <f t="shared" si="1"/>
        <v>21.1</v>
      </c>
    </row>
    <row r="63" spans="1:11">
      <c r="A63" s="433">
        <v>58</v>
      </c>
      <c r="B63" s="437" t="s">
        <v>7149</v>
      </c>
      <c r="C63" s="438" t="s">
        <v>7184</v>
      </c>
      <c r="D63" s="437">
        <v>23.9</v>
      </c>
      <c r="E63" s="437" t="s">
        <v>289</v>
      </c>
      <c r="F63" s="437" t="s">
        <v>330</v>
      </c>
      <c r="G63" s="439">
        <f>1*2+0.7</f>
        <v>2.7</v>
      </c>
      <c r="H63" s="439" t="s">
        <v>7261</v>
      </c>
      <c r="I63" s="439"/>
      <c r="K63" s="436">
        <f t="shared" si="1"/>
        <v>21.2</v>
      </c>
    </row>
    <row r="64" spans="1:11">
      <c r="A64" s="433">
        <v>59</v>
      </c>
      <c r="B64" s="437" t="s">
        <v>7149</v>
      </c>
      <c r="C64" s="438" t="s">
        <v>7185</v>
      </c>
      <c r="D64" s="437">
        <f>26.4+0.4*2+0.3*2-2.625-4.75-5.125</f>
        <v>15.3</v>
      </c>
      <c r="E64" s="437" t="s">
        <v>289</v>
      </c>
      <c r="F64" s="437" t="s">
        <v>330</v>
      </c>
      <c r="G64" s="439">
        <f>1</f>
        <v>1</v>
      </c>
      <c r="H64" s="439" t="s">
        <v>7261</v>
      </c>
      <c r="I64" s="439"/>
      <c r="K64" s="436">
        <f t="shared" si="1"/>
        <v>14.3</v>
      </c>
    </row>
    <row r="65" spans="1:11">
      <c r="A65" s="433">
        <v>60</v>
      </c>
      <c r="B65" s="437" t="s">
        <v>7149</v>
      </c>
      <c r="C65" s="438" t="s">
        <v>7186</v>
      </c>
      <c r="D65" s="437">
        <f>20.5+0.4+0.3*2+0.4*2-5.4-2.6</f>
        <v>14.299999999999999</v>
      </c>
      <c r="E65" s="437" t="s">
        <v>289</v>
      </c>
      <c r="F65" s="437" t="s">
        <v>330</v>
      </c>
      <c r="G65" s="439">
        <v>1</v>
      </c>
      <c r="H65" s="439" t="s">
        <v>7261</v>
      </c>
      <c r="I65" s="439"/>
      <c r="K65" s="436">
        <f t="shared" si="1"/>
        <v>13.299999999999999</v>
      </c>
    </row>
    <row r="66" spans="1:11">
      <c r="A66" s="433">
        <v>61</v>
      </c>
      <c r="B66" s="437" t="s">
        <v>7149</v>
      </c>
      <c r="C66" s="438" t="s">
        <v>7237</v>
      </c>
      <c r="D66" s="437">
        <f>0.4*4+0.4*2+0.3*2+0.4*4+2.4+2.6</f>
        <v>9.6</v>
      </c>
      <c r="E66" s="437" t="s">
        <v>289</v>
      </c>
      <c r="F66" s="437" t="s">
        <v>330</v>
      </c>
      <c r="G66" s="439">
        <f>2.6</f>
        <v>2.6</v>
      </c>
      <c r="H66" s="439" t="s">
        <v>7261</v>
      </c>
      <c r="I66" s="439"/>
      <c r="K66" s="436">
        <f t="shared" si="1"/>
        <v>7</v>
      </c>
    </row>
    <row r="67" spans="1:11">
      <c r="A67" s="433">
        <v>75</v>
      </c>
      <c r="B67" s="437" t="s">
        <v>7149</v>
      </c>
      <c r="C67" s="438" t="s">
        <v>7188</v>
      </c>
      <c r="D67" s="437">
        <f>10.3+13.75+0.4*2*4+0.3*2*4</f>
        <v>29.65</v>
      </c>
      <c r="E67" s="437" t="s">
        <v>289</v>
      </c>
      <c r="F67" s="437" t="s">
        <v>330</v>
      </c>
      <c r="G67" s="439">
        <f>9.3</f>
        <v>9.3000000000000007</v>
      </c>
      <c r="H67" s="439" t="s">
        <v>7261</v>
      </c>
      <c r="I67" s="439"/>
      <c r="K67" s="436">
        <f t="shared" si="1"/>
        <v>20.349999999999998</v>
      </c>
    </row>
    <row r="68" spans="1:11">
      <c r="A68" s="433">
        <v>76</v>
      </c>
      <c r="B68" s="437" t="s">
        <v>7149</v>
      </c>
      <c r="C68" s="438" t="s">
        <v>7189</v>
      </c>
      <c r="D68" s="437">
        <f>49.2+0.4*4+0.3*2</f>
        <v>51.400000000000006</v>
      </c>
      <c r="E68" s="437" t="s">
        <v>289</v>
      </c>
      <c r="F68" s="437" t="s">
        <v>330</v>
      </c>
      <c r="G68" s="439">
        <f>9.3</f>
        <v>9.3000000000000007</v>
      </c>
      <c r="H68" s="439" t="s">
        <v>7261</v>
      </c>
      <c r="I68" s="439"/>
      <c r="K68" s="436">
        <f t="shared" si="1"/>
        <v>42.100000000000009</v>
      </c>
    </row>
    <row r="69" spans="1:11" ht="15.75" thickBot="1"/>
    <row r="70" spans="1:11">
      <c r="B70" s="455" t="s">
        <v>7262</v>
      </c>
      <c r="C70" s="456"/>
      <c r="D70" s="456"/>
      <c r="E70" s="456"/>
      <c r="F70" s="457">
        <f>SUM(K3:K14)</f>
        <v>204.5</v>
      </c>
      <c r="G70" s="458" t="s">
        <v>7134</v>
      </c>
    </row>
    <row r="71" spans="1:11">
      <c r="B71" s="459" t="s">
        <v>7263</v>
      </c>
      <c r="C71" s="433"/>
      <c r="F71" s="432">
        <f>SUM(K15:K37)</f>
        <v>941.50999999999988</v>
      </c>
      <c r="G71" s="460" t="s">
        <v>7134</v>
      </c>
    </row>
    <row r="72" spans="1:11" ht="15.75" thickBot="1">
      <c r="B72" s="461" t="s">
        <v>7264</v>
      </c>
      <c r="C72" s="462"/>
      <c r="D72" s="462"/>
      <c r="E72" s="462"/>
      <c r="F72" s="463">
        <f>SUM(K55:K68)</f>
        <v>302.55000000000007</v>
      </c>
      <c r="G72" s="464" t="s">
        <v>7134</v>
      </c>
    </row>
    <row r="73" spans="1:11">
      <c r="C73" s="46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127</vt:i4>
      </vt:variant>
    </vt:vector>
  </HeadingPairs>
  <TitlesOfParts>
    <vt:vector size="193" baseType="lpstr">
      <vt:lpstr>Rekapitulace stavby</vt:lpstr>
      <vt:lpstr>ARS - STAVEBNÍ A KONSTRUK...</vt:lpstr>
      <vt:lpstr>ÚT - ZAŘÍZENÍ PRO VYTÁPĚN...</vt:lpstr>
      <vt:lpstr>ZTI - ZDRAVOTECHNIKA</vt:lpstr>
      <vt:lpstr>01 - Kanceláře jih</vt:lpstr>
      <vt:lpstr>02 - Badatelna a kancelář</vt:lpstr>
      <vt:lpstr>03 - Konferenční sál</vt:lpstr>
      <vt:lpstr>04 - Kanceláře východ a p...</vt:lpstr>
      <vt:lpstr>06 - Hala 3.NP</vt:lpstr>
      <vt:lpstr>07 - Větrání depozitářů</vt:lpstr>
      <vt:lpstr>08 - Odvětrání hyg. zázem...</vt:lpstr>
      <vt:lpstr>09 - Odvětrání hyg. zázemí</vt:lpstr>
      <vt:lpstr>10 - Odvětrání kotelny</vt:lpstr>
      <vt:lpstr>11 - Odvětrání serverů</vt:lpstr>
      <vt:lpstr>12 - Odvětrání technickýc...</vt:lpstr>
      <vt:lpstr>13 - Odvětrání technickýc...</vt:lpstr>
      <vt:lpstr>14 - Odvětrání hyg. zázemí</vt:lpstr>
      <vt:lpstr>SIL - ZAŘÍZENÍ SILNOPROUD...</vt:lpstr>
      <vt:lpstr>SLP - SLABOPROUD</vt:lpstr>
      <vt:lpstr>MAR - ZAŘÍZENÍ PRO MĚŘENÍ...</vt:lpstr>
      <vt:lpstr>PLYN - PLYNOINSTALACE</vt:lpstr>
      <vt:lpstr>101 - Chlazení pro VZT je...</vt:lpstr>
      <vt:lpstr>102 - Chlazení pro VZT je...</vt:lpstr>
      <vt:lpstr>103 - Chlazení pro VZT je...</vt:lpstr>
      <vt:lpstr>104 - Chlazení pro VZT je...</vt:lpstr>
      <vt:lpstr>106 - Chlazení pro VZT je...</vt:lpstr>
      <vt:lpstr>107.1 - Chlazení pro VZT ...</vt:lpstr>
      <vt:lpstr>107.2 - Chlazení pro VZT ...</vt:lpstr>
      <vt:lpstr>107.3 - Chlazení pro VZT ...</vt:lpstr>
      <vt:lpstr>107.4 - Chlazení pro VZT ...</vt:lpstr>
      <vt:lpstr>107.5 - Chlazení pro VZT ...</vt:lpstr>
      <vt:lpstr>107.6 - Chlazení pro VZT ...</vt:lpstr>
      <vt:lpstr>107.7 - Chlazení pro VZT ...</vt:lpstr>
      <vt:lpstr>107.8 - Chlazení pro VZT ...</vt:lpstr>
      <vt:lpstr>208 - Okruh server - M3.17</vt:lpstr>
      <vt:lpstr>209 - Okruh server - M2.16</vt:lpstr>
      <vt:lpstr>313 - Okruh badatelna a k...</vt:lpstr>
      <vt:lpstr>314 - Okruh konferenční m...</vt:lpstr>
      <vt:lpstr>316 - Okruh kanceláře - M...</vt:lpstr>
      <vt:lpstr>410 - Okruh kanceláře - M...</vt:lpstr>
      <vt:lpstr>411 - Okruh kanceláře - M...</vt:lpstr>
      <vt:lpstr>412 - Okruh kanceláře - M...</vt:lpstr>
      <vt:lpstr>415 - Okruh depozitáře - ...</vt:lpstr>
      <vt:lpstr>417 - Okruh depozitáře - ...</vt:lpstr>
      <vt:lpstr>418 - Okruh depozitáře - ...</vt:lpstr>
      <vt:lpstr>419 - Okruh depozitáře - ...</vt:lpstr>
      <vt:lpstr>420 - Okruh depozitáře - ...</vt:lpstr>
      <vt:lpstr>421 - Okruh depozitáře - ...</vt:lpstr>
      <vt:lpstr>422 - Okruh depozitáře - ...</vt:lpstr>
      <vt:lpstr>EPS - ELEKTRONICKÁ POŽÁRN...</vt:lpstr>
      <vt:lpstr>SO 02 - DEMOLICE</vt:lpstr>
      <vt:lpstr>IO 01 - KOMUNIKACE A ZPEV...</vt:lpstr>
      <vt:lpstr>IO 02 - KANALIZACE</vt:lpstr>
      <vt:lpstr>IO 03 - VODOVODNÍ PŘÍPOJKA</vt:lpstr>
      <vt:lpstr>IO 04 - PŘÍPOJKA METROPOL...</vt:lpstr>
      <vt:lpstr>IO 05 - SADOVÉ ÚPRAVY</vt:lpstr>
      <vt:lpstr>PS 01 - AUTOMATICKÁ TLAKO...</vt:lpstr>
      <vt:lpstr>PS 02 - STABILNÍ HASÍCÍ Z...</vt:lpstr>
      <vt:lpstr>PS 03 - REGÁLOVÉ SYSTÉMY</vt:lpstr>
      <vt:lpstr>VRN - VEDLEJŠÍ ROZPOČTOVÉ...</vt:lpstr>
      <vt:lpstr>Seznam figur</vt:lpstr>
      <vt:lpstr>Pokyny pro vyplnění</vt:lpstr>
      <vt:lpstr>Příloha P1_Podlahy</vt:lpstr>
      <vt:lpstr>Příloha P1_Stropy</vt:lpstr>
      <vt:lpstr>Příloha P1_Stěny</vt:lpstr>
      <vt:lpstr>Příloha P1_Sokly</vt:lpstr>
      <vt:lpstr>'01 - Kanceláře jih'!Názvy_tisku</vt:lpstr>
      <vt:lpstr>'02 - Badatelna a kancelář'!Názvy_tisku</vt:lpstr>
      <vt:lpstr>'03 - Konferenční sál'!Názvy_tisku</vt:lpstr>
      <vt:lpstr>'04 - Kanceláře východ a p...'!Názvy_tisku</vt:lpstr>
      <vt:lpstr>'06 - Hala 3.NP'!Názvy_tisku</vt:lpstr>
      <vt:lpstr>'07 - Větrání depozitářů'!Názvy_tisku</vt:lpstr>
      <vt:lpstr>'08 - Odvětrání hyg. zázem...'!Názvy_tisku</vt:lpstr>
      <vt:lpstr>'09 - Odvětrání hyg. zázemí'!Názvy_tisku</vt:lpstr>
      <vt:lpstr>'10 - Odvětrání kotelny'!Názvy_tisku</vt:lpstr>
      <vt:lpstr>'101 - Chlazení pro VZT je...'!Názvy_tisku</vt:lpstr>
      <vt:lpstr>'102 - Chlazení pro VZT je...'!Názvy_tisku</vt:lpstr>
      <vt:lpstr>'103 - Chlazení pro VZT je...'!Názvy_tisku</vt:lpstr>
      <vt:lpstr>'104 - Chlazení pro VZT je...'!Názvy_tisku</vt:lpstr>
      <vt:lpstr>'106 - Chlazení pro VZT je...'!Názvy_tisku</vt:lpstr>
      <vt:lpstr>'107.1 - Chlazení pro VZT ...'!Názvy_tisku</vt:lpstr>
      <vt:lpstr>'107.2 - Chlazení pro VZT ...'!Názvy_tisku</vt:lpstr>
      <vt:lpstr>'107.3 - Chlazení pro VZT ...'!Názvy_tisku</vt:lpstr>
      <vt:lpstr>'107.4 - Chlazení pro VZT ...'!Názvy_tisku</vt:lpstr>
      <vt:lpstr>'107.5 - Chlazení pro VZT ...'!Názvy_tisku</vt:lpstr>
      <vt:lpstr>'107.6 - Chlazení pro VZT ...'!Názvy_tisku</vt:lpstr>
      <vt:lpstr>'107.7 - Chlazení pro VZT ...'!Názvy_tisku</vt:lpstr>
      <vt:lpstr>'107.8 - Chlazení pro VZT ...'!Názvy_tisku</vt:lpstr>
      <vt:lpstr>'11 - Odvětrání serverů'!Názvy_tisku</vt:lpstr>
      <vt:lpstr>'12 - Odvětrání technickýc...'!Názvy_tisku</vt:lpstr>
      <vt:lpstr>'13 - Odvětrání technickýc...'!Názvy_tisku</vt:lpstr>
      <vt:lpstr>'14 - Odvětrání hyg. zázemí'!Názvy_tisku</vt:lpstr>
      <vt:lpstr>'208 - Okruh server - M3.17'!Názvy_tisku</vt:lpstr>
      <vt:lpstr>'209 - Okruh server - M2.16'!Názvy_tisku</vt:lpstr>
      <vt:lpstr>'313 - Okruh badatelna a k...'!Názvy_tisku</vt:lpstr>
      <vt:lpstr>'314 - Okruh konferenční m...'!Názvy_tisku</vt:lpstr>
      <vt:lpstr>'316 - Okruh kanceláře - M...'!Názvy_tisku</vt:lpstr>
      <vt:lpstr>'410 - Okruh kanceláře - M...'!Názvy_tisku</vt:lpstr>
      <vt:lpstr>'411 - Okruh kanceláře - M...'!Názvy_tisku</vt:lpstr>
      <vt:lpstr>'412 - Okruh kanceláře - M...'!Názvy_tisku</vt:lpstr>
      <vt:lpstr>'415 - Okruh depozitáře - ...'!Názvy_tisku</vt:lpstr>
      <vt:lpstr>'417 - Okruh depozitáře - ...'!Názvy_tisku</vt:lpstr>
      <vt:lpstr>'418 - Okruh depozitáře - ...'!Názvy_tisku</vt:lpstr>
      <vt:lpstr>'419 - Okruh depozitáře - ...'!Názvy_tisku</vt:lpstr>
      <vt:lpstr>'420 - Okruh depozitáře - ...'!Názvy_tisku</vt:lpstr>
      <vt:lpstr>'421 - Okruh depozitáře - ...'!Názvy_tisku</vt:lpstr>
      <vt:lpstr>'422 - Okruh depozitáře - ...'!Názvy_tisku</vt:lpstr>
      <vt:lpstr>'ARS - STAVEBNÍ A KONSTRUK...'!Názvy_tisku</vt:lpstr>
      <vt:lpstr>'EPS - ELEKTRONICKÁ POŽÁRN...'!Názvy_tisku</vt:lpstr>
      <vt:lpstr>'IO 01 - KOMUNIKACE A ZPEV...'!Názvy_tisku</vt:lpstr>
      <vt:lpstr>'IO 02 - KANALIZACE'!Názvy_tisku</vt:lpstr>
      <vt:lpstr>'IO 03 - VODOVODNÍ PŘÍPOJKA'!Názvy_tisku</vt:lpstr>
      <vt:lpstr>'IO 04 - PŘÍPOJKA METROPOL...'!Názvy_tisku</vt:lpstr>
      <vt:lpstr>'IO 05 - SADOVÉ ÚPRAVY'!Názvy_tisku</vt:lpstr>
      <vt:lpstr>'MAR - ZAŘÍZENÍ PRO MĚŘENÍ...'!Názvy_tisku</vt:lpstr>
      <vt:lpstr>'PLYN - PLYNOINSTALACE'!Názvy_tisku</vt:lpstr>
      <vt:lpstr>'PS 01 - AUTOMATICKÁ TLAKO...'!Názvy_tisku</vt:lpstr>
      <vt:lpstr>'PS 02 - STABILNÍ HASÍCÍ Z...'!Názvy_tisku</vt:lpstr>
      <vt:lpstr>'PS 03 - REGÁLOVÉ SYSTÉMY'!Názvy_tisku</vt:lpstr>
      <vt:lpstr>'Rekapitulace stavby'!Názvy_tisku</vt:lpstr>
      <vt:lpstr>'Seznam figur'!Názvy_tisku</vt:lpstr>
      <vt:lpstr>'SIL - ZAŘÍZENÍ SILNOPROUD...'!Názvy_tisku</vt:lpstr>
      <vt:lpstr>'SLP - SLABOPROUD'!Názvy_tisku</vt:lpstr>
      <vt:lpstr>'SO 02 - DEMOLICE'!Názvy_tisku</vt:lpstr>
      <vt:lpstr>'ÚT - ZAŘÍZENÍ PRO VYTÁPĚN...'!Názvy_tisku</vt:lpstr>
      <vt:lpstr>'VRN - VEDLEJŠÍ ROZPOČTOVÉ...'!Názvy_tisku</vt:lpstr>
      <vt:lpstr>'ZTI - ZDRAVOTECHNIKA'!Názvy_tisku</vt:lpstr>
      <vt:lpstr>'01 - Kanceláře jih'!Oblast_tisku</vt:lpstr>
      <vt:lpstr>'02 - Badatelna a kancelář'!Oblast_tisku</vt:lpstr>
      <vt:lpstr>'03 - Konferenční sál'!Oblast_tisku</vt:lpstr>
      <vt:lpstr>'04 - Kanceláře východ a p...'!Oblast_tisku</vt:lpstr>
      <vt:lpstr>'06 - Hala 3.NP'!Oblast_tisku</vt:lpstr>
      <vt:lpstr>'07 - Větrání depozitářů'!Oblast_tisku</vt:lpstr>
      <vt:lpstr>'08 - Odvětrání hyg. zázem...'!Oblast_tisku</vt:lpstr>
      <vt:lpstr>'09 - Odvětrání hyg. zázemí'!Oblast_tisku</vt:lpstr>
      <vt:lpstr>'10 - Odvětrání kotelny'!Oblast_tisku</vt:lpstr>
      <vt:lpstr>'101 - Chlazení pro VZT je...'!Oblast_tisku</vt:lpstr>
      <vt:lpstr>'102 - Chlazení pro VZT je...'!Oblast_tisku</vt:lpstr>
      <vt:lpstr>'103 - Chlazení pro VZT je...'!Oblast_tisku</vt:lpstr>
      <vt:lpstr>'104 - Chlazení pro VZT je...'!Oblast_tisku</vt:lpstr>
      <vt:lpstr>'106 - Chlazení pro VZT je...'!Oblast_tisku</vt:lpstr>
      <vt:lpstr>'107.1 - Chlazení pro VZT ...'!Oblast_tisku</vt:lpstr>
      <vt:lpstr>'107.2 - Chlazení pro VZT ...'!Oblast_tisku</vt:lpstr>
      <vt:lpstr>'107.3 - Chlazení pro VZT ...'!Oblast_tisku</vt:lpstr>
      <vt:lpstr>'107.4 - Chlazení pro VZT ...'!Oblast_tisku</vt:lpstr>
      <vt:lpstr>'107.5 - Chlazení pro VZT ...'!Oblast_tisku</vt:lpstr>
      <vt:lpstr>'107.6 - Chlazení pro VZT ...'!Oblast_tisku</vt:lpstr>
      <vt:lpstr>'107.7 - Chlazení pro VZT ...'!Oblast_tisku</vt:lpstr>
      <vt:lpstr>'107.8 - Chlazení pro VZT ...'!Oblast_tisku</vt:lpstr>
      <vt:lpstr>'11 - Odvětrání serverů'!Oblast_tisku</vt:lpstr>
      <vt:lpstr>'12 - Odvětrání technickýc...'!Oblast_tisku</vt:lpstr>
      <vt:lpstr>'13 - Odvětrání technickýc...'!Oblast_tisku</vt:lpstr>
      <vt:lpstr>'14 - Odvětrání hyg. zázemí'!Oblast_tisku</vt:lpstr>
      <vt:lpstr>'208 - Okruh server - M3.17'!Oblast_tisku</vt:lpstr>
      <vt:lpstr>'209 - Okruh server - M2.16'!Oblast_tisku</vt:lpstr>
      <vt:lpstr>'313 - Okruh badatelna a k...'!Oblast_tisku</vt:lpstr>
      <vt:lpstr>'314 - Okruh konferenční m...'!Oblast_tisku</vt:lpstr>
      <vt:lpstr>'316 - Okruh kanceláře - M...'!Oblast_tisku</vt:lpstr>
      <vt:lpstr>'410 - Okruh kanceláře - M...'!Oblast_tisku</vt:lpstr>
      <vt:lpstr>'411 - Okruh kanceláře - M...'!Oblast_tisku</vt:lpstr>
      <vt:lpstr>'412 - Okruh kanceláře - M...'!Oblast_tisku</vt:lpstr>
      <vt:lpstr>'415 - Okruh depozitáře - ...'!Oblast_tisku</vt:lpstr>
      <vt:lpstr>'417 - Okruh depozitáře - ...'!Oblast_tisku</vt:lpstr>
      <vt:lpstr>'418 - Okruh depozitáře - ...'!Oblast_tisku</vt:lpstr>
      <vt:lpstr>'419 - Okruh depozitáře - ...'!Oblast_tisku</vt:lpstr>
      <vt:lpstr>'420 - Okruh depozitáře - ...'!Oblast_tisku</vt:lpstr>
      <vt:lpstr>'421 - Okruh depozitáře - ...'!Oblast_tisku</vt:lpstr>
      <vt:lpstr>'422 - Okruh depozitáře - ...'!Oblast_tisku</vt:lpstr>
      <vt:lpstr>'ARS - STAVEBNÍ A KONSTRUK...'!Oblast_tisku</vt:lpstr>
      <vt:lpstr>'EPS - ELEKTRONICKÁ POŽÁRN...'!Oblast_tisku</vt:lpstr>
      <vt:lpstr>'IO 01 - KOMUNIKACE A ZPEV...'!Oblast_tisku</vt:lpstr>
      <vt:lpstr>'IO 02 - KANALIZACE'!Oblast_tisku</vt:lpstr>
      <vt:lpstr>'IO 03 - VODOVODNÍ PŘÍPOJKA'!Oblast_tisku</vt:lpstr>
      <vt:lpstr>'IO 04 - PŘÍPOJKA METROPOL...'!Oblast_tisku</vt:lpstr>
      <vt:lpstr>'IO 05 - SADOVÉ ÚPRAVY'!Oblast_tisku</vt:lpstr>
      <vt:lpstr>'MAR - ZAŘÍZENÍ PRO MĚŘENÍ...'!Oblast_tisku</vt:lpstr>
      <vt:lpstr>'PLYN - PLYNOINSTALACE'!Oblast_tisku</vt:lpstr>
      <vt:lpstr>'Pokyny pro vyplnění'!Oblast_tisku</vt:lpstr>
      <vt:lpstr>'Příloha P1_Podlahy'!Oblast_tisku</vt:lpstr>
      <vt:lpstr>'Příloha P1_Sokly'!Oblast_tisku</vt:lpstr>
      <vt:lpstr>'Příloha P1_Stěny'!Oblast_tisku</vt:lpstr>
      <vt:lpstr>'Příloha P1_Stropy'!Oblast_tisku</vt:lpstr>
      <vt:lpstr>'PS 01 - AUTOMATICKÁ TLAKO...'!Oblast_tisku</vt:lpstr>
      <vt:lpstr>'PS 02 - STABILNÍ HASÍCÍ Z...'!Oblast_tisku</vt:lpstr>
      <vt:lpstr>'PS 03 - REGÁLOVÉ SYSTÉMY'!Oblast_tisku</vt:lpstr>
      <vt:lpstr>'Rekapitulace stavby'!Oblast_tisku</vt:lpstr>
      <vt:lpstr>'Seznam figur'!Oblast_tisku</vt:lpstr>
      <vt:lpstr>'SIL - ZAŘÍZENÍ SILNOPROUD...'!Oblast_tisku</vt:lpstr>
      <vt:lpstr>'SLP - SLABOPROUD'!Oblast_tisku</vt:lpstr>
      <vt:lpstr>'SO 02 - DEMOLICE'!Oblast_tisku</vt:lpstr>
      <vt:lpstr>'ÚT - ZAŘÍZENÍ PRO VYTÁPĚN...'!Oblast_tisku</vt:lpstr>
      <vt:lpstr>'VRN - VEDLEJŠÍ ROZPOČTOVÉ...'!Oblast_tisku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Wpich V</dc:creator>
  <cp:lastModifiedBy>Vojtěch Vundrlich</cp:lastModifiedBy>
  <dcterms:created xsi:type="dcterms:W3CDTF">2021-08-04T13:20:50Z</dcterms:created>
  <dcterms:modified xsi:type="dcterms:W3CDTF">2021-08-04T13:25:15Z</dcterms:modified>
</cp:coreProperties>
</file>